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6C432DB5-92A4-4820-B3A6-2D129FF74810}" xr6:coauthVersionLast="47" xr6:coauthVersionMax="47" xr10:uidLastSave="{00000000-0000-0000-0000-000000000000}"/>
  <bookViews>
    <workbookView xWindow="-32385" yWindow="630" windowWidth="32385" windowHeight="40695" activeTab="4" xr2:uid="{00000000-000D-0000-FFFF-FFFF00000000}"/>
  </bookViews>
  <sheets>
    <sheet name="vbs,vba" sheetId="43" r:id="rId1"/>
    <sheet name="python" sheetId="45" r:id="rId2"/>
    <sheet name="c++" sheetId="51" r:id="rId3"/>
    <sheet name="bat" sheetId="44" r:id="rId4"/>
    <sheet name="shell" sheetId="47" r:id="rId5"/>
    <sheet name="ps" sheetId="48" r:id="rId6"/>
    <sheet name="git" sheetId="50" r:id="rId7"/>
    <sheet name="正規表現" sheetId="49" r:id="rId8"/>
    <sheet name="重複チェック" sheetId="46" r:id="rId9"/>
  </sheets>
  <definedNames>
    <definedName name="_xlnm._FilterDatabase" localSheetId="3" hidden="1">bat!$A$2:$D$2</definedName>
    <definedName name="_xlnm._FilterDatabase" localSheetId="2" hidden="1">'c++'!$A$179:$H$179</definedName>
    <definedName name="_xlnm._FilterDatabase" localSheetId="6" hidden="1">git!$A$2:$G$121</definedName>
    <definedName name="_xlnm._FilterDatabase" localSheetId="5" hidden="1">ps!$A$2:$G$525</definedName>
    <definedName name="_xlnm._FilterDatabase" localSheetId="1" hidden="1">python!$A$287:$J$287</definedName>
    <definedName name="_xlnm._FilterDatabase" localSheetId="4" hidden="1">shell!$A$2:$G$568</definedName>
    <definedName name="_xlnm._FilterDatabase" localSheetId="0" hidden="1">'vbs,vba'!$A$2:$E$2</definedName>
    <definedName name="_xlnm._FilterDatabase" localSheetId="8" hidden="1">重複チェック!$A$2:$O$1003</definedName>
    <definedName name="_xlnm.Print_Area" localSheetId="3">bat!$A$1:$D$87</definedName>
    <definedName name="_xlnm.Print_Area" localSheetId="2">'c++'!$A$1:$E$314</definedName>
    <definedName name="_xlnm.Print_Area" localSheetId="6">git!$A$1:$D$121</definedName>
    <definedName name="_xlnm.Print_Area" localSheetId="5">ps!$A$1:$D$526</definedName>
    <definedName name="_xlnm.Print_Area" localSheetId="1">python!$A$1:$G$440</definedName>
    <definedName name="_xlnm.Print_Area" localSheetId="4">shell!$A$1:$D$569</definedName>
    <definedName name="_xlnm.Print_Area" localSheetId="0">'vbs,vba'!$A$1:$E$389</definedName>
  </definedNames>
  <calcPr calcId="181029"/>
</workbook>
</file>

<file path=xl/calcChain.xml><?xml version="1.0" encoding="utf-8"?>
<calcChain xmlns="http://schemas.openxmlformats.org/spreadsheetml/2006/main">
  <c r="G236" i="47" l="1"/>
  <c r="G276" i="47"/>
  <c r="G277" i="47"/>
  <c r="C106" i="50"/>
  <c r="G106" i="50"/>
  <c r="J264" i="45"/>
  <c r="J263" i="45"/>
  <c r="J262" i="45"/>
  <c r="J249" i="45"/>
  <c r="J268" i="45"/>
  <c r="J258" i="45"/>
  <c r="J253" i="45"/>
  <c r="J267" i="45"/>
  <c r="J266" i="45"/>
  <c r="J265" i="45"/>
  <c r="J261" i="45"/>
  <c r="J260" i="45"/>
  <c r="J259" i="45"/>
  <c r="J257" i="45"/>
  <c r="J256" i="45"/>
  <c r="J255" i="45"/>
  <c r="J254" i="45"/>
  <c r="J252" i="45"/>
  <c r="J251" i="45"/>
  <c r="J250" i="45"/>
  <c r="J248" i="45"/>
  <c r="C271" i="45"/>
  <c r="J271" i="45"/>
  <c r="J292" i="45"/>
  <c r="J277" i="45"/>
  <c r="J278" i="45"/>
  <c r="J90" i="45"/>
  <c r="J88" i="45"/>
  <c r="J75" i="45"/>
  <c r="J74" i="45"/>
  <c r="J86" i="45"/>
  <c r="J87" i="45"/>
  <c r="J85" i="45"/>
  <c r="J80" i="45"/>
  <c r="J247" i="45"/>
  <c r="J246" i="45"/>
  <c r="C64" i="43"/>
  <c r="D15" i="43"/>
  <c r="C15" i="43"/>
  <c r="J233" i="45"/>
  <c r="J214" i="45"/>
  <c r="J229" i="45"/>
  <c r="J226" i="45"/>
  <c r="J230" i="45"/>
  <c r="J228" i="45"/>
  <c r="J227" i="45"/>
  <c r="J225" i="45"/>
  <c r="C232" i="45"/>
  <c r="J232" i="45"/>
  <c r="C231" i="45"/>
  <c r="J231" i="45"/>
  <c r="J211" i="45"/>
  <c r="J213" i="45"/>
  <c r="J52" i="45"/>
  <c r="C19" i="45"/>
  <c r="J19" i="45"/>
  <c r="C18" i="45"/>
  <c r="J18" i="45"/>
  <c r="J20" i="45"/>
  <c r="J65" i="45"/>
  <c r="J179" i="45"/>
  <c r="G388" i="47"/>
  <c r="E47" i="49"/>
  <c r="G105" i="50"/>
  <c r="G102" i="50"/>
  <c r="H164" i="51"/>
  <c r="H177" i="51"/>
  <c r="C173" i="51"/>
  <c r="C165" i="51"/>
  <c r="C22" i="51"/>
  <c r="C14" i="51"/>
  <c r="H17" i="51"/>
  <c r="C21" i="51"/>
  <c r="C24" i="51"/>
  <c r="C23" i="51"/>
  <c r="C20" i="51"/>
  <c r="C19" i="51"/>
  <c r="H313" i="51"/>
  <c r="H312" i="51"/>
  <c r="H311" i="51"/>
  <c r="H310" i="51"/>
  <c r="H309" i="51"/>
  <c r="H308" i="51"/>
  <c r="H307" i="51"/>
  <c r="H306" i="51"/>
  <c r="H305" i="51"/>
  <c r="H304" i="51"/>
  <c r="H303" i="51"/>
  <c r="H302" i="51"/>
  <c r="H301" i="51"/>
  <c r="H300" i="51"/>
  <c r="H299" i="51"/>
  <c r="H298" i="51"/>
  <c r="H297" i="51"/>
  <c r="H296" i="51"/>
  <c r="H295" i="51"/>
  <c r="H294" i="51"/>
  <c r="H293" i="51"/>
  <c r="H292" i="51"/>
  <c r="H291" i="51"/>
  <c r="H290" i="51"/>
  <c r="H289" i="51"/>
  <c r="H288" i="51"/>
  <c r="H287" i="51"/>
  <c r="H286" i="51"/>
  <c r="H285" i="51"/>
  <c r="H284" i="51"/>
  <c r="H283" i="51"/>
  <c r="H282" i="51"/>
  <c r="H281" i="51"/>
  <c r="H280" i="51"/>
  <c r="H279" i="51"/>
  <c r="H278" i="51"/>
  <c r="H277" i="51"/>
  <c r="H276" i="51"/>
  <c r="H275" i="51"/>
  <c r="H274" i="51"/>
  <c r="H273" i="51"/>
  <c r="H272" i="51"/>
  <c r="H271" i="51"/>
  <c r="H270" i="51"/>
  <c r="H269" i="51"/>
  <c r="H268" i="51"/>
  <c r="H267" i="51"/>
  <c r="H266" i="51"/>
  <c r="H265" i="51"/>
  <c r="H264" i="51"/>
  <c r="H263" i="51"/>
  <c r="H262" i="51"/>
  <c r="H261" i="51"/>
  <c r="H260" i="51"/>
  <c r="H259" i="51"/>
  <c r="H258" i="51"/>
  <c r="H257" i="51"/>
  <c r="H256" i="51"/>
  <c r="H255" i="51"/>
  <c r="H254" i="51"/>
  <c r="H253" i="51"/>
  <c r="H252" i="51"/>
  <c r="H251" i="51"/>
  <c r="H250" i="51"/>
  <c r="H249" i="51"/>
  <c r="H248" i="51"/>
  <c r="H247" i="51"/>
  <c r="H246" i="51"/>
  <c r="H245" i="51"/>
  <c r="H244" i="51"/>
  <c r="H243" i="51"/>
  <c r="H242" i="51"/>
  <c r="H241" i="51"/>
  <c r="H240" i="51"/>
  <c r="H239" i="51"/>
  <c r="H238" i="51"/>
  <c r="H237" i="51"/>
  <c r="H236" i="51"/>
  <c r="H235" i="51"/>
  <c r="H234" i="51"/>
  <c r="H233" i="51"/>
  <c r="H232" i="51"/>
  <c r="H231" i="51"/>
  <c r="H230" i="51"/>
  <c r="H229" i="51"/>
  <c r="H228" i="51"/>
  <c r="H227" i="51"/>
  <c r="H226" i="51"/>
  <c r="H225" i="51"/>
  <c r="H224" i="51"/>
  <c r="H223" i="51"/>
  <c r="H221" i="51"/>
  <c r="H220" i="51"/>
  <c r="H219" i="51"/>
  <c r="H218" i="51"/>
  <c r="H217" i="51"/>
  <c r="H216" i="51"/>
  <c r="H215" i="51"/>
  <c r="H214" i="51"/>
  <c r="H213" i="51"/>
  <c r="H212" i="51"/>
  <c r="H211" i="51"/>
  <c r="H210" i="51"/>
  <c r="H209" i="51"/>
  <c r="H208" i="51"/>
  <c r="H207" i="51"/>
  <c r="H206" i="51"/>
  <c r="H205" i="51"/>
  <c r="H204" i="51"/>
  <c r="H203" i="51"/>
  <c r="H202" i="51"/>
  <c r="H201" i="51"/>
  <c r="H200" i="51"/>
  <c r="H199" i="51"/>
  <c r="H198" i="51"/>
  <c r="H197" i="51"/>
  <c r="H196" i="51"/>
  <c r="H195" i="51"/>
  <c r="H194" i="51"/>
  <c r="H193" i="51"/>
  <c r="H192" i="51"/>
  <c r="H191" i="51"/>
  <c r="H190" i="51"/>
  <c r="H189" i="51"/>
  <c r="H188" i="51"/>
  <c r="H187" i="51"/>
  <c r="H186" i="51"/>
  <c r="H185" i="51"/>
  <c r="H184" i="51"/>
  <c r="H183" i="51"/>
  <c r="H182" i="51"/>
  <c r="H181" i="51"/>
  <c r="H180" i="51"/>
  <c r="H179" i="51"/>
  <c r="H178" i="51"/>
  <c r="H176" i="51"/>
  <c r="H175" i="51"/>
  <c r="H174" i="51"/>
  <c r="H173" i="51"/>
  <c r="H172" i="51"/>
  <c r="H171" i="51"/>
  <c r="H170" i="51"/>
  <c r="H169" i="51"/>
  <c r="H168" i="51"/>
  <c r="H167" i="51"/>
  <c r="H166" i="51"/>
  <c r="H165" i="51"/>
  <c r="H163" i="51"/>
  <c r="H162" i="51"/>
  <c r="H161" i="51"/>
  <c r="H160" i="51"/>
  <c r="H159" i="51"/>
  <c r="H158" i="51"/>
  <c r="H157" i="51"/>
  <c r="H156" i="51"/>
  <c r="H155" i="51"/>
  <c r="H154" i="51"/>
  <c r="H153" i="51"/>
  <c r="H152" i="51"/>
  <c r="H151" i="51"/>
  <c r="H150" i="51"/>
  <c r="H149" i="51"/>
  <c r="H148" i="51"/>
  <c r="H147" i="51"/>
  <c r="H146" i="51"/>
  <c r="H145" i="51"/>
  <c r="H144" i="51"/>
  <c r="H143" i="51"/>
  <c r="H142" i="51"/>
  <c r="H141" i="51"/>
  <c r="H140" i="51"/>
  <c r="H139" i="51"/>
  <c r="H138" i="51"/>
  <c r="H137" i="51"/>
  <c r="H136" i="51"/>
  <c r="H135" i="51"/>
  <c r="H134" i="51"/>
  <c r="H133" i="51"/>
  <c r="H132" i="51"/>
  <c r="H131" i="51"/>
  <c r="H130" i="51"/>
  <c r="H129" i="51"/>
  <c r="H128" i="51"/>
  <c r="H127" i="51"/>
  <c r="H126" i="51"/>
  <c r="H125" i="51"/>
  <c r="H124" i="51"/>
  <c r="H123" i="51"/>
  <c r="H122" i="51"/>
  <c r="H121" i="51"/>
  <c r="H120" i="51"/>
  <c r="H119" i="51"/>
  <c r="H118" i="51"/>
  <c r="H117" i="51"/>
  <c r="H116" i="51"/>
  <c r="H115" i="51"/>
  <c r="H114" i="51"/>
  <c r="H113" i="51"/>
  <c r="H112" i="51"/>
  <c r="H111" i="51"/>
  <c r="H110" i="51"/>
  <c r="H109" i="51"/>
  <c r="H108" i="51"/>
  <c r="H107" i="51"/>
  <c r="H106" i="51"/>
  <c r="H105" i="51"/>
  <c r="H104" i="51"/>
  <c r="H103" i="51"/>
  <c r="H102" i="51"/>
  <c r="H101" i="51"/>
  <c r="H100" i="51"/>
  <c r="H99" i="51"/>
  <c r="H98" i="51"/>
  <c r="H97" i="51"/>
  <c r="H96" i="51"/>
  <c r="H95" i="51"/>
  <c r="H94" i="51"/>
  <c r="H93" i="51"/>
  <c r="H92" i="51"/>
  <c r="H91" i="51"/>
  <c r="H90" i="51"/>
  <c r="H89" i="51"/>
  <c r="H88" i="51"/>
  <c r="H87" i="51"/>
  <c r="H86" i="51"/>
  <c r="H85" i="51"/>
  <c r="H84" i="51"/>
  <c r="H83" i="51"/>
  <c r="H82" i="51"/>
  <c r="H81" i="51"/>
  <c r="H80" i="51"/>
  <c r="H79" i="51"/>
  <c r="H78" i="51"/>
  <c r="H77" i="51"/>
  <c r="H76" i="51"/>
  <c r="H75" i="51"/>
  <c r="H74" i="51"/>
  <c r="H73" i="51"/>
  <c r="H72" i="51"/>
  <c r="H71" i="51"/>
  <c r="H70" i="51"/>
  <c r="H69" i="51"/>
  <c r="H68" i="51"/>
  <c r="H67" i="51"/>
  <c r="H66" i="51"/>
  <c r="H65" i="51"/>
  <c r="H64" i="51"/>
  <c r="H63" i="51"/>
  <c r="H62" i="51"/>
  <c r="H61" i="51"/>
  <c r="H60" i="51"/>
  <c r="H59" i="51"/>
  <c r="H58" i="51"/>
  <c r="H57" i="51"/>
  <c r="H56" i="51"/>
  <c r="H55" i="51"/>
  <c r="H54" i="51"/>
  <c r="H53" i="51"/>
  <c r="H52" i="51"/>
  <c r="H51" i="51"/>
  <c r="H50" i="51"/>
  <c r="H49" i="51"/>
  <c r="H48" i="51"/>
  <c r="H47" i="51"/>
  <c r="H46" i="51"/>
  <c r="H45" i="51"/>
  <c r="H44" i="51"/>
  <c r="H43" i="51"/>
  <c r="H42" i="51"/>
  <c r="H41" i="51"/>
  <c r="H40" i="51"/>
  <c r="H39" i="51"/>
  <c r="H38" i="51"/>
  <c r="H37" i="51"/>
  <c r="H36" i="51"/>
  <c r="H35" i="51"/>
  <c r="H34" i="51"/>
  <c r="H33" i="51"/>
  <c r="H32" i="51"/>
  <c r="H31" i="51"/>
  <c r="H30" i="51"/>
  <c r="H29" i="51"/>
  <c r="H28" i="51"/>
  <c r="H27" i="51"/>
  <c r="H26" i="51"/>
  <c r="H25" i="51"/>
  <c r="H24" i="51"/>
  <c r="H23" i="51"/>
  <c r="H22" i="51"/>
  <c r="H21" i="51"/>
  <c r="H20" i="51"/>
  <c r="H19" i="51"/>
  <c r="H18" i="51"/>
  <c r="H16" i="51"/>
  <c r="H15" i="51"/>
  <c r="H14" i="51"/>
  <c r="H13" i="51"/>
  <c r="H12" i="51"/>
  <c r="H11" i="51"/>
  <c r="H10" i="51"/>
  <c r="H9" i="51"/>
  <c r="H8" i="51"/>
  <c r="H7" i="51"/>
  <c r="H6" i="51"/>
  <c r="H5" i="51"/>
  <c r="H4" i="51"/>
  <c r="H3" i="51"/>
  <c r="J7" i="45"/>
  <c r="J9" i="45"/>
  <c r="J8" i="45"/>
  <c r="J6" i="45"/>
  <c r="F62" i="45"/>
  <c r="J62" i="45"/>
  <c r="J61" i="45"/>
  <c r="J60" i="45"/>
  <c r="G288" i="47"/>
  <c r="G297" i="47"/>
  <c r="C209" i="47"/>
  <c r="J120" i="45"/>
  <c r="J119" i="45"/>
  <c r="J118" i="45"/>
  <c r="J117" i="45"/>
  <c r="J116" i="45"/>
  <c r="J115" i="45"/>
  <c r="J114" i="45"/>
  <c r="J113" i="45"/>
  <c r="J112" i="45"/>
  <c r="J111" i="45"/>
  <c r="J110" i="45"/>
  <c r="J109" i="45"/>
  <c r="J108" i="45"/>
  <c r="J107" i="45"/>
  <c r="J106" i="45"/>
  <c r="J105" i="45"/>
  <c r="J104" i="45"/>
  <c r="J103" i="45"/>
  <c r="J102" i="45"/>
  <c r="J101" i="45"/>
  <c r="J100" i="45"/>
  <c r="J99" i="45"/>
  <c r="J98" i="45"/>
  <c r="J97" i="45"/>
  <c r="J96" i="45"/>
  <c r="J95" i="45"/>
  <c r="J94" i="45"/>
  <c r="J93" i="45"/>
  <c r="J92" i="45"/>
  <c r="J392" i="45"/>
  <c r="J391" i="45"/>
  <c r="J384" i="45"/>
  <c r="J383" i="45"/>
  <c r="J382" i="45"/>
  <c r="J381" i="45"/>
  <c r="J380" i="45"/>
  <c r="J387" i="45"/>
  <c r="J386" i="45"/>
  <c r="J385" i="45"/>
  <c r="C395" i="45"/>
  <c r="J396" i="45"/>
  <c r="J401" i="45"/>
  <c r="J400" i="45"/>
  <c r="J399" i="45"/>
  <c r="J398" i="45"/>
  <c r="J397" i="45"/>
  <c r="J395" i="45"/>
  <c r="J394" i="45"/>
  <c r="J393" i="45"/>
  <c r="J390" i="45"/>
  <c r="J389" i="45"/>
  <c r="J388" i="45"/>
  <c r="J379" i="45"/>
  <c r="J373" i="45"/>
  <c r="J378" i="45"/>
  <c r="J318" i="45"/>
  <c r="J376" i="45"/>
  <c r="J377" i="45"/>
  <c r="J375" i="45"/>
  <c r="J374" i="45"/>
  <c r="J372" i="45"/>
  <c r="J371" i="45"/>
  <c r="J370" i="45"/>
  <c r="G20" i="50"/>
  <c r="G104" i="50"/>
  <c r="G103" i="50"/>
  <c r="G101" i="50"/>
  <c r="G52" i="50"/>
  <c r="G235" i="47"/>
  <c r="G234" i="47"/>
  <c r="G19" i="50"/>
  <c r="C115" i="50"/>
  <c r="G290" i="47"/>
  <c r="G293" i="47"/>
  <c r="G99" i="47"/>
  <c r="G100" i="47"/>
  <c r="G98" i="47"/>
  <c r="G97" i="47"/>
  <c r="G96" i="47"/>
  <c r="G95" i="47"/>
  <c r="G111" i="50"/>
  <c r="G110" i="50"/>
  <c r="C161" i="43"/>
  <c r="G470" i="47"/>
  <c r="G469" i="47"/>
  <c r="G468" i="47"/>
  <c r="G467" i="47"/>
  <c r="G477" i="47"/>
  <c r="G476" i="47"/>
  <c r="G475" i="47"/>
  <c r="G474" i="47"/>
  <c r="G473" i="47"/>
  <c r="G472" i="47"/>
  <c r="G471" i="47"/>
  <c r="G466" i="47"/>
  <c r="G465" i="47"/>
  <c r="G464" i="47"/>
  <c r="G463" i="47"/>
  <c r="G460" i="47"/>
  <c r="C161" i="45"/>
  <c r="J161" i="45"/>
  <c r="C160" i="45"/>
  <c r="C159" i="45"/>
  <c r="J160" i="45"/>
  <c r="C158" i="45"/>
  <c r="J159" i="45"/>
  <c r="G417" i="47"/>
  <c r="J411" i="45"/>
  <c r="C421" i="45"/>
  <c r="J428" i="45"/>
  <c r="J427" i="45"/>
  <c r="J425" i="45"/>
  <c r="J426" i="45"/>
  <c r="J424" i="45"/>
  <c r="J423" i="45"/>
  <c r="J422" i="45"/>
  <c r="J421" i="45"/>
  <c r="J420" i="45"/>
  <c r="J419" i="45"/>
  <c r="C25" i="45"/>
  <c r="J30" i="45"/>
  <c r="J29" i="45"/>
  <c r="J212" i="45"/>
  <c r="J164" i="45"/>
  <c r="C165" i="45"/>
  <c r="J165" i="45"/>
  <c r="J163" i="45"/>
  <c r="J270" i="45"/>
  <c r="G418" i="47"/>
  <c r="G414" i="47"/>
  <c r="G415" i="47"/>
  <c r="G416" i="47"/>
  <c r="G413" i="47"/>
  <c r="J413" i="45"/>
  <c r="C405" i="45"/>
  <c r="G533" i="47"/>
  <c r="G532" i="47"/>
  <c r="G531" i="47"/>
  <c r="G530" i="47"/>
  <c r="C114" i="50"/>
  <c r="C166" i="47"/>
  <c r="C165" i="47"/>
  <c r="C55" i="49"/>
  <c r="L55" i="49"/>
  <c r="K55" i="49"/>
  <c r="H55" i="49"/>
  <c r="G55" i="49"/>
  <c r="J55" i="49"/>
  <c r="I55" i="49"/>
  <c r="E55" i="49"/>
  <c r="D55" i="49"/>
  <c r="B55" i="49"/>
  <c r="B47" i="49"/>
  <c r="L47" i="49"/>
  <c r="K47" i="49"/>
  <c r="H47" i="49"/>
  <c r="F47" i="49"/>
  <c r="G47" i="49"/>
  <c r="J47" i="49"/>
  <c r="I47" i="49"/>
  <c r="D47" i="49"/>
  <c r="C47" i="49"/>
  <c r="G75" i="47"/>
  <c r="G74" i="47"/>
  <c r="C562" i="47"/>
  <c r="G49" i="47"/>
  <c r="G385" i="47"/>
  <c r="C47" i="47"/>
  <c r="G50" i="47"/>
  <c r="G47" i="47"/>
  <c r="G100" i="50"/>
  <c r="C119" i="50"/>
  <c r="C118" i="50"/>
  <c r="C116" i="50"/>
  <c r="G112" i="50"/>
  <c r="G109" i="50"/>
  <c r="G108" i="50"/>
  <c r="G107" i="50"/>
  <c r="G113" i="50"/>
  <c r="G116" i="50"/>
  <c r="G115" i="50"/>
  <c r="G99" i="50"/>
  <c r="G98" i="50"/>
  <c r="G97" i="50"/>
  <c r="G96" i="50"/>
  <c r="G95" i="50"/>
  <c r="G94" i="50"/>
  <c r="G93" i="50"/>
  <c r="G92" i="50"/>
  <c r="G91" i="50"/>
  <c r="G90" i="50"/>
  <c r="G89" i="50"/>
  <c r="G88" i="50"/>
  <c r="G87" i="50"/>
  <c r="G86" i="50"/>
  <c r="G85" i="50"/>
  <c r="G84" i="50"/>
  <c r="G83" i="50"/>
  <c r="G82" i="50"/>
  <c r="G81" i="50"/>
  <c r="G80" i="50"/>
  <c r="G79" i="50"/>
  <c r="G78" i="50"/>
  <c r="G77" i="50"/>
  <c r="G76" i="50"/>
  <c r="G75" i="50"/>
  <c r="G74" i="50"/>
  <c r="G73" i="50"/>
  <c r="G72" i="50"/>
  <c r="G71" i="50"/>
  <c r="G70" i="50"/>
  <c r="G69" i="50"/>
  <c r="G68" i="50"/>
  <c r="G67" i="50"/>
  <c r="G66" i="50"/>
  <c r="G65" i="50"/>
  <c r="G64" i="50"/>
  <c r="G63" i="50"/>
  <c r="G62" i="50"/>
  <c r="G61" i="50"/>
  <c r="G60" i="50"/>
  <c r="G59" i="50"/>
  <c r="G58" i="50"/>
  <c r="G57" i="50"/>
  <c r="G56" i="50"/>
  <c r="G55" i="50"/>
  <c r="G54" i="50"/>
  <c r="G53" i="50"/>
  <c r="G51" i="50"/>
  <c r="G50" i="50"/>
  <c r="G49" i="50"/>
  <c r="G48" i="50"/>
  <c r="G47" i="50"/>
  <c r="G46" i="50"/>
  <c r="G45" i="50"/>
  <c r="G44" i="50"/>
  <c r="G43" i="50"/>
  <c r="G42" i="50"/>
  <c r="G121" i="50"/>
  <c r="G120" i="50"/>
  <c r="G114" i="50"/>
  <c r="G119" i="50"/>
  <c r="G118" i="50"/>
  <c r="G117" i="50"/>
  <c r="G41" i="50"/>
  <c r="G40" i="50"/>
  <c r="G39" i="50"/>
  <c r="G38" i="50"/>
  <c r="G37" i="50"/>
  <c r="G36" i="50"/>
  <c r="G35" i="50"/>
  <c r="G34" i="50"/>
  <c r="G33" i="50"/>
  <c r="G32" i="50"/>
  <c r="G31" i="50"/>
  <c r="G30" i="50"/>
  <c r="G29" i="50"/>
  <c r="G28" i="50"/>
  <c r="G27" i="50"/>
  <c r="G26" i="50"/>
  <c r="G25" i="50"/>
  <c r="G5" i="50"/>
  <c r="G4" i="50"/>
  <c r="G10" i="50"/>
  <c r="G9" i="50"/>
  <c r="G8" i="50"/>
  <c r="G7" i="50"/>
  <c r="G6" i="50"/>
  <c r="G24" i="50"/>
  <c r="G23" i="50"/>
  <c r="G22" i="50"/>
  <c r="G21" i="50"/>
  <c r="G18" i="50"/>
  <c r="G17" i="50"/>
  <c r="G16" i="50"/>
  <c r="G15" i="50"/>
  <c r="G14" i="50"/>
  <c r="G13" i="50"/>
  <c r="G12" i="50"/>
  <c r="G11" i="50"/>
  <c r="G3" i="50"/>
  <c r="G525" i="48"/>
  <c r="G524" i="48"/>
  <c r="G523" i="48"/>
  <c r="G522" i="48"/>
  <c r="G521" i="48"/>
  <c r="G520" i="48"/>
  <c r="G519" i="48"/>
  <c r="G518" i="48"/>
  <c r="G517" i="48"/>
  <c r="G516" i="48"/>
  <c r="G515" i="48"/>
  <c r="G514" i="48"/>
  <c r="G513" i="48"/>
  <c r="G512" i="48"/>
  <c r="G511" i="48"/>
  <c r="G510" i="48"/>
  <c r="G509" i="48"/>
  <c r="G508" i="48"/>
  <c r="G507" i="48"/>
  <c r="G506" i="48"/>
  <c r="G505" i="48"/>
  <c r="G504" i="48"/>
  <c r="G503" i="48"/>
  <c r="G502" i="48"/>
  <c r="G501" i="48"/>
  <c r="G500" i="48"/>
  <c r="G499" i="48"/>
  <c r="G498" i="48"/>
  <c r="G497" i="48"/>
  <c r="G496" i="48"/>
  <c r="G495" i="48"/>
  <c r="G494" i="48"/>
  <c r="G493" i="48"/>
  <c r="G492" i="48"/>
  <c r="G491" i="48"/>
  <c r="G490" i="48"/>
  <c r="G489" i="48"/>
  <c r="G488" i="48"/>
  <c r="G487" i="48"/>
  <c r="G486" i="48"/>
  <c r="G485" i="48"/>
  <c r="G484" i="48"/>
  <c r="G483" i="48"/>
  <c r="G482" i="48"/>
  <c r="G481" i="48"/>
  <c r="G480" i="48"/>
  <c r="G479" i="48"/>
  <c r="G478" i="48"/>
  <c r="G477" i="48"/>
  <c r="G476" i="48"/>
  <c r="G475" i="48"/>
  <c r="G474" i="48"/>
  <c r="G473" i="48"/>
  <c r="G472" i="48"/>
  <c r="G471" i="48"/>
  <c r="G470" i="48"/>
  <c r="G469" i="48"/>
  <c r="G468" i="48"/>
  <c r="G467" i="48"/>
  <c r="G466" i="48"/>
  <c r="G465" i="48"/>
  <c r="G464" i="48"/>
  <c r="G463" i="48"/>
  <c r="G462" i="48"/>
  <c r="G461" i="48"/>
  <c r="G460" i="48"/>
  <c r="G459" i="48"/>
  <c r="G458" i="48"/>
  <c r="G457" i="48"/>
  <c r="G456" i="48"/>
  <c r="G455" i="48"/>
  <c r="G454" i="48"/>
  <c r="G453" i="48"/>
  <c r="G452" i="48"/>
  <c r="G451" i="48"/>
  <c r="G450" i="48"/>
  <c r="G449" i="48"/>
  <c r="G448" i="48"/>
  <c r="G447" i="48"/>
  <c r="G446" i="48"/>
  <c r="G445" i="48"/>
  <c r="G444" i="48"/>
  <c r="G443" i="48"/>
  <c r="G442" i="48"/>
  <c r="G441" i="48"/>
  <c r="G440" i="48"/>
  <c r="G439" i="48"/>
  <c r="G438" i="48"/>
  <c r="G437" i="48"/>
  <c r="G436" i="48"/>
  <c r="G435" i="48"/>
  <c r="G434" i="48"/>
  <c r="G433" i="48"/>
  <c r="G432" i="48"/>
  <c r="G431" i="48"/>
  <c r="G430" i="48"/>
  <c r="G429" i="48"/>
  <c r="G428" i="48"/>
  <c r="G427" i="48"/>
  <c r="F427" i="48"/>
  <c r="G417" i="48"/>
  <c r="G416" i="48"/>
  <c r="G415" i="48"/>
  <c r="G414" i="48"/>
  <c r="G413" i="48"/>
  <c r="G412" i="48"/>
  <c r="G411" i="48"/>
  <c r="G410" i="48"/>
  <c r="G409" i="48"/>
  <c r="G408" i="48"/>
  <c r="G407" i="48"/>
  <c r="G406" i="48"/>
  <c r="G405" i="48"/>
  <c r="G404" i="48"/>
  <c r="G403" i="48"/>
  <c r="G402" i="48"/>
  <c r="G401" i="48"/>
  <c r="G400" i="48"/>
  <c r="G399" i="48"/>
  <c r="G398" i="48"/>
  <c r="G397" i="48"/>
  <c r="G396" i="48"/>
  <c r="G395" i="48"/>
  <c r="G394" i="48"/>
  <c r="G393" i="48"/>
  <c r="G392" i="48"/>
  <c r="G391" i="48"/>
  <c r="G390" i="48"/>
  <c r="G389" i="48"/>
  <c r="G388" i="48"/>
  <c r="G387" i="48"/>
  <c r="G386" i="48"/>
  <c r="G385" i="48"/>
  <c r="G384" i="48"/>
  <c r="G383" i="48"/>
  <c r="G382" i="48"/>
  <c r="G381" i="48"/>
  <c r="G380" i="48"/>
  <c r="G379" i="48"/>
  <c r="G378" i="48"/>
  <c r="G377" i="48"/>
  <c r="G376" i="48"/>
  <c r="G375" i="48"/>
  <c r="G374" i="48"/>
  <c r="G373" i="48"/>
  <c r="G372" i="48"/>
  <c r="G371" i="48"/>
  <c r="G370" i="48"/>
  <c r="G369" i="48"/>
  <c r="G368" i="48"/>
  <c r="G367" i="48"/>
  <c r="G366" i="48"/>
  <c r="G365" i="48"/>
  <c r="G364" i="48"/>
  <c r="G363" i="48"/>
  <c r="G362" i="48"/>
  <c r="G361" i="48"/>
  <c r="G360" i="48"/>
  <c r="G359" i="48"/>
  <c r="G358" i="48"/>
  <c r="G357" i="48"/>
  <c r="G356" i="48"/>
  <c r="G355" i="48"/>
  <c r="G354" i="48"/>
  <c r="G353" i="48"/>
  <c r="G352" i="48"/>
  <c r="G351" i="48"/>
  <c r="G350" i="48"/>
  <c r="G349" i="48"/>
  <c r="G348" i="48"/>
  <c r="G347" i="48"/>
  <c r="G346" i="48"/>
  <c r="G345" i="48"/>
  <c r="G344" i="48"/>
  <c r="G343" i="48"/>
  <c r="G342" i="48"/>
  <c r="G341" i="48"/>
  <c r="G340" i="48"/>
  <c r="G339" i="48"/>
  <c r="G338" i="48"/>
  <c r="G337" i="48"/>
  <c r="G336" i="48"/>
  <c r="G335" i="48"/>
  <c r="G334" i="48"/>
  <c r="G333" i="48"/>
  <c r="G332" i="48"/>
  <c r="G331" i="48"/>
  <c r="G330" i="48"/>
  <c r="G329" i="48"/>
  <c r="G328" i="48"/>
  <c r="G327" i="48"/>
  <c r="G326" i="48"/>
  <c r="G325" i="48"/>
  <c r="G324" i="48"/>
  <c r="G323" i="48"/>
  <c r="G322" i="48"/>
  <c r="G321" i="48"/>
  <c r="G320" i="48"/>
  <c r="G319" i="48"/>
  <c r="G318" i="48"/>
  <c r="G317" i="48"/>
  <c r="G316" i="48"/>
  <c r="G315" i="48"/>
  <c r="G314" i="48"/>
  <c r="G313" i="48"/>
  <c r="G312" i="48"/>
  <c r="G311" i="48"/>
  <c r="G310" i="48"/>
  <c r="G309" i="48"/>
  <c r="G308" i="48"/>
  <c r="G307" i="48"/>
  <c r="G306" i="48"/>
  <c r="G305" i="48"/>
  <c r="G304" i="48"/>
  <c r="G303" i="48"/>
  <c r="G302" i="48"/>
  <c r="G301" i="48"/>
  <c r="G300" i="48"/>
  <c r="G299" i="48"/>
  <c r="G298" i="48"/>
  <c r="G297" i="48"/>
  <c r="G296" i="48"/>
  <c r="G295" i="48"/>
  <c r="G294" i="48"/>
  <c r="G293" i="48"/>
  <c r="G292" i="48"/>
  <c r="G291" i="48"/>
  <c r="G290" i="48"/>
  <c r="G289" i="48"/>
  <c r="G288" i="48"/>
  <c r="G287" i="48"/>
  <c r="G286" i="48"/>
  <c r="G285" i="48"/>
  <c r="G284" i="48"/>
  <c r="G283" i="48"/>
  <c r="G282" i="48"/>
  <c r="G281" i="48"/>
  <c r="G280" i="48"/>
  <c r="G279" i="48"/>
  <c r="G278" i="48"/>
  <c r="G277" i="48"/>
  <c r="G276" i="48"/>
  <c r="G275" i="48"/>
  <c r="G274" i="48"/>
  <c r="G273" i="48"/>
  <c r="G272" i="48"/>
  <c r="G271" i="48"/>
  <c r="G270" i="48"/>
  <c r="G269" i="48"/>
  <c r="G268" i="48"/>
  <c r="G267" i="48"/>
  <c r="G266" i="48"/>
  <c r="G265" i="48"/>
  <c r="G264" i="48"/>
  <c r="G263" i="48"/>
  <c r="G262" i="48"/>
  <c r="G261" i="48"/>
  <c r="G260" i="48"/>
  <c r="G259" i="48"/>
  <c r="G258" i="48"/>
  <c r="G257" i="48"/>
  <c r="G256" i="48"/>
  <c r="G255" i="48"/>
  <c r="G254" i="48"/>
  <c r="G253" i="48"/>
  <c r="G252" i="48"/>
  <c r="G251" i="48"/>
  <c r="G250" i="48"/>
  <c r="G249" i="48"/>
  <c r="G248" i="48"/>
  <c r="G247" i="48"/>
  <c r="G246" i="48"/>
  <c r="G245" i="48"/>
  <c r="G244" i="48"/>
  <c r="G243" i="48"/>
  <c r="G242" i="48"/>
  <c r="G241" i="48"/>
  <c r="G240" i="48"/>
  <c r="G239" i="48"/>
  <c r="G238" i="48"/>
  <c r="G237" i="48"/>
  <c r="G236" i="48"/>
  <c r="G235" i="48"/>
  <c r="G234" i="48"/>
  <c r="G233" i="48"/>
  <c r="G232" i="48"/>
  <c r="G231" i="48"/>
  <c r="G230" i="48"/>
  <c r="G229" i="48"/>
  <c r="G228" i="48"/>
  <c r="G227" i="48"/>
  <c r="G226" i="48"/>
  <c r="G225" i="48"/>
  <c r="G224" i="48"/>
  <c r="G223" i="48"/>
  <c r="G222" i="48"/>
  <c r="G221" i="48"/>
  <c r="G220" i="48"/>
  <c r="G219" i="48"/>
  <c r="G218" i="48"/>
  <c r="G217" i="48"/>
  <c r="G216" i="48"/>
  <c r="G215" i="48"/>
  <c r="G214" i="48"/>
  <c r="G213" i="48"/>
  <c r="G212" i="48"/>
  <c r="G211" i="48"/>
  <c r="G210" i="48"/>
  <c r="G209" i="48"/>
  <c r="G208" i="48"/>
  <c r="G207" i="48"/>
  <c r="G206" i="48"/>
  <c r="G205" i="48"/>
  <c r="G204" i="48"/>
  <c r="G203" i="48"/>
  <c r="G202" i="48"/>
  <c r="G201" i="48"/>
  <c r="G200" i="48"/>
  <c r="G199" i="48"/>
  <c r="G198" i="48"/>
  <c r="G197" i="48"/>
  <c r="G196" i="48"/>
  <c r="G195" i="48"/>
  <c r="G194" i="48"/>
  <c r="G193" i="48"/>
  <c r="G192" i="48"/>
  <c r="G191" i="48"/>
  <c r="G190" i="48"/>
  <c r="G189" i="48"/>
  <c r="G188" i="48"/>
  <c r="G187" i="48"/>
  <c r="G186" i="48"/>
  <c r="G185" i="48"/>
  <c r="G184" i="48"/>
  <c r="G183" i="48"/>
  <c r="G182" i="48"/>
  <c r="G181" i="48"/>
  <c r="G180" i="48"/>
  <c r="G179" i="48"/>
  <c r="G178" i="48"/>
  <c r="G177" i="48"/>
  <c r="G176" i="48"/>
  <c r="G175" i="48"/>
  <c r="G174" i="48"/>
  <c r="G173" i="48"/>
  <c r="G172" i="48"/>
  <c r="G171" i="48"/>
  <c r="G170" i="48"/>
  <c r="G169" i="48"/>
  <c r="G168" i="48"/>
  <c r="G167" i="48"/>
  <c r="G166" i="48"/>
  <c r="G165" i="48"/>
  <c r="G164" i="48"/>
  <c r="G163" i="48"/>
  <c r="G162" i="48"/>
  <c r="G161" i="48"/>
  <c r="G160" i="48"/>
  <c r="G159" i="48"/>
  <c r="G158" i="48"/>
  <c r="G157" i="48"/>
  <c r="G156" i="48"/>
  <c r="G155" i="48"/>
  <c r="G154" i="48"/>
  <c r="G153" i="48"/>
  <c r="G152" i="48"/>
  <c r="G151" i="48"/>
  <c r="G150" i="48"/>
  <c r="G149" i="48"/>
  <c r="G148" i="48"/>
  <c r="G147" i="48"/>
  <c r="G146" i="48"/>
  <c r="G145" i="48"/>
  <c r="G144" i="48"/>
  <c r="G143" i="48"/>
  <c r="G142" i="48"/>
  <c r="G141" i="48"/>
  <c r="G140" i="48"/>
  <c r="G139" i="48"/>
  <c r="G138" i="48"/>
  <c r="G137" i="48"/>
  <c r="G136" i="48"/>
  <c r="G135" i="48"/>
  <c r="G134" i="48"/>
  <c r="G133" i="48"/>
  <c r="G132" i="48"/>
  <c r="G131" i="48"/>
  <c r="G130" i="48"/>
  <c r="G129" i="48"/>
  <c r="G128" i="48"/>
  <c r="G127" i="48"/>
  <c r="G126" i="48"/>
  <c r="G125" i="48"/>
  <c r="G124" i="48"/>
  <c r="G123" i="48"/>
  <c r="G122" i="48"/>
  <c r="G121" i="48"/>
  <c r="G120" i="48"/>
  <c r="G119" i="48"/>
  <c r="G118" i="48"/>
  <c r="G117" i="48"/>
  <c r="G116" i="48"/>
  <c r="G115" i="48"/>
  <c r="G114" i="48"/>
  <c r="G113" i="48"/>
  <c r="G112" i="48"/>
  <c r="G111" i="48"/>
  <c r="G110" i="48"/>
  <c r="G109" i="48"/>
  <c r="G108" i="48"/>
  <c r="G107" i="48"/>
  <c r="G106" i="48"/>
  <c r="G105" i="48"/>
  <c r="G104" i="48"/>
  <c r="G103" i="48"/>
  <c r="G102" i="48"/>
  <c r="G101" i="48"/>
  <c r="G100" i="48"/>
  <c r="G99" i="48"/>
  <c r="G98" i="48"/>
  <c r="G97" i="48"/>
  <c r="G96" i="48"/>
  <c r="G95" i="48"/>
  <c r="G94" i="48"/>
  <c r="G93" i="48"/>
  <c r="F93" i="48"/>
  <c r="G91" i="48"/>
  <c r="G89" i="48"/>
  <c r="G88" i="48"/>
  <c r="G87" i="48"/>
  <c r="G86" i="48"/>
  <c r="G85" i="48"/>
  <c r="G84" i="48"/>
  <c r="G83" i="48"/>
  <c r="G82" i="48"/>
  <c r="G81" i="48"/>
  <c r="G80" i="48"/>
  <c r="G79" i="48"/>
  <c r="G78" i="48"/>
  <c r="G77" i="48"/>
  <c r="G76" i="48"/>
  <c r="G75" i="48"/>
  <c r="G74" i="48"/>
  <c r="G73" i="48"/>
  <c r="G72" i="48"/>
  <c r="G71" i="48"/>
  <c r="G70" i="48"/>
  <c r="G69" i="48"/>
  <c r="G68" i="48"/>
  <c r="G67" i="48"/>
  <c r="G66" i="48"/>
  <c r="G65" i="48"/>
  <c r="G64" i="48"/>
  <c r="G63" i="48"/>
  <c r="G62" i="48"/>
  <c r="G61" i="48"/>
  <c r="G60" i="48"/>
  <c r="G59" i="48"/>
  <c r="G58" i="48"/>
  <c r="G57" i="48"/>
  <c r="G56" i="48"/>
  <c r="G55" i="48"/>
  <c r="G54" i="48"/>
  <c r="G53" i="48"/>
  <c r="G52" i="48"/>
  <c r="G51" i="48"/>
  <c r="G50" i="48"/>
  <c r="G49" i="48"/>
  <c r="G48" i="48"/>
  <c r="G47" i="48"/>
  <c r="G46" i="48"/>
  <c r="G45" i="48"/>
  <c r="G44" i="48"/>
  <c r="G43" i="48"/>
  <c r="G42" i="48"/>
  <c r="G41" i="48"/>
  <c r="G40" i="48"/>
  <c r="G39" i="48"/>
  <c r="G38" i="48"/>
  <c r="G37" i="48"/>
  <c r="G36" i="48"/>
  <c r="G35" i="48"/>
  <c r="G34" i="48"/>
  <c r="G33" i="48"/>
  <c r="G32" i="48"/>
  <c r="G31" i="48"/>
  <c r="G30" i="48"/>
  <c r="G29" i="48"/>
  <c r="G28" i="48"/>
  <c r="G27" i="48"/>
  <c r="G26" i="48"/>
  <c r="G25" i="48"/>
  <c r="G24" i="48"/>
  <c r="G23" i="48"/>
  <c r="G22" i="48"/>
  <c r="G21" i="48"/>
  <c r="G20" i="48"/>
  <c r="G19" i="48"/>
  <c r="G18" i="48"/>
  <c r="G17" i="48"/>
  <c r="G16" i="48"/>
  <c r="G15" i="48"/>
  <c r="G14" i="48"/>
  <c r="G13" i="48"/>
  <c r="G12" i="48"/>
  <c r="G11" i="48"/>
  <c r="G10" i="48"/>
  <c r="G9" i="48"/>
  <c r="G8" i="48"/>
  <c r="G7" i="48"/>
  <c r="G6" i="48"/>
  <c r="G5" i="48"/>
  <c r="G4" i="48"/>
  <c r="G3" i="48"/>
  <c r="C164" i="43"/>
  <c r="H164" i="43"/>
  <c r="G94" i="47"/>
  <c r="G292" i="47"/>
  <c r="G295" i="47"/>
  <c r="G294" i="47"/>
  <c r="G289" i="47"/>
  <c r="G378" i="47"/>
  <c r="G377" i="47"/>
  <c r="G383" i="47"/>
  <c r="J403" i="45"/>
  <c r="J414" i="45"/>
  <c r="J407" i="45"/>
  <c r="J415" i="45"/>
  <c r="C404" i="45"/>
  <c r="J416" i="45"/>
  <c r="J418" i="45"/>
  <c r="J417" i="45"/>
  <c r="J409" i="45"/>
  <c r="J408" i="45"/>
  <c r="J412" i="45"/>
  <c r="J410" i="45"/>
  <c r="J406" i="45"/>
  <c r="J405" i="45"/>
  <c r="J404" i="45"/>
  <c r="J402" i="45"/>
  <c r="C17" i="45"/>
  <c r="J17" i="45"/>
  <c r="D16" i="43"/>
  <c r="C16" i="43"/>
  <c r="C10" i="43"/>
  <c r="D10" i="43"/>
  <c r="H10" i="43"/>
  <c r="G452" i="47"/>
  <c r="J188" i="45"/>
  <c r="C187" i="45"/>
  <c r="J187" i="45"/>
  <c r="J186" i="45"/>
  <c r="J51" i="45"/>
  <c r="J162" i="45"/>
  <c r="J158" i="45"/>
  <c r="J157" i="45"/>
  <c r="J156" i="45"/>
  <c r="C137" i="45"/>
  <c r="J137" i="45"/>
  <c r="J369" i="45"/>
  <c r="C433" i="45"/>
  <c r="J365" i="45"/>
  <c r="J50" i="45"/>
  <c r="C22" i="45"/>
  <c r="J22" i="45"/>
  <c r="C432" i="45"/>
  <c r="J171" i="45"/>
  <c r="J168" i="45"/>
  <c r="J169" i="45"/>
  <c r="J279" i="45"/>
  <c r="J289" i="45"/>
  <c r="J287" i="45"/>
  <c r="J282" i="45"/>
  <c r="J281" i="45"/>
  <c r="J204" i="45"/>
  <c r="J203" i="45"/>
  <c r="J202" i="45"/>
  <c r="J201" i="45"/>
  <c r="J200" i="45"/>
  <c r="J197" i="45"/>
  <c r="J196" i="45"/>
  <c r="J195" i="45"/>
  <c r="J194" i="45"/>
  <c r="J193" i="45"/>
  <c r="J192" i="45"/>
  <c r="J191" i="45"/>
  <c r="J190" i="45"/>
  <c r="J132" i="45"/>
  <c r="C43" i="45"/>
  <c r="J43" i="45"/>
  <c r="C24" i="45"/>
  <c r="J238" i="45"/>
  <c r="J237" i="45"/>
  <c r="J245" i="45"/>
  <c r="J244" i="45"/>
  <c r="J243" i="45"/>
  <c r="J239" i="45"/>
  <c r="J240" i="45"/>
  <c r="J242" i="45"/>
  <c r="J241" i="45"/>
  <c r="J236" i="45"/>
  <c r="J235" i="45"/>
  <c r="J234" i="45"/>
  <c r="J141" i="45"/>
  <c r="C151" i="45"/>
  <c r="C152" i="45"/>
  <c r="C155" i="45"/>
  <c r="C154" i="45"/>
  <c r="C149" i="45"/>
  <c r="C148" i="45"/>
  <c r="C145" i="45"/>
  <c r="C146" i="45"/>
  <c r="J148" i="45"/>
  <c r="J145" i="45"/>
  <c r="J153" i="45"/>
  <c r="J151" i="45"/>
  <c r="J138" i="45"/>
  <c r="J136" i="45"/>
  <c r="J223" i="45"/>
  <c r="C224" i="45"/>
  <c r="J224" i="45"/>
  <c r="J40" i="45"/>
  <c r="G366" i="47"/>
  <c r="G79" i="44"/>
  <c r="G410" i="47"/>
  <c r="G403" i="47"/>
  <c r="G398" i="47"/>
  <c r="G404" i="47"/>
  <c r="G411" i="47"/>
  <c r="G409" i="47"/>
  <c r="G402" i="47"/>
  <c r="G408" i="47"/>
  <c r="G407" i="47"/>
  <c r="G406" i="47"/>
  <c r="G405" i="47"/>
  <c r="C168" i="47"/>
  <c r="G168" i="47"/>
  <c r="C169" i="47"/>
  <c r="G169" i="47"/>
  <c r="D177" i="43"/>
  <c r="D176" i="43"/>
  <c r="C176" i="43"/>
  <c r="C177" i="43"/>
  <c r="G157" i="47"/>
  <c r="H278" i="43"/>
  <c r="H279" i="43"/>
  <c r="H277" i="43"/>
  <c r="H276" i="43"/>
  <c r="H275" i="43"/>
  <c r="H274" i="43"/>
  <c r="H273" i="43"/>
  <c r="H272" i="43"/>
  <c r="G217" i="47"/>
  <c r="C375" i="43"/>
  <c r="G529" i="47"/>
  <c r="G528" i="47"/>
  <c r="C203" i="47"/>
  <c r="G203" i="47"/>
  <c r="G534" i="47"/>
  <c r="G547" i="47"/>
  <c r="G525" i="47"/>
  <c r="G526" i="47"/>
  <c r="G524" i="47"/>
  <c r="G542" i="47"/>
  <c r="G541" i="47"/>
  <c r="G240" i="47"/>
  <c r="G243" i="47"/>
  <c r="G250" i="47"/>
  <c r="G247" i="47"/>
  <c r="G248" i="47"/>
  <c r="C172" i="47"/>
  <c r="C171" i="47"/>
  <c r="G557" i="47"/>
  <c r="G93" i="47"/>
  <c r="G92" i="47"/>
  <c r="G91" i="47"/>
  <c r="G90" i="47"/>
  <c r="G89" i="47"/>
  <c r="G88" i="47"/>
  <c r="G76" i="47"/>
  <c r="G87" i="47"/>
  <c r="G86" i="47"/>
  <c r="G85" i="47"/>
  <c r="G84" i="47"/>
  <c r="G83" i="47"/>
  <c r="G82" i="47"/>
  <c r="G81" i="47"/>
  <c r="G80" i="47"/>
  <c r="G79" i="47"/>
  <c r="G78" i="47"/>
  <c r="G77" i="47"/>
  <c r="G171" i="47"/>
  <c r="G14" i="47"/>
  <c r="G561" i="47"/>
  <c r="G267" i="47"/>
  <c r="G270" i="47"/>
  <c r="G55" i="47"/>
  <c r="G54" i="47"/>
  <c r="G4" i="47"/>
  <c r="C498" i="47"/>
  <c r="G396" i="47"/>
  <c r="G379" i="47"/>
  <c r="G501" i="47"/>
  <c r="G500" i="47"/>
  <c r="G499" i="47"/>
  <c r="G498" i="47"/>
  <c r="G497" i="47"/>
  <c r="G496" i="47"/>
  <c r="G495" i="47"/>
  <c r="G494" i="47"/>
  <c r="G493" i="47"/>
  <c r="G492" i="47"/>
  <c r="G491" i="47"/>
  <c r="G490" i="47"/>
  <c r="G489" i="47"/>
  <c r="G488" i="47"/>
  <c r="G487" i="47"/>
  <c r="G486" i="47"/>
  <c r="G485" i="47"/>
  <c r="G484" i="47"/>
  <c r="G483" i="47"/>
  <c r="G482" i="47"/>
  <c r="G481" i="47"/>
  <c r="G480" i="47"/>
  <c r="G479" i="47"/>
  <c r="G478" i="47"/>
  <c r="G462" i="47"/>
  <c r="G461" i="47"/>
  <c r="G459" i="47"/>
  <c r="G458" i="47"/>
  <c r="G457" i="47"/>
  <c r="G456" i="47"/>
  <c r="G455" i="47"/>
  <c r="G454" i="47"/>
  <c r="G453" i="47"/>
  <c r="G451" i="47"/>
  <c r="G450" i="47"/>
  <c r="G440" i="47"/>
  <c r="G439" i="47"/>
  <c r="G438" i="47"/>
  <c r="G437" i="47"/>
  <c r="G436" i="47"/>
  <c r="G435" i="47"/>
  <c r="G434" i="47"/>
  <c r="G433" i="47"/>
  <c r="G432" i="47"/>
  <c r="G431" i="47"/>
  <c r="G430" i="47"/>
  <c r="G429" i="47"/>
  <c r="G428" i="47"/>
  <c r="G427" i="47"/>
  <c r="G426" i="47"/>
  <c r="G425" i="47"/>
  <c r="G424" i="47"/>
  <c r="G395" i="47"/>
  <c r="G394" i="47"/>
  <c r="G393" i="47"/>
  <c r="G392" i="47"/>
  <c r="G391" i="47"/>
  <c r="G390" i="47"/>
  <c r="G389" i="47"/>
  <c r="G387" i="47"/>
  <c r="G386" i="47"/>
  <c r="G384" i="47"/>
  <c r="G382" i="47"/>
  <c r="G381" i="47"/>
  <c r="G380" i="47"/>
  <c r="G368" i="47"/>
  <c r="G367" i="47"/>
  <c r="G365" i="47"/>
  <c r="G364" i="47"/>
  <c r="G363" i="47"/>
  <c r="G362" i="47"/>
  <c r="G361" i="47"/>
  <c r="G360" i="47"/>
  <c r="G359" i="47"/>
  <c r="G358" i="47"/>
  <c r="G357" i="47"/>
  <c r="G356" i="47"/>
  <c r="G355" i="47"/>
  <c r="G354" i="47"/>
  <c r="G353" i="47"/>
  <c r="G352" i="47"/>
  <c r="G351" i="47"/>
  <c r="G350" i="47"/>
  <c r="G349" i="47"/>
  <c r="G348" i="47"/>
  <c r="G347" i="47"/>
  <c r="G346" i="47"/>
  <c r="G345" i="47"/>
  <c r="G344" i="47"/>
  <c r="G343"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6" i="47"/>
  <c r="G291" i="47"/>
  <c r="G564" i="47"/>
  <c r="G563" i="47"/>
  <c r="G562" i="47"/>
  <c r="G527" i="47"/>
  <c r="G560" i="47"/>
  <c r="G559" i="47"/>
  <c r="G558" i="47"/>
  <c r="G556" i="47"/>
  <c r="G537" i="47"/>
  <c r="G536" i="47"/>
  <c r="G535" i="47"/>
  <c r="G73" i="47"/>
  <c r="G555" i="47"/>
  <c r="G554" i="47"/>
  <c r="G553" i="47"/>
  <c r="G552" i="47"/>
  <c r="G551" i="47"/>
  <c r="G550" i="47"/>
  <c r="G518" i="47"/>
  <c r="G517" i="47"/>
  <c r="G516" i="47"/>
  <c r="G543" i="47"/>
  <c r="G540" i="47"/>
  <c r="G539" i="47"/>
  <c r="G538" i="47"/>
  <c r="G515" i="47"/>
  <c r="G376" i="47"/>
  <c r="G375" i="47"/>
  <c r="G374" i="47"/>
  <c r="G373" i="47"/>
  <c r="G372" i="47"/>
  <c r="G371" i="47"/>
  <c r="G370" i="47"/>
  <c r="G369" i="47"/>
  <c r="G514" i="47"/>
  <c r="G546" i="47"/>
  <c r="G545" i="47"/>
  <c r="G544" i="47"/>
  <c r="G513" i="47"/>
  <c r="G512" i="47"/>
  <c r="G511" i="47"/>
  <c r="G510" i="47"/>
  <c r="G509" i="47"/>
  <c r="G508" i="47"/>
  <c r="G507" i="47"/>
  <c r="G506" i="47"/>
  <c r="G505" i="47"/>
  <c r="G504" i="47"/>
  <c r="G503" i="47"/>
  <c r="G502" i="47"/>
  <c r="G287" i="47"/>
  <c r="G286" i="47"/>
  <c r="G285" i="47"/>
  <c r="G284" i="47"/>
  <c r="G283" i="47"/>
  <c r="G282" i="47"/>
  <c r="G281" i="47"/>
  <c r="G280" i="47"/>
  <c r="G279" i="47"/>
  <c r="C239" i="47"/>
  <c r="C167" i="47"/>
  <c r="C225" i="47"/>
  <c r="G206" i="47"/>
  <c r="C170" i="47"/>
  <c r="C164" i="47"/>
  <c r="C163" i="47"/>
  <c r="C162" i="47"/>
  <c r="C156" i="47"/>
  <c r="G155" i="47"/>
  <c r="C51" i="47"/>
  <c r="G37" i="47"/>
  <c r="G52" i="47"/>
  <c r="G51" i="47"/>
  <c r="G48" i="47"/>
  <c r="G46" i="47"/>
  <c r="G45" i="47"/>
  <c r="G44" i="47"/>
  <c r="G43" i="47"/>
  <c r="G42" i="47"/>
  <c r="G41" i="47"/>
  <c r="G40" i="47"/>
  <c r="G39" i="47"/>
  <c r="G38" i="47"/>
  <c r="G36" i="47"/>
  <c r="G35" i="47"/>
  <c r="G34" i="47"/>
  <c r="G33" i="47"/>
  <c r="G32" i="47"/>
  <c r="G31" i="47"/>
  <c r="G119" i="47"/>
  <c r="G107" i="47"/>
  <c r="G186" i="47"/>
  <c r="G185" i="47"/>
  <c r="G184" i="47"/>
  <c r="G183" i="47"/>
  <c r="G182" i="47"/>
  <c r="G181" i="47"/>
  <c r="G180" i="47"/>
  <c r="G179" i="47"/>
  <c r="G178" i="47"/>
  <c r="G177" i="47"/>
  <c r="G176" i="47"/>
  <c r="G175" i="47"/>
  <c r="G174" i="47"/>
  <c r="G173" i="47"/>
  <c r="G59" i="47"/>
  <c r="G58" i="47"/>
  <c r="G22" i="47"/>
  <c r="G21" i="47"/>
  <c r="G20" i="47"/>
  <c r="G19" i="47"/>
  <c r="G18" i="47"/>
  <c r="G17" i="47"/>
  <c r="G16" i="47"/>
  <c r="G15" i="47"/>
  <c r="G13" i="47"/>
  <c r="G12" i="47"/>
  <c r="G11" i="47"/>
  <c r="G10" i="47"/>
  <c r="G9" i="47"/>
  <c r="G154" i="47"/>
  <c r="G153" i="47"/>
  <c r="G152" i="47"/>
  <c r="G151" i="47"/>
  <c r="G150" i="47"/>
  <c r="G149" i="47"/>
  <c r="G148" i="47"/>
  <c r="G147" i="47"/>
  <c r="G146" i="47"/>
  <c r="G145" i="47"/>
  <c r="G144"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8" i="47"/>
  <c r="G117" i="47"/>
  <c r="G116" i="47"/>
  <c r="G115" i="47"/>
  <c r="G114" i="47"/>
  <c r="G113" i="47"/>
  <c r="G112" i="47"/>
  <c r="G111" i="47"/>
  <c r="G110" i="47"/>
  <c r="G109" i="47"/>
  <c r="G108" i="47"/>
  <c r="G30" i="47"/>
  <c r="G29" i="47"/>
  <c r="G28" i="47"/>
  <c r="G27" i="47"/>
  <c r="G26" i="47"/>
  <c r="G25" i="47"/>
  <c r="G24" i="47"/>
  <c r="G23" i="47"/>
  <c r="G8" i="47"/>
  <c r="G7" i="47"/>
  <c r="G6" i="47"/>
  <c r="G156" i="47"/>
  <c r="G70" i="47"/>
  <c r="G101" i="47"/>
  <c r="G53" i="47"/>
  <c r="G106" i="47"/>
  <c r="G105" i="47"/>
  <c r="G104" i="47"/>
  <c r="G103" i="47"/>
  <c r="G102" i="47"/>
  <c r="G205" i="47"/>
  <c r="G204" i="47"/>
  <c r="G161" i="47"/>
  <c r="G160" i="47"/>
  <c r="G159" i="47"/>
  <c r="G158" i="47"/>
  <c r="G202" i="47"/>
  <c r="G201" i="47"/>
  <c r="G200" i="47"/>
  <c r="G199" i="47"/>
  <c r="G198" i="47"/>
  <c r="G197" i="47"/>
  <c r="G196" i="47"/>
  <c r="G195" i="47"/>
  <c r="G194" i="47"/>
  <c r="G193" i="47"/>
  <c r="G192" i="47"/>
  <c r="G191" i="47"/>
  <c r="G190" i="47"/>
  <c r="G189" i="47"/>
  <c r="G188" i="47"/>
  <c r="G187" i="47"/>
  <c r="G64" i="47"/>
  <c r="G63" i="47"/>
  <c r="G62" i="47"/>
  <c r="G61" i="47"/>
  <c r="G60" i="47"/>
  <c r="G57" i="47"/>
  <c r="G56" i="47"/>
  <c r="G423" i="47"/>
  <c r="G422" i="47"/>
  <c r="G421" i="47"/>
  <c r="G420" i="47"/>
  <c r="G419" i="47"/>
  <c r="G239" i="47"/>
  <c r="G165" i="47"/>
  <c r="G167" i="47"/>
  <c r="G225" i="47"/>
  <c r="G209" i="47"/>
  <c r="G224" i="47"/>
  <c r="G208" i="47"/>
  <c r="G172" i="47"/>
  <c r="G170" i="47"/>
  <c r="G164" i="47"/>
  <c r="G163" i="47"/>
  <c r="G166" i="47"/>
  <c r="G162" i="47"/>
  <c r="G210" i="47"/>
  <c r="G230" i="47"/>
  <c r="G207" i="47"/>
  <c r="G229" i="47"/>
  <c r="G228" i="47"/>
  <c r="G227" i="47"/>
  <c r="G226" i="47"/>
  <c r="G519" i="47"/>
  <c r="G523" i="47"/>
  <c r="G522" i="47"/>
  <c r="G521" i="47"/>
  <c r="G72" i="47"/>
  <c r="G71" i="47"/>
  <c r="G68" i="47"/>
  <c r="G69" i="47"/>
  <c r="G520" i="47"/>
  <c r="G549" i="47"/>
  <c r="G548" i="47"/>
  <c r="G412" i="47"/>
  <c r="G401" i="47"/>
  <c r="G400" i="47"/>
  <c r="G399" i="47"/>
  <c r="G397" i="47"/>
  <c r="G67" i="47"/>
  <c r="G66" i="47"/>
  <c r="G65" i="47"/>
  <c r="G254" i="47"/>
  <c r="G253" i="47"/>
  <c r="G252" i="47"/>
  <c r="G251" i="47"/>
  <c r="G249" i="47"/>
  <c r="G246" i="47"/>
  <c r="G245" i="47"/>
  <c r="G244" i="47"/>
  <c r="G242" i="47"/>
  <c r="G241" i="47"/>
  <c r="G223" i="47"/>
  <c r="G222" i="47"/>
  <c r="G221" i="47"/>
  <c r="G220" i="47"/>
  <c r="G219" i="47"/>
  <c r="G238" i="47"/>
  <c r="G218" i="47"/>
  <c r="G216" i="47"/>
  <c r="G215" i="47"/>
  <c r="G237" i="47"/>
  <c r="G214" i="47"/>
  <c r="G213" i="47"/>
  <c r="G233" i="47"/>
  <c r="G212" i="47"/>
  <c r="G211" i="47"/>
  <c r="G232" i="47"/>
  <c r="G231" i="47"/>
  <c r="G566" i="47"/>
  <c r="G565" i="47"/>
  <c r="G278" i="47"/>
  <c r="G275" i="47"/>
  <c r="G274" i="47"/>
  <c r="G273" i="47"/>
  <c r="G272" i="47"/>
  <c r="G271" i="47"/>
  <c r="G269" i="47"/>
  <c r="G268" i="47"/>
  <c r="G266" i="47"/>
  <c r="G265" i="47"/>
  <c r="G264" i="47"/>
  <c r="G263" i="47"/>
  <c r="G262" i="47"/>
  <c r="G261" i="47"/>
  <c r="G260" i="47"/>
  <c r="G259" i="47"/>
  <c r="G258" i="47"/>
  <c r="G257" i="47"/>
  <c r="G256" i="47"/>
  <c r="G255" i="47"/>
  <c r="G5" i="47"/>
  <c r="G567" i="47"/>
  <c r="G568" i="47"/>
  <c r="G3" i="47"/>
  <c r="J28" i="45"/>
  <c r="D203" i="43"/>
  <c r="J330" i="45"/>
  <c r="J323" i="45"/>
  <c r="J357" i="45"/>
  <c r="J341" i="45"/>
  <c r="J347" i="45"/>
  <c r="J356" i="45"/>
  <c r="J337" i="45"/>
  <c r="C203" i="43"/>
  <c r="F428" i="48" l="1"/>
  <c r="F429" i="48" s="1"/>
  <c r="F430" i="48" s="1"/>
  <c r="F431" i="48" s="1"/>
  <c r="F432" i="48" s="1"/>
  <c r="F433" i="48" s="1"/>
  <c r="F434" i="48" s="1"/>
  <c r="F435" i="48" s="1"/>
  <c r="F436" i="48" s="1"/>
  <c r="F437" i="48" s="1"/>
  <c r="F438" i="48" s="1"/>
  <c r="F439" i="48" s="1"/>
  <c r="F440" i="48" s="1"/>
  <c r="F441" i="48" s="1"/>
  <c r="F442" i="48" s="1"/>
  <c r="F443" i="48" s="1"/>
  <c r="F444" i="48" s="1"/>
  <c r="F445" i="48" s="1"/>
  <c r="F446" i="48" s="1"/>
  <c r="F447" i="48" s="1"/>
  <c r="F448" i="48" s="1"/>
  <c r="F449" i="48" s="1"/>
  <c r="F450" i="48" s="1"/>
  <c r="F451" i="48" s="1"/>
  <c r="F452" i="48" s="1"/>
  <c r="F453" i="48" s="1"/>
  <c r="F454" i="48" s="1"/>
  <c r="F455" i="48" s="1"/>
  <c r="F456" i="48" s="1"/>
  <c r="F457" i="48" s="1"/>
  <c r="F458" i="48" s="1"/>
  <c r="F459" i="48" s="1"/>
  <c r="F460" i="48" s="1"/>
  <c r="F461" i="48" s="1"/>
  <c r="F462" i="48" s="1"/>
  <c r="F463" i="48" s="1"/>
  <c r="F464" i="48" s="1"/>
  <c r="F465" i="48" s="1"/>
  <c r="F466" i="48" s="1"/>
  <c r="F467" i="48" s="1"/>
  <c r="F468" i="48" s="1"/>
  <c r="F469" i="48" s="1"/>
  <c r="F470" i="48" s="1"/>
  <c r="F471" i="48" s="1"/>
  <c r="F472" i="48" s="1"/>
  <c r="F473" i="48" s="1"/>
  <c r="F474" i="48" s="1"/>
  <c r="F475" i="48" s="1"/>
  <c r="F476" i="48" s="1"/>
  <c r="F477" i="48" s="1"/>
  <c r="F478" i="48" s="1"/>
  <c r="F479" i="48" s="1"/>
  <c r="F480" i="48" s="1"/>
  <c r="F481" i="48" s="1"/>
  <c r="F482" i="48" s="1"/>
  <c r="F483" i="48" s="1"/>
  <c r="F484" i="48" s="1"/>
  <c r="F485" i="48" s="1"/>
  <c r="F486" i="48" s="1"/>
  <c r="F487" i="48" s="1"/>
  <c r="F488" i="48" s="1"/>
  <c r="F489" i="48" s="1"/>
  <c r="F490" i="48" s="1"/>
  <c r="F491" i="48" s="1"/>
  <c r="F492" i="48" s="1"/>
  <c r="F493" i="48" s="1"/>
  <c r="F494" i="48" s="1"/>
  <c r="F495" i="48" s="1"/>
  <c r="F496" i="48" s="1"/>
  <c r="F497" i="48" s="1"/>
  <c r="F498" i="48" s="1"/>
  <c r="F499" i="48" s="1"/>
  <c r="F500" i="48" s="1"/>
  <c r="F501" i="48" s="1"/>
  <c r="F502" i="48" s="1"/>
  <c r="F503" i="48" s="1"/>
  <c r="F504" i="48" s="1"/>
  <c r="F505" i="48" s="1"/>
  <c r="F506" i="48" s="1"/>
  <c r="F507" i="48" s="1"/>
  <c r="F508" i="48" s="1"/>
  <c r="F509" i="48" s="1"/>
  <c r="F510" i="48" s="1"/>
  <c r="F511" i="48" s="1"/>
  <c r="F512" i="48" s="1"/>
  <c r="F513" i="48" s="1"/>
  <c r="F514" i="48" s="1"/>
  <c r="F515" i="48" s="1"/>
  <c r="F516" i="48" s="1"/>
  <c r="F517" i="48" s="1"/>
  <c r="F518" i="48" s="1"/>
  <c r="F519" i="48" s="1"/>
  <c r="F520" i="48" s="1"/>
  <c r="F521" i="48" s="1"/>
  <c r="F522" i="48" s="1"/>
  <c r="F523" i="48" s="1"/>
  <c r="F524" i="48" s="1"/>
  <c r="F525" i="48" s="1"/>
  <c r="F94" i="48"/>
  <c r="F95" i="48" s="1"/>
  <c r="F96" i="48" s="1"/>
  <c r="F97" i="48" s="1"/>
  <c r="F98" i="48" s="1"/>
  <c r="F99" i="48" s="1"/>
  <c r="F100" i="48" s="1"/>
  <c r="F101" i="48" s="1"/>
  <c r="F102" i="48" s="1"/>
  <c r="F103" i="48" s="1"/>
  <c r="F104" i="48" s="1"/>
  <c r="F105" i="48" s="1"/>
  <c r="F106" i="48" s="1"/>
  <c r="F107" i="48" s="1"/>
  <c r="F108" i="48" s="1"/>
  <c r="F109" i="48" s="1"/>
  <c r="F110" i="48" s="1"/>
  <c r="F111" i="48" s="1"/>
  <c r="F112" i="48" s="1"/>
  <c r="F113" i="48" s="1"/>
  <c r="F114" i="48" s="1"/>
  <c r="F115" i="48" s="1"/>
  <c r="F116" i="48" s="1"/>
  <c r="F117" i="48" s="1"/>
  <c r="F118" i="48" s="1"/>
  <c r="F119" i="48" s="1"/>
  <c r="F120" i="48" s="1"/>
  <c r="F121" i="48" s="1"/>
  <c r="F122" i="48" s="1"/>
  <c r="F123" i="48" s="1"/>
  <c r="F124" i="48" s="1"/>
  <c r="F125" i="48" s="1"/>
  <c r="F126" i="48" s="1"/>
  <c r="F127" i="48" s="1"/>
  <c r="F128" i="48" s="1"/>
  <c r="F129" i="48" s="1"/>
  <c r="F130" i="48" s="1"/>
  <c r="F131" i="48" s="1"/>
  <c r="F132" i="48" s="1"/>
  <c r="F133" i="48" s="1"/>
  <c r="F134" i="48" s="1"/>
  <c r="F135" i="48" s="1"/>
  <c r="F136" i="48" s="1"/>
  <c r="F137" i="48" s="1"/>
  <c r="F138" i="48" s="1"/>
  <c r="F139" i="48" s="1"/>
  <c r="F140" i="48" s="1"/>
  <c r="F141" i="48" s="1"/>
  <c r="F142" i="48" s="1"/>
  <c r="F143" i="48" s="1"/>
  <c r="F144" i="48" s="1"/>
  <c r="F145" i="48" s="1"/>
  <c r="F146" i="48" s="1"/>
  <c r="F147" i="48" s="1"/>
  <c r="F148" i="48" s="1"/>
  <c r="F149" i="48" s="1"/>
  <c r="F150" i="48" s="1"/>
  <c r="F151" i="48" s="1"/>
  <c r="F152" i="48" s="1"/>
  <c r="F153" i="48" s="1"/>
  <c r="F154" i="48" s="1"/>
  <c r="F155" i="48" s="1"/>
  <c r="F156" i="48" s="1"/>
  <c r="F157" i="48" s="1"/>
  <c r="F158" i="48" s="1"/>
  <c r="F159" i="48" s="1"/>
  <c r="F160" i="48" s="1"/>
  <c r="F161" i="48" s="1"/>
  <c r="F162" i="48" s="1"/>
  <c r="F163" i="48" s="1"/>
  <c r="F164" i="48" s="1"/>
  <c r="F165" i="48" s="1"/>
  <c r="F166" i="48" s="1"/>
  <c r="F167" i="48" s="1"/>
  <c r="F168" i="48" s="1"/>
  <c r="F169" i="48" s="1"/>
  <c r="F170" i="48" s="1"/>
  <c r="F171" i="48" s="1"/>
  <c r="F172" i="48" s="1"/>
  <c r="F173" i="48" s="1"/>
  <c r="F174" i="48" s="1"/>
  <c r="F175" i="48" s="1"/>
  <c r="F176" i="48" s="1"/>
  <c r="F177" i="48" s="1"/>
  <c r="F178" i="48" s="1"/>
  <c r="F179" i="48" s="1"/>
  <c r="F180" i="48" s="1"/>
  <c r="F181" i="48" s="1"/>
  <c r="F182" i="48" s="1"/>
  <c r="F183" i="48" s="1"/>
  <c r="F184" i="48" s="1"/>
  <c r="F185" i="48" s="1"/>
  <c r="F186" i="48" s="1"/>
  <c r="F187" i="48" s="1"/>
  <c r="F188" i="48" s="1"/>
  <c r="F189" i="48" s="1"/>
  <c r="F190" i="48" s="1"/>
  <c r="F191" i="48" s="1"/>
  <c r="F192" i="48" s="1"/>
  <c r="F193" i="48" s="1"/>
  <c r="F194" i="48" s="1"/>
  <c r="F195" i="48" s="1"/>
  <c r="F196" i="48" s="1"/>
  <c r="F197" i="48" s="1"/>
  <c r="F198" i="48" s="1"/>
  <c r="F199" i="48" s="1"/>
  <c r="F200" i="48" s="1"/>
  <c r="F201" i="48" s="1"/>
  <c r="F202" i="48" s="1"/>
  <c r="F203" i="48" s="1"/>
  <c r="F204" i="48" s="1"/>
  <c r="F205" i="48" s="1"/>
  <c r="F206" i="48" s="1"/>
  <c r="F207" i="48" s="1"/>
  <c r="F208" i="48" s="1"/>
  <c r="F209" i="48" s="1"/>
  <c r="F210" i="48" s="1"/>
  <c r="F211" i="48" s="1"/>
  <c r="F212" i="48" s="1"/>
  <c r="F213" i="48" s="1"/>
  <c r="F214" i="48" s="1"/>
  <c r="F215" i="48" s="1"/>
  <c r="F216" i="48" s="1"/>
  <c r="F217" i="48" s="1"/>
  <c r="F218" i="48" s="1"/>
  <c r="F219" i="48" s="1"/>
  <c r="F220" i="48" s="1"/>
  <c r="F221" i="48" s="1"/>
  <c r="F222" i="48" s="1"/>
  <c r="F223" i="48" s="1"/>
  <c r="F224" i="48" s="1"/>
  <c r="F225" i="48" s="1"/>
  <c r="F226" i="48" s="1"/>
  <c r="F227" i="48" s="1"/>
  <c r="F228" i="48" s="1"/>
  <c r="F229" i="48" s="1"/>
  <c r="F230" i="48" s="1"/>
  <c r="F231" i="48" s="1"/>
  <c r="F232" i="48" s="1"/>
  <c r="F233" i="48" s="1"/>
  <c r="F234" i="48" s="1"/>
  <c r="F235" i="48" s="1"/>
  <c r="F236" i="48" s="1"/>
  <c r="F237" i="48" s="1"/>
  <c r="F238" i="48" s="1"/>
  <c r="F239" i="48" s="1"/>
  <c r="F240" i="48" s="1"/>
  <c r="F241" i="48" s="1"/>
  <c r="F242" i="48" s="1"/>
  <c r="F243" i="48" s="1"/>
  <c r="F244" i="48" s="1"/>
  <c r="F245" i="48" s="1"/>
  <c r="F246" i="48" s="1"/>
  <c r="F247" i="48" s="1"/>
  <c r="F248" i="48" s="1"/>
  <c r="F249" i="48" s="1"/>
  <c r="F250" i="48" s="1"/>
  <c r="F251" i="48" s="1"/>
  <c r="F252" i="48" s="1"/>
  <c r="F253" i="48" s="1"/>
  <c r="F254" i="48" s="1"/>
  <c r="F255" i="48" s="1"/>
  <c r="F256" i="48" s="1"/>
  <c r="F257" i="48" s="1"/>
  <c r="F258" i="48" s="1"/>
  <c r="F259" i="48" s="1"/>
  <c r="F260" i="48" s="1"/>
  <c r="F261" i="48" s="1"/>
  <c r="F262" i="48" s="1"/>
  <c r="F263" i="48" s="1"/>
  <c r="F264" i="48" s="1"/>
  <c r="F265" i="48" s="1"/>
  <c r="F266" i="48" s="1"/>
  <c r="F267" i="48" s="1"/>
  <c r="F268" i="48" s="1"/>
  <c r="F269" i="48" s="1"/>
  <c r="F270" i="48" s="1"/>
  <c r="F271" i="48" s="1"/>
  <c r="F272" i="48" s="1"/>
  <c r="F273" i="48" s="1"/>
  <c r="F274" i="48" s="1"/>
  <c r="F275" i="48" s="1"/>
  <c r="F276" i="48" s="1"/>
  <c r="F277" i="48" s="1"/>
  <c r="F278" i="48" s="1"/>
  <c r="F279" i="48" s="1"/>
  <c r="F280" i="48" s="1"/>
  <c r="F281" i="48" s="1"/>
  <c r="F282" i="48" s="1"/>
  <c r="F283" i="48" s="1"/>
  <c r="F284" i="48" s="1"/>
  <c r="F285" i="48" s="1"/>
  <c r="F286" i="48" s="1"/>
  <c r="F287" i="48" s="1"/>
  <c r="F288" i="48" s="1"/>
  <c r="F289" i="48" s="1"/>
  <c r="F290" i="48" s="1"/>
  <c r="F291" i="48" s="1"/>
  <c r="F292" i="48" s="1"/>
  <c r="F293" i="48" s="1"/>
  <c r="F294" i="48" s="1"/>
  <c r="F295" i="48" s="1"/>
  <c r="F296" i="48" s="1"/>
  <c r="F297" i="48" s="1"/>
  <c r="F298" i="48" s="1"/>
  <c r="F299" i="48" s="1"/>
  <c r="F300" i="48" s="1"/>
  <c r="F301" i="48" s="1"/>
  <c r="F302" i="48" s="1"/>
  <c r="F303" i="48" s="1"/>
  <c r="F304" i="48" s="1"/>
  <c r="F305" i="48" s="1"/>
  <c r="F306" i="48" s="1"/>
  <c r="F307" i="48" s="1"/>
  <c r="F308" i="48" s="1"/>
  <c r="F309" i="48" s="1"/>
  <c r="F310" i="48" s="1"/>
  <c r="F311" i="48" s="1"/>
  <c r="F312" i="48" s="1"/>
  <c r="F313" i="48" s="1"/>
  <c r="F314" i="48" s="1"/>
  <c r="F315" i="48" s="1"/>
  <c r="F316" i="48" s="1"/>
  <c r="F317" i="48" s="1"/>
  <c r="F318" i="48" s="1"/>
  <c r="F319" i="48" s="1"/>
  <c r="F320" i="48" s="1"/>
  <c r="F321" i="48" s="1"/>
  <c r="F322" i="48" s="1"/>
  <c r="F323" i="48" s="1"/>
  <c r="F324" i="48" s="1"/>
  <c r="F325" i="48" s="1"/>
  <c r="F326" i="48" s="1"/>
  <c r="F327" i="48" s="1"/>
  <c r="F328" i="48" s="1"/>
  <c r="F329" i="48" s="1"/>
  <c r="F330" i="48" s="1"/>
  <c r="F331" i="48" s="1"/>
  <c r="F332" i="48" s="1"/>
  <c r="F333" i="48" s="1"/>
  <c r="F334" i="48" s="1"/>
  <c r="F335" i="48" s="1"/>
  <c r="F336" i="48" s="1"/>
  <c r="F337" i="48" s="1"/>
  <c r="F338" i="48" s="1"/>
  <c r="F339" i="48" s="1"/>
  <c r="F340" i="48" s="1"/>
  <c r="F341" i="48" s="1"/>
  <c r="F342" i="48" s="1"/>
  <c r="F343" i="48" s="1"/>
  <c r="F344" i="48" s="1"/>
  <c r="F345" i="48" s="1"/>
  <c r="F346" i="48" s="1"/>
  <c r="F347" i="48" s="1"/>
  <c r="F348" i="48" s="1"/>
  <c r="F349" i="48" s="1"/>
  <c r="F350" i="48" s="1"/>
  <c r="F351" i="48" s="1"/>
  <c r="F352" i="48" s="1"/>
  <c r="F353" i="48" s="1"/>
  <c r="F354" i="48" s="1"/>
  <c r="F355" i="48" s="1"/>
  <c r="F356" i="48" s="1"/>
  <c r="F357" i="48" s="1"/>
  <c r="F358" i="48" s="1"/>
  <c r="F359" i="48" s="1"/>
  <c r="F360" i="48" s="1"/>
  <c r="F361" i="48" s="1"/>
  <c r="F362" i="48" s="1"/>
  <c r="F363" i="48" s="1"/>
  <c r="F364" i="48" s="1"/>
  <c r="F365" i="48" s="1"/>
  <c r="F366" i="48" s="1"/>
  <c r="F367" i="48" s="1"/>
  <c r="F368" i="48" s="1"/>
  <c r="F369" i="48" s="1"/>
  <c r="F370" i="48" s="1"/>
  <c r="F371" i="48" s="1"/>
  <c r="F372" i="48" s="1"/>
  <c r="F373" i="48" s="1"/>
  <c r="F374" i="48" s="1"/>
  <c r="F375" i="48" s="1"/>
  <c r="F376" i="48" s="1"/>
  <c r="F377" i="48" s="1"/>
  <c r="F378" i="48" s="1"/>
  <c r="F379" i="48" s="1"/>
  <c r="F380" i="48" s="1"/>
  <c r="F381" i="48" s="1"/>
  <c r="F382" i="48" s="1"/>
  <c r="F383" i="48" s="1"/>
  <c r="F384" i="48" s="1"/>
  <c r="F385" i="48" s="1"/>
  <c r="F386" i="48" s="1"/>
  <c r="F387" i="48" s="1"/>
  <c r="F388" i="48" s="1"/>
  <c r="F389" i="48" s="1"/>
  <c r="F390" i="48" s="1"/>
  <c r="F391" i="48" s="1"/>
  <c r="F392" i="48" s="1"/>
  <c r="F393" i="48" s="1"/>
  <c r="F394" i="48" s="1"/>
  <c r="F395" i="48" s="1"/>
  <c r="F396" i="48" s="1"/>
  <c r="F397" i="48" s="1"/>
  <c r="F398" i="48" s="1"/>
  <c r="F399" i="48" s="1"/>
  <c r="F400" i="48" s="1"/>
  <c r="F401" i="48" s="1"/>
  <c r="F402" i="48" s="1"/>
  <c r="F403" i="48" s="1"/>
  <c r="F404" i="48" s="1"/>
  <c r="F405" i="48" s="1"/>
  <c r="F406" i="48" s="1"/>
  <c r="F407" i="48" s="1"/>
  <c r="F408" i="48" s="1"/>
  <c r="F409" i="48" s="1"/>
  <c r="F410" i="48" s="1"/>
  <c r="F411" i="48" s="1"/>
  <c r="F412" i="48" s="1"/>
  <c r="F413" i="48" s="1"/>
  <c r="F414" i="48" s="1"/>
  <c r="F415" i="48" s="1"/>
  <c r="F416" i="48" s="1"/>
  <c r="F417" i="48" s="1"/>
  <c r="C123" i="43"/>
  <c r="D123" i="43"/>
  <c r="H123" i="43" l="1"/>
  <c r="K5" i="46"/>
  <c r="K6" i="46" s="1"/>
  <c r="A5" i="46"/>
  <c r="G86" i="44"/>
  <c r="G85" i="44"/>
  <c r="G84" i="44"/>
  <c r="G83" i="44"/>
  <c r="G82" i="44"/>
  <c r="G81" i="44"/>
  <c r="G80"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J439" i="45"/>
  <c r="J438" i="45"/>
  <c r="J437" i="45"/>
  <c r="J436" i="45"/>
  <c r="J435" i="45"/>
  <c r="J434" i="45"/>
  <c r="J433" i="45"/>
  <c r="J432" i="45"/>
  <c r="J431" i="45"/>
  <c r="J430" i="45"/>
  <c r="J429" i="45"/>
  <c r="J368" i="45"/>
  <c r="J367" i="45"/>
  <c r="J366" i="45"/>
  <c r="J364" i="45"/>
  <c r="J363" i="45"/>
  <c r="J362" i="45"/>
  <c r="J361" i="45"/>
  <c r="J358" i="45"/>
  <c r="J360" i="45"/>
  <c r="J359" i="45"/>
  <c r="J355" i="45"/>
  <c r="J354" i="45"/>
  <c r="J353" i="45"/>
  <c r="J352" i="45"/>
  <c r="J351" i="45"/>
  <c r="J350" i="45"/>
  <c r="J349" i="45"/>
  <c r="J348" i="45"/>
  <c r="J346" i="45"/>
  <c r="J345" i="45"/>
  <c r="J344" i="45"/>
  <c r="J343" i="45"/>
  <c r="J342" i="45"/>
  <c r="J340" i="45"/>
  <c r="J339" i="45"/>
  <c r="J338" i="45"/>
  <c r="J336" i="45"/>
  <c r="J335" i="45"/>
  <c r="J334" i="45"/>
  <c r="J333" i="45"/>
  <c r="J332" i="45"/>
  <c r="J329" i="45"/>
  <c r="J328" i="45"/>
  <c r="J327" i="45"/>
  <c r="J326" i="45"/>
  <c r="J325" i="45"/>
  <c r="J324" i="45"/>
  <c r="J322" i="45"/>
  <c r="J321" i="45"/>
  <c r="J320" i="45"/>
  <c r="J319" i="45"/>
  <c r="J317" i="45"/>
  <c r="J316" i="45"/>
  <c r="J315" i="45"/>
  <c r="J314" i="45"/>
  <c r="J313" i="45"/>
  <c r="J312" i="45"/>
  <c r="J311" i="45"/>
  <c r="J310" i="45"/>
  <c r="J309" i="45"/>
  <c r="J308" i="45"/>
  <c r="J307" i="45"/>
  <c r="J306" i="45"/>
  <c r="J305" i="45"/>
  <c r="J304" i="45"/>
  <c r="J303" i="45"/>
  <c r="J302" i="45"/>
  <c r="J301" i="45"/>
  <c r="J300" i="45"/>
  <c r="J299" i="45"/>
  <c r="J298" i="45"/>
  <c r="J297" i="45"/>
  <c r="J296" i="45"/>
  <c r="J295" i="45"/>
  <c r="J294" i="45"/>
  <c r="J293" i="45"/>
  <c r="J291" i="45"/>
  <c r="J290" i="45"/>
  <c r="J288" i="45"/>
  <c r="J286" i="45"/>
  <c r="J285" i="45"/>
  <c r="J274" i="45"/>
  <c r="J284" i="45"/>
  <c r="J283" i="45"/>
  <c r="J276" i="45"/>
  <c r="J280" i="45"/>
  <c r="J275" i="45"/>
  <c r="J273" i="45"/>
  <c r="J272" i="45"/>
  <c r="J269" i="45"/>
  <c r="J222" i="45"/>
  <c r="J221" i="45"/>
  <c r="J220" i="45"/>
  <c r="J219" i="45"/>
  <c r="J218" i="45"/>
  <c r="J217" i="45"/>
  <c r="J216" i="45"/>
  <c r="J215" i="45"/>
  <c r="J210" i="45"/>
  <c r="J209" i="45"/>
  <c r="J208" i="45"/>
  <c r="J207" i="45"/>
  <c r="J206" i="45"/>
  <c r="J205" i="45"/>
  <c r="J199" i="45"/>
  <c r="J198" i="45"/>
  <c r="J189" i="45"/>
  <c r="J185" i="45"/>
  <c r="J184" i="45"/>
  <c r="J183" i="45"/>
  <c r="J182" i="45"/>
  <c r="J181" i="45"/>
  <c r="J180" i="45"/>
  <c r="J178" i="45"/>
  <c r="J177" i="45"/>
  <c r="J176" i="45"/>
  <c r="J175" i="45"/>
  <c r="J174" i="45"/>
  <c r="J173" i="45"/>
  <c r="J172" i="45"/>
  <c r="J170" i="45"/>
  <c r="J167" i="45"/>
  <c r="J166" i="45"/>
  <c r="J155" i="45"/>
  <c r="J154" i="45"/>
  <c r="J152" i="45"/>
  <c r="J150" i="45"/>
  <c r="J143" i="45"/>
  <c r="J142" i="45"/>
  <c r="J140" i="45"/>
  <c r="J139" i="45"/>
  <c r="J149" i="45"/>
  <c r="J147" i="45"/>
  <c r="J146" i="45"/>
  <c r="J144" i="45"/>
  <c r="J135" i="45"/>
  <c r="J134" i="45"/>
  <c r="J133" i="45"/>
  <c r="J131" i="45"/>
  <c r="J130" i="45"/>
  <c r="J129" i="45"/>
  <c r="J127" i="45"/>
  <c r="J128" i="45"/>
  <c r="J126" i="45"/>
  <c r="J125" i="45"/>
  <c r="J124" i="45"/>
  <c r="J123" i="45"/>
  <c r="J122" i="45"/>
  <c r="J121" i="45"/>
  <c r="J91" i="45"/>
  <c r="J89" i="45"/>
  <c r="J84" i="45"/>
  <c r="J83" i="45"/>
  <c r="J82" i="45"/>
  <c r="J81" i="45"/>
  <c r="J79" i="45"/>
  <c r="J78" i="45"/>
  <c r="J77" i="45"/>
  <c r="J76" i="45"/>
  <c r="J73" i="45"/>
  <c r="J72" i="45"/>
  <c r="J71" i="45"/>
  <c r="J70" i="45"/>
  <c r="J69" i="45"/>
  <c r="J68" i="45"/>
  <c r="J67" i="45"/>
  <c r="J66" i="45"/>
  <c r="J64" i="45"/>
  <c r="J63" i="45"/>
  <c r="J59" i="45"/>
  <c r="J58" i="45"/>
  <c r="J57" i="45"/>
  <c r="J56" i="45"/>
  <c r="J55" i="45"/>
  <c r="J54" i="45"/>
  <c r="J53" i="45"/>
  <c r="J49" i="45"/>
  <c r="J48" i="45"/>
  <c r="J47" i="45"/>
  <c r="J46" i="45"/>
  <c r="J45" i="45"/>
  <c r="J44" i="45"/>
  <c r="J42" i="45"/>
  <c r="J41" i="45"/>
  <c r="J39" i="45"/>
  <c r="J38" i="45"/>
  <c r="J37" i="45"/>
  <c r="J36" i="45"/>
  <c r="J35" i="45"/>
  <c r="J34" i="45"/>
  <c r="J33" i="45"/>
  <c r="J32" i="45"/>
  <c r="J31" i="45"/>
  <c r="J27" i="45"/>
  <c r="J26" i="45"/>
  <c r="J25" i="45"/>
  <c r="J24" i="45"/>
  <c r="J23" i="45"/>
  <c r="J21" i="45"/>
  <c r="J15" i="45"/>
  <c r="J16" i="45"/>
  <c r="J14" i="45"/>
  <c r="J13" i="45"/>
  <c r="J12" i="45"/>
  <c r="J11" i="45"/>
  <c r="J10" i="45"/>
  <c r="J5" i="45"/>
  <c r="J4" i="45"/>
  <c r="J3" i="45"/>
  <c r="H388" i="43"/>
  <c r="H387" i="43"/>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1" i="43"/>
  <c r="H270"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2" i="43"/>
  <c r="H121" i="43"/>
  <c r="H120" i="43"/>
  <c r="H118" i="43"/>
  <c r="H117" i="43"/>
  <c r="H119" i="43"/>
  <c r="H116"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9" i="43"/>
  <c r="H8" i="43"/>
  <c r="H7" i="43"/>
  <c r="H6" i="43"/>
  <c r="H5" i="43"/>
  <c r="H4" i="43"/>
  <c r="H3" i="43"/>
  <c r="G3" i="43" s="1"/>
  <c r="D183" i="43"/>
  <c r="C110" i="43"/>
  <c r="C108" i="43"/>
  <c r="C109" i="43"/>
  <c r="D108" i="43"/>
  <c r="D107" i="43"/>
  <c r="C107" i="43"/>
  <c r="D109" i="43"/>
  <c r="G4" i="43" l="1"/>
  <c r="G5" i="43" s="1"/>
  <c r="G6" i="43" s="1"/>
  <c r="G7" i="43" s="1"/>
  <c r="G8" i="43" s="1"/>
  <c r="G9" i="43" s="1"/>
  <c r="K7" i="46"/>
  <c r="A6" i="46"/>
  <c r="C291" i="43"/>
  <c r="C23" i="45"/>
  <c r="C68" i="45"/>
  <c r="C16" i="45"/>
  <c r="D47" i="43"/>
  <c r="D40" i="43"/>
  <c r="C368" i="43"/>
  <c r="C330" i="43"/>
  <c r="C329" i="43"/>
  <c r="C124" i="43"/>
  <c r="C118" i="43"/>
  <c r="C117" i="43"/>
  <c r="C116" i="43"/>
  <c r="C112" i="43"/>
  <c r="D116" i="43"/>
  <c r="D118" i="43"/>
  <c r="D117" i="43"/>
  <c r="D112" i="43"/>
  <c r="G10" i="43" l="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B4" i="46"/>
  <c r="B5" i="46"/>
  <c r="B6" i="46"/>
  <c r="A7" i="46"/>
  <c r="K8" i="46"/>
  <c r="C51" i="44"/>
  <c r="G65" i="43" l="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B7" i="46"/>
  <c r="A8" i="46"/>
  <c r="K9" i="46"/>
  <c r="A9" i="46"/>
  <c r="B8" i="46"/>
  <c r="G164" i="43" l="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G224" i="43" s="1"/>
  <c r="G225" i="43" s="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G263" i="43" s="1"/>
  <c r="G264" i="43" s="1"/>
  <c r="G265" i="43" s="1"/>
  <c r="G266" i="43" s="1"/>
  <c r="G267" i="43" s="1"/>
  <c r="G268" i="43" s="1"/>
  <c r="G269" i="43" s="1"/>
  <c r="G270" i="43" s="1"/>
  <c r="G271" i="43" s="1"/>
  <c r="G272" i="43" s="1"/>
  <c r="G273" i="43" s="1"/>
  <c r="G274" i="43" s="1"/>
  <c r="G275" i="43" s="1"/>
  <c r="G276" i="43" s="1"/>
  <c r="G277" i="43" s="1"/>
  <c r="K10" i="46"/>
  <c r="A10" i="46"/>
  <c r="B9" i="46"/>
  <c r="D218" i="43"/>
  <c r="D217" i="43"/>
  <c r="D210" i="43"/>
  <c r="D207" i="43"/>
  <c r="D206" i="43"/>
  <c r="D205" i="43"/>
  <c r="C217" i="43"/>
  <c r="C218" i="43"/>
  <c r="C207" i="43"/>
  <c r="C206" i="43"/>
  <c r="G278" i="43" l="1"/>
  <c r="G279" i="43" s="1"/>
  <c r="K11" i="46"/>
  <c r="A11" i="46"/>
  <c r="B10" i="46"/>
  <c r="D30" i="43"/>
  <c r="C30" i="43"/>
  <c r="G280" i="43" l="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G387" i="43" s="1"/>
  <c r="G388" i="43" s="1"/>
  <c r="G2" i="51" s="1"/>
  <c r="G3" i="51" s="1"/>
  <c r="G4" i="51" s="1"/>
  <c r="G5" i="51" s="1"/>
  <c r="G6" i="51" s="1"/>
  <c r="G7" i="51" s="1"/>
  <c r="G8" i="51" s="1"/>
  <c r="G9" i="51" s="1"/>
  <c r="G10" i="51" s="1"/>
  <c r="G11" i="51" s="1"/>
  <c r="G12" i="51" s="1"/>
  <c r="G13" i="51" s="1"/>
  <c r="G14" i="51" s="1"/>
  <c r="G15" i="51" s="1"/>
  <c r="G16" i="51" s="1"/>
  <c r="K12" i="46"/>
  <c r="A12" i="46"/>
  <c r="B11" i="46"/>
  <c r="C205" i="43"/>
  <c r="C210" i="43"/>
  <c r="G17" i="51" l="1"/>
  <c r="G18" i="51" s="1"/>
  <c r="G19" i="51" s="1"/>
  <c r="G20" i="51" s="1"/>
  <c r="G21" i="51" s="1"/>
  <c r="G22" i="51" s="1"/>
  <c r="G23" i="51" s="1"/>
  <c r="G24" i="51" s="1"/>
  <c r="G25" i="51" s="1"/>
  <c r="G26" i="51" s="1"/>
  <c r="G27" i="51" s="1"/>
  <c r="G28" i="51" s="1"/>
  <c r="G29" i="51" s="1"/>
  <c r="G30" i="51" s="1"/>
  <c r="G31" i="51" s="1"/>
  <c r="G32" i="51" s="1"/>
  <c r="G33" i="51" s="1"/>
  <c r="G34" i="51" s="1"/>
  <c r="G35" i="51" s="1"/>
  <c r="G36" i="51" s="1"/>
  <c r="G37" i="51" s="1"/>
  <c r="G38" i="51" s="1"/>
  <c r="G39" i="51" s="1"/>
  <c r="G40" i="51" s="1"/>
  <c r="G41" i="51" s="1"/>
  <c r="G42" i="51" s="1"/>
  <c r="G43" i="51" s="1"/>
  <c r="G44" i="51" s="1"/>
  <c r="G45" i="51" s="1"/>
  <c r="G46" i="51" s="1"/>
  <c r="G47" i="51" s="1"/>
  <c r="G48" i="51" s="1"/>
  <c r="G49" i="51" s="1"/>
  <c r="G50" i="51" s="1"/>
  <c r="G51" i="51" s="1"/>
  <c r="G52" i="51" s="1"/>
  <c r="G53" i="51" s="1"/>
  <c r="G54" i="51" s="1"/>
  <c r="G55" i="51" s="1"/>
  <c r="G56" i="51" s="1"/>
  <c r="G57" i="51" s="1"/>
  <c r="G58" i="51" s="1"/>
  <c r="G59" i="51" s="1"/>
  <c r="G60" i="51" s="1"/>
  <c r="G61" i="51" s="1"/>
  <c r="G62" i="51" s="1"/>
  <c r="G63" i="51" s="1"/>
  <c r="G64" i="51" s="1"/>
  <c r="G65" i="51" s="1"/>
  <c r="G66" i="51" s="1"/>
  <c r="G67" i="51" s="1"/>
  <c r="G68" i="51" s="1"/>
  <c r="G69" i="51" s="1"/>
  <c r="G70" i="51" s="1"/>
  <c r="G71" i="51" s="1"/>
  <c r="G72" i="51" s="1"/>
  <c r="G73" i="51" s="1"/>
  <c r="G74" i="51" s="1"/>
  <c r="G75" i="51" s="1"/>
  <c r="G76" i="51" s="1"/>
  <c r="G77" i="51" s="1"/>
  <c r="G78" i="51" s="1"/>
  <c r="G79" i="51" s="1"/>
  <c r="G80" i="51" s="1"/>
  <c r="G81" i="51" s="1"/>
  <c r="G82" i="51" s="1"/>
  <c r="G83" i="51" s="1"/>
  <c r="G84" i="51" s="1"/>
  <c r="G85" i="51" s="1"/>
  <c r="G86" i="51" s="1"/>
  <c r="G87" i="51" s="1"/>
  <c r="G88" i="51" s="1"/>
  <c r="G89" i="51" s="1"/>
  <c r="G90" i="51" s="1"/>
  <c r="G91" i="51" s="1"/>
  <c r="G92" i="51" s="1"/>
  <c r="G93" i="51" s="1"/>
  <c r="G94" i="51" s="1"/>
  <c r="G95" i="51" s="1"/>
  <c r="G96" i="51" s="1"/>
  <c r="G97" i="51" s="1"/>
  <c r="G98" i="51" s="1"/>
  <c r="G99" i="51" s="1"/>
  <c r="G100" i="51" s="1"/>
  <c r="G101" i="51" s="1"/>
  <c r="G102" i="51" s="1"/>
  <c r="G103" i="51" s="1"/>
  <c r="G104" i="51" s="1"/>
  <c r="G105" i="51" s="1"/>
  <c r="G106" i="51" s="1"/>
  <c r="G107" i="51" s="1"/>
  <c r="G108" i="51" s="1"/>
  <c r="G109" i="51" s="1"/>
  <c r="G110" i="51" s="1"/>
  <c r="G111" i="51" s="1"/>
  <c r="G112" i="51" s="1"/>
  <c r="G113" i="51" s="1"/>
  <c r="G114" i="51" s="1"/>
  <c r="G115" i="51" s="1"/>
  <c r="G116" i="51" s="1"/>
  <c r="G117" i="51" s="1"/>
  <c r="G118" i="51" s="1"/>
  <c r="G119" i="51" s="1"/>
  <c r="G120" i="51" s="1"/>
  <c r="G121" i="51" s="1"/>
  <c r="G122" i="51" s="1"/>
  <c r="G123" i="51" s="1"/>
  <c r="G124" i="51" s="1"/>
  <c r="G125" i="51" s="1"/>
  <c r="G126" i="51" s="1"/>
  <c r="G127" i="51" s="1"/>
  <c r="G128" i="51" s="1"/>
  <c r="G129" i="51" s="1"/>
  <c r="G130" i="51" s="1"/>
  <c r="G131" i="51" s="1"/>
  <c r="G132" i="51" s="1"/>
  <c r="G133" i="51" s="1"/>
  <c r="G134" i="51" s="1"/>
  <c r="G135" i="51" s="1"/>
  <c r="G136" i="51" s="1"/>
  <c r="G137" i="51" s="1"/>
  <c r="G138" i="51" s="1"/>
  <c r="G139" i="51" s="1"/>
  <c r="G140" i="51" s="1"/>
  <c r="G141" i="51" s="1"/>
  <c r="G142" i="51" s="1"/>
  <c r="G143" i="51" s="1"/>
  <c r="G144" i="51" s="1"/>
  <c r="G145" i="51" s="1"/>
  <c r="G146" i="51" s="1"/>
  <c r="G147" i="51" s="1"/>
  <c r="G148" i="51" s="1"/>
  <c r="G149" i="51" s="1"/>
  <c r="G150" i="51" s="1"/>
  <c r="G151" i="51" s="1"/>
  <c r="G152" i="51" s="1"/>
  <c r="G153" i="51" s="1"/>
  <c r="G154" i="51" s="1"/>
  <c r="G155" i="51" s="1"/>
  <c r="G156" i="51" s="1"/>
  <c r="G157" i="51" s="1"/>
  <c r="G158" i="51" s="1"/>
  <c r="G159" i="51" s="1"/>
  <c r="G160" i="51" s="1"/>
  <c r="G161" i="51" s="1"/>
  <c r="G162" i="51" s="1"/>
  <c r="G163" i="51" s="1"/>
  <c r="I2" i="45"/>
  <c r="I3" i="45" s="1"/>
  <c r="I4" i="45" s="1"/>
  <c r="I5" i="45" s="1"/>
  <c r="K13" i="46"/>
  <c r="A13" i="46"/>
  <c r="B12" i="46"/>
  <c r="C374" i="43"/>
  <c r="G164" i="51" l="1"/>
  <c r="G165" i="51" s="1"/>
  <c r="G166" i="51" s="1"/>
  <c r="G167" i="51" s="1"/>
  <c r="G168" i="51" s="1"/>
  <c r="G169" i="51" s="1"/>
  <c r="G170" i="51" s="1"/>
  <c r="G171" i="51" s="1"/>
  <c r="G172" i="51" s="1"/>
  <c r="G173" i="51" s="1"/>
  <c r="G174" i="51" s="1"/>
  <c r="G175" i="51" s="1"/>
  <c r="G176" i="51" s="1"/>
  <c r="G177" i="51" s="1"/>
  <c r="G178" i="51" s="1"/>
  <c r="G179" i="51" s="1"/>
  <c r="G180" i="51" s="1"/>
  <c r="G181" i="51" s="1"/>
  <c r="G182" i="51" s="1"/>
  <c r="G183" i="51" s="1"/>
  <c r="G184" i="51" s="1"/>
  <c r="G185" i="51" s="1"/>
  <c r="G186" i="51" s="1"/>
  <c r="G187" i="51" s="1"/>
  <c r="G188" i="51" s="1"/>
  <c r="G189" i="51" s="1"/>
  <c r="G190" i="51" s="1"/>
  <c r="G191" i="51" s="1"/>
  <c r="G192" i="51" s="1"/>
  <c r="G193" i="51" s="1"/>
  <c r="G194" i="51" s="1"/>
  <c r="G195" i="51" s="1"/>
  <c r="G196" i="51" s="1"/>
  <c r="G197" i="51" s="1"/>
  <c r="G198" i="51" s="1"/>
  <c r="G199" i="51" s="1"/>
  <c r="G200" i="51" s="1"/>
  <c r="G201" i="51" s="1"/>
  <c r="G202" i="51" s="1"/>
  <c r="G203" i="51" s="1"/>
  <c r="G204" i="51" s="1"/>
  <c r="G205" i="51" s="1"/>
  <c r="G206" i="51" s="1"/>
  <c r="G207" i="51" s="1"/>
  <c r="G208" i="51" s="1"/>
  <c r="G209" i="51" s="1"/>
  <c r="G210" i="51" s="1"/>
  <c r="G211" i="51" s="1"/>
  <c r="G212" i="51" s="1"/>
  <c r="G213" i="51" s="1"/>
  <c r="G214" i="51" s="1"/>
  <c r="G215" i="51" s="1"/>
  <c r="G216" i="51" s="1"/>
  <c r="G217" i="51" s="1"/>
  <c r="G218" i="51" s="1"/>
  <c r="G219" i="51" s="1"/>
  <c r="G220" i="51" s="1"/>
  <c r="G221" i="51" s="1"/>
  <c r="G222" i="51" s="1"/>
  <c r="G223" i="51" s="1"/>
  <c r="G224" i="51" s="1"/>
  <c r="G225" i="51" s="1"/>
  <c r="G226" i="51" s="1"/>
  <c r="G227" i="51" s="1"/>
  <c r="G228" i="51" s="1"/>
  <c r="G229" i="51" s="1"/>
  <c r="G230" i="51" s="1"/>
  <c r="G231" i="51" s="1"/>
  <c r="G232" i="51" s="1"/>
  <c r="G233" i="51" s="1"/>
  <c r="G234" i="51" s="1"/>
  <c r="G235" i="51" s="1"/>
  <c r="G236" i="51" s="1"/>
  <c r="G237" i="51" s="1"/>
  <c r="G238" i="51" s="1"/>
  <c r="G239" i="51" s="1"/>
  <c r="G240" i="51" s="1"/>
  <c r="G241" i="51" s="1"/>
  <c r="G242" i="51" s="1"/>
  <c r="G243" i="51" s="1"/>
  <c r="G244" i="51" s="1"/>
  <c r="G245" i="51" s="1"/>
  <c r="G246" i="51" s="1"/>
  <c r="G247" i="51" s="1"/>
  <c r="G248" i="51" s="1"/>
  <c r="G249" i="51" s="1"/>
  <c r="G250" i="51" s="1"/>
  <c r="G251" i="51" s="1"/>
  <c r="G252" i="51" s="1"/>
  <c r="G253" i="51" s="1"/>
  <c r="G254" i="51" s="1"/>
  <c r="G255" i="51" s="1"/>
  <c r="G256" i="51" s="1"/>
  <c r="G257" i="51" s="1"/>
  <c r="G258" i="51" s="1"/>
  <c r="G259" i="51" s="1"/>
  <c r="G260" i="51" s="1"/>
  <c r="G261" i="51" s="1"/>
  <c r="G262" i="51" s="1"/>
  <c r="G263" i="51" s="1"/>
  <c r="G264" i="51" s="1"/>
  <c r="G265" i="51" s="1"/>
  <c r="G266" i="51" s="1"/>
  <c r="G267" i="51" s="1"/>
  <c r="G268" i="51" s="1"/>
  <c r="G269" i="51" s="1"/>
  <c r="G270" i="51" s="1"/>
  <c r="G271" i="51" s="1"/>
  <c r="G272" i="51" s="1"/>
  <c r="G273" i="51" s="1"/>
  <c r="G274" i="51" s="1"/>
  <c r="G275" i="51" s="1"/>
  <c r="G276" i="51" s="1"/>
  <c r="G277" i="51" s="1"/>
  <c r="G278" i="51" s="1"/>
  <c r="G279" i="51" s="1"/>
  <c r="G280" i="51" s="1"/>
  <c r="G281" i="51" s="1"/>
  <c r="G282" i="51" s="1"/>
  <c r="G283" i="51" s="1"/>
  <c r="G284" i="51" s="1"/>
  <c r="G285" i="51" s="1"/>
  <c r="G286" i="51" s="1"/>
  <c r="G287" i="51" s="1"/>
  <c r="G288" i="51" s="1"/>
  <c r="G289" i="51" s="1"/>
  <c r="G290" i="51" s="1"/>
  <c r="G291" i="51" s="1"/>
  <c r="G292" i="51" s="1"/>
  <c r="G293" i="51" s="1"/>
  <c r="G294" i="51" s="1"/>
  <c r="G295" i="51" s="1"/>
  <c r="G296" i="51" s="1"/>
  <c r="G297" i="51" s="1"/>
  <c r="G298" i="51" s="1"/>
  <c r="G299" i="51" s="1"/>
  <c r="G300" i="51" s="1"/>
  <c r="G301" i="51" s="1"/>
  <c r="G302" i="51" s="1"/>
  <c r="G303" i="51" s="1"/>
  <c r="G304" i="51" s="1"/>
  <c r="G305" i="51" s="1"/>
  <c r="G306" i="51" s="1"/>
  <c r="G307" i="51" s="1"/>
  <c r="G308" i="51" s="1"/>
  <c r="G309" i="51" s="1"/>
  <c r="G310" i="51" s="1"/>
  <c r="G311" i="51" s="1"/>
  <c r="G312" i="51" s="1"/>
  <c r="G313" i="51" s="1"/>
  <c r="G314" i="51" s="1"/>
  <c r="I6" i="45"/>
  <c r="K14" i="46"/>
  <c r="A14" i="46"/>
  <c r="B13" i="46"/>
  <c r="C172" i="43"/>
  <c r="C170" i="43"/>
  <c r="C160" i="43"/>
  <c r="D147" i="43"/>
  <c r="D144" i="43"/>
  <c r="I7" i="45" l="1"/>
  <c r="I8" i="45" s="1"/>
  <c r="I9" i="45" s="1"/>
  <c r="I10" i="45" s="1"/>
  <c r="I11" i="45" s="1"/>
  <c r="I12" i="45" s="1"/>
  <c r="I13" i="45" s="1"/>
  <c r="I14" i="45" s="1"/>
  <c r="K15" i="46"/>
  <c r="A15" i="46"/>
  <c r="B14" i="46"/>
  <c r="C147" i="43"/>
  <c r="C144" i="43"/>
  <c r="D141" i="43"/>
  <c r="D136" i="43"/>
  <c r="D132" i="43"/>
  <c r="C141" i="43"/>
  <c r="C136" i="43"/>
  <c r="C132" i="43"/>
  <c r="K16" i="46" l="1"/>
  <c r="A16" i="46"/>
  <c r="B15" i="46"/>
  <c r="C14" i="43"/>
  <c r="C13" i="43"/>
  <c r="C17" i="43"/>
  <c r="C18" i="43"/>
  <c r="C19" i="43"/>
  <c r="K17" i="46" l="1"/>
  <c r="A17" i="46"/>
  <c r="B16" i="46"/>
  <c r="C334" i="43"/>
  <c r="C333" i="43"/>
  <c r="C332" i="43"/>
  <c r="C331" i="43"/>
  <c r="K18" i="46" l="1"/>
  <c r="A18" i="46"/>
  <c r="B17" i="46"/>
  <c r="C75" i="43"/>
  <c r="C74" i="43"/>
  <c r="C73" i="43"/>
  <c r="C72" i="43"/>
  <c r="C71" i="43"/>
  <c r="K19" i="46" l="1"/>
  <c r="A19" i="46"/>
  <c r="B18" i="46"/>
  <c r="D38" i="43"/>
  <c r="D37" i="43"/>
  <c r="D36" i="43"/>
  <c r="D103" i="43"/>
  <c r="D102" i="43"/>
  <c r="D101" i="43"/>
  <c r="D17" i="43"/>
  <c r="D18" i="43"/>
  <c r="D19" i="43"/>
  <c r="D20" i="43"/>
  <c r="D21" i="43"/>
  <c r="D22" i="43"/>
  <c r="D23" i="43"/>
  <c r="D24" i="43"/>
  <c r="D25" i="43"/>
  <c r="D26" i="43"/>
  <c r="D27" i="43"/>
  <c r="D28" i="43"/>
  <c r="D29" i="43"/>
  <c r="D31" i="43"/>
  <c r="D32" i="43"/>
  <c r="D33" i="43"/>
  <c r="D34" i="43"/>
  <c r="D110" i="43"/>
  <c r="D187" i="43"/>
  <c r="D188" i="43"/>
  <c r="D189" i="43"/>
  <c r="D190" i="43"/>
  <c r="D192" i="43"/>
  <c r="D193" i="43"/>
  <c r="D194" i="43"/>
  <c r="D195" i="43"/>
  <c r="D196" i="43"/>
  <c r="D197" i="43"/>
  <c r="D198" i="43"/>
  <c r="D200" i="43"/>
  <c r="D201" i="43"/>
  <c r="C270" i="43"/>
  <c r="C269" i="43"/>
  <c r="C268" i="43"/>
  <c r="C267" i="43"/>
  <c r="C266" i="43"/>
  <c r="C262" i="43"/>
  <c r="C261" i="43"/>
  <c r="C259" i="43"/>
  <c r="C258" i="43"/>
  <c r="C256" i="43"/>
  <c r="C255" i="43"/>
  <c r="C254" i="43"/>
  <c r="C253" i="43"/>
  <c r="C252" i="43"/>
  <c r="C251" i="43"/>
  <c r="C250" i="43"/>
  <c r="C248" i="43"/>
  <c r="C247" i="43"/>
  <c r="C246" i="43"/>
  <c r="C245" i="43"/>
  <c r="C244" i="43"/>
  <c r="C242" i="43"/>
  <c r="C241" i="43"/>
  <c r="C240" i="43"/>
  <c r="C239" i="43"/>
  <c r="C238" i="43"/>
  <c r="C237" i="43"/>
  <c r="C236" i="43"/>
  <c r="C235" i="43"/>
  <c r="C234" i="43"/>
  <c r="C233" i="43"/>
  <c r="C232" i="43"/>
  <c r="C231" i="43"/>
  <c r="C230" i="43"/>
  <c r="C229" i="43"/>
  <c r="C228" i="43"/>
  <c r="C227" i="43"/>
  <c r="C201" i="43"/>
  <c r="C200" i="43"/>
  <c r="C199" i="43"/>
  <c r="C198" i="43"/>
  <c r="C197" i="43"/>
  <c r="C196" i="43"/>
  <c r="C195" i="43"/>
  <c r="C194" i="43"/>
  <c r="C193" i="43"/>
  <c r="C192" i="43"/>
  <c r="C191" i="43"/>
  <c r="C190" i="43"/>
  <c r="C189" i="43"/>
  <c r="C188" i="43"/>
  <c r="C187" i="43"/>
  <c r="C185" i="43"/>
  <c r="C186" i="43"/>
  <c r="C184" i="43"/>
  <c r="C183" i="43"/>
  <c r="C182" i="43"/>
  <c r="C181" i="43"/>
  <c r="C180" i="43"/>
  <c r="C179" i="43"/>
  <c r="C130" i="43"/>
  <c r="C129" i="43"/>
  <c r="C128" i="43"/>
  <c r="C127" i="43"/>
  <c r="C126" i="43"/>
  <c r="C105" i="43"/>
  <c r="C104" i="43"/>
  <c r="C103" i="43"/>
  <c r="C102" i="43"/>
  <c r="C101" i="43"/>
  <c r="C100" i="43"/>
  <c r="E365" i="43"/>
  <c r="C364" i="43"/>
  <c r="C363" i="43"/>
  <c r="C362" i="43"/>
  <c r="C361" i="43"/>
  <c r="C360" i="43"/>
  <c r="C359" i="43"/>
  <c r="C358" i="43"/>
  <c r="C357" i="43"/>
  <c r="C356" i="43"/>
  <c r="C355" i="43"/>
  <c r="C354" i="43"/>
  <c r="C353" i="43"/>
  <c r="C352" i="43"/>
  <c r="C351" i="43"/>
  <c r="C350" i="43"/>
  <c r="C349" i="43"/>
  <c r="C348" i="43"/>
  <c r="C347" i="43"/>
  <c r="C346" i="43"/>
  <c r="C345" i="43"/>
  <c r="C344" i="43"/>
  <c r="C343" i="43"/>
  <c r="C342" i="43"/>
  <c r="C338" i="43"/>
  <c r="C337" i="43"/>
  <c r="C336" i="43"/>
  <c r="C335" i="43"/>
  <c r="C328" i="43"/>
  <c r="C327" i="43"/>
  <c r="C326" i="43"/>
  <c r="C325" i="43"/>
  <c r="C324" i="43"/>
  <c r="C323" i="43"/>
  <c r="C322" i="43"/>
  <c r="C321" i="43"/>
  <c r="C320" i="43"/>
  <c r="C319" i="43"/>
  <c r="C318" i="43"/>
  <c r="C317" i="43"/>
  <c r="C316" i="43"/>
  <c r="C315" i="43"/>
  <c r="C314" i="43"/>
  <c r="C313" i="43"/>
  <c r="C312" i="43"/>
  <c r="C311" i="43"/>
  <c r="C310" i="43"/>
  <c r="C309" i="43"/>
  <c r="C308" i="43"/>
  <c r="C307" i="43"/>
  <c r="C306" i="43"/>
  <c r="C305" i="43"/>
  <c r="C304" i="43"/>
  <c r="C303" i="43"/>
  <c r="C302" i="43"/>
  <c r="C301" i="43"/>
  <c r="C297" i="43"/>
  <c r="C296" i="43"/>
  <c r="C295" i="43"/>
  <c r="C294" i="43"/>
  <c r="C293" i="43"/>
  <c r="C292" i="43"/>
  <c r="C290" i="43"/>
  <c r="C289" i="43"/>
  <c r="C288" i="43"/>
  <c r="C287" i="43"/>
  <c r="C286" i="43"/>
  <c r="C285" i="43"/>
  <c r="C284" i="43"/>
  <c r="C283" i="43"/>
  <c r="C282" i="43"/>
  <c r="C281" i="43"/>
  <c r="C280" i="43"/>
  <c r="C94" i="43"/>
  <c r="C93" i="43"/>
  <c r="C92" i="43"/>
  <c r="C91" i="43"/>
  <c r="C90" i="43"/>
  <c r="C89" i="43"/>
  <c r="C88" i="43"/>
  <c r="C87" i="43"/>
  <c r="C86" i="43"/>
  <c r="C85" i="43"/>
  <c r="C84" i="43"/>
  <c r="C83" i="43"/>
  <c r="C82" i="43"/>
  <c r="C81" i="43"/>
  <c r="C80" i="43"/>
  <c r="C79" i="43"/>
  <c r="C78" i="43"/>
  <c r="C77" i="43"/>
  <c r="C69" i="43"/>
  <c r="C68" i="43"/>
  <c r="C67" i="43"/>
  <c r="C66" i="43"/>
  <c r="C65" i="43"/>
  <c r="C63" i="43"/>
  <c r="C62" i="43"/>
  <c r="C61" i="43"/>
  <c r="C60" i="43"/>
  <c r="C59" i="43"/>
  <c r="C58" i="43"/>
  <c r="C57" i="43"/>
  <c r="C56" i="43"/>
  <c r="C52" i="43"/>
  <c r="C51" i="43"/>
  <c r="C50" i="43"/>
  <c r="C49" i="43"/>
  <c r="C48" i="43"/>
  <c r="C47" i="43"/>
  <c r="C46" i="43"/>
  <c r="C45" i="43"/>
  <c r="C44" i="43"/>
  <c r="C35" i="43"/>
  <c r="C34" i="43"/>
  <c r="C32" i="43"/>
  <c r="C29" i="43"/>
  <c r="C27" i="43"/>
  <c r="C26" i="43"/>
  <c r="C25" i="43"/>
  <c r="C24" i="43"/>
  <c r="C23" i="43"/>
  <c r="C22" i="43"/>
  <c r="C21" i="43"/>
  <c r="C20" i="43"/>
  <c r="C40" i="43"/>
  <c r="C37" i="43"/>
  <c r="C36" i="43"/>
  <c r="C39" i="43"/>
  <c r="C38" i="43"/>
  <c r="C28" i="43"/>
  <c r="C12" i="43"/>
  <c r="C4" i="43"/>
  <c r="K20" i="46" l="1"/>
  <c r="A20" i="46"/>
  <c r="B19" i="46"/>
  <c r="D59" i="43"/>
  <c r="K21" i="46" l="1"/>
  <c r="A21" i="46"/>
  <c r="B20" i="46"/>
  <c r="D168" i="43"/>
  <c r="K22" i="46" l="1"/>
  <c r="A22" i="46"/>
  <c r="B21" i="46"/>
  <c r="D50" i="43"/>
  <c r="K23" i="46" l="1"/>
  <c r="A23" i="46"/>
  <c r="B22" i="46"/>
  <c r="D160" i="43"/>
  <c r="D175" i="43"/>
  <c r="K24" i="46" l="1"/>
  <c r="A24" i="46"/>
  <c r="B23" i="46"/>
  <c r="D129" i="43"/>
  <c r="D94" i="43"/>
  <c r="D93" i="43"/>
  <c r="D92" i="43"/>
  <c r="D91" i="43"/>
  <c r="D90" i="43"/>
  <c r="D89" i="43"/>
  <c r="D88" i="43"/>
  <c r="D87" i="43"/>
  <c r="D86" i="43"/>
  <c r="D85" i="43"/>
  <c r="D84" i="43"/>
  <c r="D83" i="43"/>
  <c r="D82" i="43"/>
  <c r="D81" i="43"/>
  <c r="D80" i="43"/>
  <c r="D79" i="43"/>
  <c r="D78" i="43"/>
  <c r="D77" i="43"/>
  <c r="D76" i="43"/>
  <c r="D75" i="43"/>
  <c r="D74" i="43"/>
  <c r="D73" i="43"/>
  <c r="D70" i="43"/>
  <c r="D69" i="43"/>
  <c r="K25" i="46" l="1"/>
  <c r="A25" i="46"/>
  <c r="B24" i="46"/>
  <c r="D52" i="43"/>
  <c r="D51" i="43"/>
  <c r="D58" i="43"/>
  <c r="D57" i="43"/>
  <c r="D46" i="43"/>
  <c r="D45" i="43"/>
  <c r="D62" i="43"/>
  <c r="D63" i="43"/>
  <c r="D64" i="43"/>
  <c r="D67" i="43"/>
  <c r="D66" i="43"/>
  <c r="D130" i="43"/>
  <c r="D179" i="43"/>
  <c r="D128" i="43"/>
  <c r="D127" i="43"/>
  <c r="D126" i="43"/>
  <c r="D68" i="43"/>
  <c r="K26" i="46" l="1"/>
  <c r="A26" i="46"/>
  <c r="B25" i="46"/>
  <c r="D182" i="43"/>
  <c r="D181" i="43"/>
  <c r="D171" i="43"/>
  <c r="D169" i="43"/>
  <c r="D167" i="43"/>
  <c r="D166" i="43"/>
  <c r="D162" i="43"/>
  <c r="D161" i="43"/>
  <c r="D9" i="43"/>
  <c r="D4" i="43"/>
  <c r="D163" i="43"/>
  <c r="D165" i="43"/>
  <c r="D170" i="43"/>
  <c r="D172" i="43"/>
  <c r="D173" i="43"/>
  <c r="D174" i="43"/>
  <c r="D184" i="43"/>
  <c r="D185" i="43"/>
  <c r="D111" i="43"/>
  <c r="D44" i="43"/>
  <c r="D49" i="43"/>
  <c r="D56" i="43"/>
  <c r="D60" i="43"/>
  <c r="D61" i="43"/>
  <c r="D65" i="43"/>
  <c r="D71" i="43"/>
  <c r="D72" i="43"/>
  <c r="D220" i="43"/>
  <c r="D221" i="43"/>
  <c r="D222" i="43"/>
  <c r="D223" i="43"/>
  <c r="D224" i="43"/>
  <c r="D225"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B350" i="46"/>
  <c r="K352" i="46" l="1"/>
  <c r="A352" i="46"/>
  <c r="B351" i="46"/>
  <c r="K353" i="46" l="1"/>
  <c r="A353" i="46"/>
  <c r="B352" i="46"/>
  <c r="K354" i="46" l="1"/>
  <c r="A354" i="46"/>
  <c r="B353" i="46"/>
  <c r="K355" i="46" l="1"/>
  <c r="A355" i="46"/>
  <c r="B354" i="46"/>
  <c r="K356" i="46" l="1"/>
  <c r="A356" i="46"/>
  <c r="B355" i="46"/>
  <c r="K357" i="46" l="1"/>
  <c r="A357"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B369" i="46"/>
  <c r="K371" i="46" l="1"/>
  <c r="A371" i="46"/>
  <c r="B370" i="46"/>
  <c r="K372" i="46" l="1"/>
  <c r="A372" i="46"/>
  <c r="B371" i="46"/>
  <c r="K373" i="46" l="1"/>
  <c r="A373" i="46"/>
  <c r="B372" i="46"/>
  <c r="K374" i="46" l="1"/>
  <c r="A374" i="46"/>
  <c r="B373" i="46"/>
  <c r="K375" i="46" l="1"/>
  <c r="A375" i="46"/>
  <c r="B374" i="46"/>
  <c r="K376" i="46" l="1"/>
  <c r="A376" i="46"/>
  <c r="B375" i="46"/>
  <c r="K377" i="46" l="1"/>
  <c r="A377" i="46"/>
  <c r="B376" i="46"/>
  <c r="K378" i="46" l="1"/>
  <c r="A378" i="46"/>
  <c r="B377" i="46"/>
  <c r="K379" i="46" l="1"/>
  <c r="A379" i="46"/>
  <c r="B378" i="46"/>
  <c r="K380" i="46" l="1"/>
  <c r="A380" i="46"/>
  <c r="B379" i="46"/>
  <c r="K381" i="46" l="1"/>
  <c r="A381" i="46"/>
  <c r="B380" i="46"/>
  <c r="K382" i="46" l="1"/>
  <c r="A382" i="46"/>
  <c r="B381" i="46"/>
  <c r="K383" i="46" l="1"/>
  <c r="A383" i="46"/>
  <c r="B382" i="46"/>
  <c r="K384" i="46" l="1"/>
  <c r="A384" i="46"/>
  <c r="B383" i="46"/>
  <c r="K385" i="46" l="1"/>
  <c r="A385" i="46"/>
  <c r="B384" i="46"/>
  <c r="K386" i="46" l="1"/>
  <c r="A386" i="46"/>
  <c r="B385" i="46"/>
  <c r="K387" i="46" l="1"/>
  <c r="A387" i="46"/>
  <c r="B386" i="46"/>
  <c r="K388" i="46" l="1"/>
  <c r="A388" i="46"/>
  <c r="B387" i="46"/>
  <c r="K389" i="46" l="1"/>
  <c r="A389" i="46"/>
  <c r="B388" i="46"/>
  <c r="K390" i="46" l="1"/>
  <c r="A390" i="46"/>
  <c r="B389" i="46"/>
  <c r="K391" i="46" l="1"/>
  <c r="A391" i="46"/>
  <c r="B390" i="46"/>
  <c r="K392" i="46" l="1"/>
  <c r="A392" i="46"/>
  <c r="B391" i="46"/>
  <c r="K393" i="46" l="1"/>
  <c r="A393" i="46"/>
  <c r="B392" i="46"/>
  <c r="K394" i="46" l="1"/>
  <c r="A394" i="46"/>
  <c r="B393" i="46"/>
  <c r="K395" i="46" l="1"/>
  <c r="A395" i="46"/>
  <c r="B394" i="46"/>
  <c r="K396" i="46" l="1"/>
  <c r="A396" i="46"/>
  <c r="B395" i="46"/>
  <c r="K397" i="46" l="1"/>
  <c r="A397" i="46"/>
  <c r="B396" i="46"/>
  <c r="K398" i="46" l="1"/>
  <c r="A398" i="46"/>
  <c r="B397" i="46"/>
  <c r="K399" i="46" l="1"/>
  <c r="A399" i="46"/>
  <c r="B398" i="46"/>
  <c r="K400" i="46" l="1"/>
  <c r="A400" i="46"/>
  <c r="B399" i="46"/>
  <c r="K401" i="46" l="1"/>
  <c r="A401" i="46"/>
  <c r="B400" i="46"/>
  <c r="K402" i="46" l="1"/>
  <c r="A402" i="46"/>
  <c r="B401" i="46"/>
  <c r="K403" i="46" l="1"/>
  <c r="A403" i="46"/>
  <c r="B402" i="46"/>
  <c r="K404" i="46" l="1"/>
  <c r="A404" i="46"/>
  <c r="B403" i="46"/>
  <c r="K405" i="46" l="1"/>
  <c r="A405" i="46"/>
  <c r="B404" i="46"/>
  <c r="K406" i="46" l="1"/>
  <c r="A406" i="46"/>
  <c r="B405" i="46"/>
  <c r="K407" i="46" l="1"/>
  <c r="A407" i="46"/>
  <c r="B406" i="46"/>
  <c r="K408" i="46" l="1"/>
  <c r="A408" i="46"/>
  <c r="B407" i="46"/>
  <c r="K409" i="46" l="1"/>
  <c r="A409" i="46"/>
  <c r="B408" i="46"/>
  <c r="K410" i="46" l="1"/>
  <c r="A410" i="46"/>
  <c r="B409" i="46"/>
  <c r="K411" i="46" l="1"/>
  <c r="A411" i="46"/>
  <c r="B410" i="46"/>
  <c r="K412" i="46" l="1"/>
  <c r="A412" i="46"/>
  <c r="B411" i="46"/>
  <c r="K413" i="46" l="1"/>
  <c r="A413" i="46"/>
  <c r="B412" i="46"/>
  <c r="K414" i="46" l="1"/>
  <c r="A414" i="46"/>
  <c r="B413" i="46"/>
  <c r="K415" i="46" l="1"/>
  <c r="A415" i="46"/>
  <c r="B414" i="46"/>
  <c r="K416" i="46" l="1"/>
  <c r="A416" i="46"/>
  <c r="B415" i="46"/>
  <c r="K417" i="46" l="1"/>
  <c r="A417" i="46"/>
  <c r="B416" i="46"/>
  <c r="K418" i="46" l="1"/>
  <c r="A418" i="46"/>
  <c r="B417" i="46"/>
  <c r="K419" i="46" l="1"/>
  <c r="A419" i="46"/>
  <c r="B418" i="46"/>
  <c r="K420" i="46" l="1"/>
  <c r="A420" i="46"/>
  <c r="B419" i="46"/>
  <c r="K421" i="46" l="1"/>
  <c r="A421" i="46"/>
  <c r="B420" i="46"/>
  <c r="K422" i="46" l="1"/>
  <c r="A422" i="46"/>
  <c r="B421" i="46"/>
  <c r="K423" i="46" l="1"/>
  <c r="A423" i="46"/>
  <c r="B422" i="46"/>
  <c r="K424" i="46" l="1"/>
  <c r="A424" i="46"/>
  <c r="B423" i="46"/>
  <c r="K425" i="46" l="1"/>
  <c r="A425" i="46"/>
  <c r="B424" i="46"/>
  <c r="K426" i="46" l="1"/>
  <c r="A426" i="46"/>
  <c r="B425" i="46"/>
  <c r="K427" i="46" l="1"/>
  <c r="A427" i="46"/>
  <c r="B426" i="46"/>
  <c r="K428" i="46" l="1"/>
  <c r="A428" i="46"/>
  <c r="B427" i="46"/>
  <c r="K429" i="46" l="1"/>
  <c r="A429" i="46"/>
  <c r="B428" i="46"/>
  <c r="K430" i="46" l="1"/>
  <c r="A430" i="46"/>
  <c r="B429" i="46"/>
  <c r="K431" i="46" l="1"/>
  <c r="A431" i="46"/>
  <c r="B430" i="46"/>
  <c r="K432" i="46" l="1"/>
  <c r="A432" i="46"/>
  <c r="B431" i="46"/>
  <c r="K433" i="46" l="1"/>
  <c r="A433" i="46"/>
  <c r="B432" i="46"/>
  <c r="K434" i="46" l="1"/>
  <c r="A434" i="46"/>
  <c r="B433" i="46"/>
  <c r="K435" i="46" l="1"/>
  <c r="A435" i="46"/>
  <c r="B434" i="46"/>
  <c r="K436" i="46" l="1"/>
  <c r="A436" i="46"/>
  <c r="B435" i="46"/>
  <c r="K437" i="46" l="1"/>
  <c r="A437" i="46"/>
  <c r="B436" i="46"/>
  <c r="K438" i="46" l="1"/>
  <c r="A438" i="46"/>
  <c r="B437" i="46"/>
  <c r="K439" i="46" l="1"/>
  <c r="A439" i="46"/>
  <c r="B438" i="46"/>
  <c r="K440" i="46" l="1"/>
  <c r="A440" i="46"/>
  <c r="B439" i="46"/>
  <c r="K441" i="46" l="1"/>
  <c r="A441" i="46"/>
  <c r="B440" i="46"/>
  <c r="K442" i="46" l="1"/>
  <c r="A442" i="46"/>
  <c r="B441" i="46"/>
  <c r="K443" i="46" l="1"/>
  <c r="A443" i="46"/>
  <c r="B442" i="46"/>
  <c r="K444" i="46" l="1"/>
  <c r="A444" i="46"/>
  <c r="B443" i="46"/>
  <c r="K445" i="46" l="1"/>
  <c r="A445" i="46"/>
  <c r="B444" i="46"/>
  <c r="K446" i="46" l="1"/>
  <c r="A446" i="46"/>
  <c r="B445" i="46"/>
  <c r="K447" i="46" l="1"/>
  <c r="A447" i="46"/>
  <c r="B446" i="46"/>
  <c r="K448" i="46" l="1"/>
  <c r="A448" i="46"/>
  <c r="B447" i="46"/>
  <c r="K449" i="46" l="1"/>
  <c r="A449" i="46"/>
  <c r="B448" i="46"/>
  <c r="K450" i="46" l="1"/>
  <c r="A450" i="46"/>
  <c r="B449" i="46"/>
  <c r="K451" i="46" l="1"/>
  <c r="A451" i="46"/>
  <c r="B450" i="46"/>
  <c r="K452" i="46" l="1"/>
  <c r="A452" i="46"/>
  <c r="B451" i="46"/>
  <c r="K453" i="46" l="1"/>
  <c r="A453" i="46"/>
  <c r="B452" i="46"/>
  <c r="K454" i="46" l="1"/>
  <c r="A454" i="46"/>
  <c r="B453" i="46"/>
  <c r="K455" i="46" l="1"/>
  <c r="A455" i="46"/>
  <c r="B454" i="46"/>
  <c r="K456" i="46" l="1"/>
  <c r="A456" i="46"/>
  <c r="B455" i="46"/>
  <c r="K457" i="46" l="1"/>
  <c r="A457" i="46"/>
  <c r="B456" i="46"/>
  <c r="K458" i="46" l="1"/>
  <c r="A458" i="46"/>
  <c r="B457" i="46"/>
  <c r="K459" i="46" l="1"/>
  <c r="A459" i="46"/>
  <c r="B458" i="46"/>
  <c r="K460" i="46" l="1"/>
  <c r="A460" i="46"/>
  <c r="B459" i="46"/>
  <c r="K461" i="46" l="1"/>
  <c r="A461" i="46"/>
  <c r="B460" i="46"/>
  <c r="K462" i="46" l="1"/>
  <c r="A462" i="46"/>
  <c r="B461" i="46"/>
  <c r="K463" i="46" l="1"/>
  <c r="A463" i="46"/>
  <c r="B462" i="46"/>
  <c r="K464" i="46" l="1"/>
  <c r="A464" i="46"/>
  <c r="B463" i="46"/>
  <c r="K465" i="46" l="1"/>
  <c r="A465" i="46"/>
  <c r="B464" i="46"/>
  <c r="K466" i="46" l="1"/>
  <c r="A466" i="46"/>
  <c r="B465" i="46"/>
  <c r="K467" i="46" l="1"/>
  <c r="A467" i="46"/>
  <c r="B466" i="46"/>
  <c r="K468" i="46" l="1"/>
  <c r="A468" i="46"/>
  <c r="B467" i="46"/>
  <c r="K469" i="46" l="1"/>
  <c r="A469" i="46"/>
  <c r="B468" i="46"/>
  <c r="K470" i="46" l="1"/>
  <c r="A470" i="46"/>
  <c r="B469" i="46"/>
  <c r="K471" i="46" l="1"/>
  <c r="A471" i="46"/>
  <c r="B470" i="46"/>
  <c r="K472" i="46" l="1"/>
  <c r="A472" i="46"/>
  <c r="B471" i="46"/>
  <c r="K473" i="46" l="1"/>
  <c r="A473" i="46"/>
  <c r="B472" i="46"/>
  <c r="K474" i="46" l="1"/>
  <c r="A474" i="46"/>
  <c r="B473" i="46"/>
  <c r="K475" i="46" l="1"/>
  <c r="A475" i="46"/>
  <c r="B474" i="46"/>
  <c r="K476" i="46" l="1"/>
  <c r="A476" i="46"/>
  <c r="B475" i="46"/>
  <c r="K477" i="46" l="1"/>
  <c r="A477" i="46"/>
  <c r="B476" i="46"/>
  <c r="K478" i="46" l="1"/>
  <c r="A478" i="46"/>
  <c r="B477" i="46"/>
  <c r="K479" i="46" l="1"/>
  <c r="A479" i="46"/>
  <c r="B478" i="46"/>
  <c r="K480" i="46" l="1"/>
  <c r="A480" i="46"/>
  <c r="B479" i="46"/>
  <c r="K481" i="46" l="1"/>
  <c r="A481" i="46"/>
  <c r="B480" i="46"/>
  <c r="K482" i="46" l="1"/>
  <c r="A482" i="46"/>
  <c r="B481" i="46"/>
  <c r="K483" i="46" l="1"/>
  <c r="A483" i="46"/>
  <c r="B482" i="46"/>
  <c r="K484" i="46" l="1"/>
  <c r="A484" i="46"/>
  <c r="B483" i="46"/>
  <c r="K485" i="46" l="1"/>
  <c r="A485" i="46"/>
  <c r="B484" i="46"/>
  <c r="K486" i="46" l="1"/>
  <c r="A486" i="46"/>
  <c r="B485" i="46"/>
  <c r="K487" i="46" l="1"/>
  <c r="A487" i="46"/>
  <c r="B486" i="46"/>
  <c r="K488" i="46" l="1"/>
  <c r="A488" i="46"/>
  <c r="B487" i="46"/>
  <c r="K489" i="46" l="1"/>
  <c r="A489" i="46"/>
  <c r="B488" i="46"/>
  <c r="K490" i="46" l="1"/>
  <c r="A490" i="46"/>
  <c r="B489" i="46"/>
  <c r="K491" i="46" l="1"/>
  <c r="A491" i="46"/>
  <c r="B490" i="46"/>
  <c r="K492" i="46" l="1"/>
  <c r="A492" i="46"/>
  <c r="B491" i="46"/>
  <c r="K493" i="46" l="1"/>
  <c r="A493" i="46"/>
  <c r="B492" i="46"/>
  <c r="K494" i="46" l="1"/>
  <c r="A494" i="46"/>
  <c r="B493" i="46"/>
  <c r="K495" i="46" l="1"/>
  <c r="A495" i="46"/>
  <c r="B494" i="46"/>
  <c r="K496" i="46" l="1"/>
  <c r="A496" i="46"/>
  <c r="B495" i="46"/>
  <c r="K497" i="46" l="1"/>
  <c r="A497" i="46"/>
  <c r="B496" i="46"/>
  <c r="K498" i="46" l="1"/>
  <c r="A498" i="46"/>
  <c r="B497" i="46"/>
  <c r="K499" i="46" l="1"/>
  <c r="A499" i="46"/>
  <c r="B498" i="46"/>
  <c r="K500" i="46" l="1"/>
  <c r="A500" i="46"/>
  <c r="B499" i="46"/>
  <c r="K501" i="46" l="1"/>
  <c r="A501" i="46"/>
  <c r="B500" i="46"/>
  <c r="K502" i="46" l="1"/>
  <c r="A502" i="46"/>
  <c r="B501" i="46"/>
  <c r="K503" i="46" l="1"/>
  <c r="A503" i="46"/>
  <c r="B502" i="46"/>
  <c r="K504" i="46" l="1"/>
  <c r="A504" i="46"/>
  <c r="B503" i="46"/>
  <c r="K505" i="46" l="1"/>
  <c r="A505" i="46"/>
  <c r="B504" i="46"/>
  <c r="K506" i="46" l="1"/>
  <c r="A506" i="46"/>
  <c r="B505" i="46"/>
  <c r="K507" i="46" l="1"/>
  <c r="A507" i="46"/>
  <c r="B506" i="46"/>
  <c r="K508" i="46" l="1"/>
  <c r="A508" i="46"/>
  <c r="B507" i="46"/>
  <c r="K509" i="46" l="1"/>
  <c r="A509" i="46"/>
  <c r="B508" i="46"/>
  <c r="K510" i="46" l="1"/>
  <c r="A510" i="46"/>
  <c r="B509" i="46"/>
  <c r="K511" i="46" l="1"/>
  <c r="A511" i="46"/>
  <c r="B510" i="46"/>
  <c r="K512" i="46" l="1"/>
  <c r="A512" i="46"/>
  <c r="B511" i="46"/>
  <c r="K513" i="46" l="1"/>
  <c r="A513" i="46"/>
  <c r="B512" i="46"/>
  <c r="K514" i="46" l="1"/>
  <c r="A514" i="46"/>
  <c r="B513" i="46"/>
  <c r="K515" i="46" l="1"/>
  <c r="A515" i="46"/>
  <c r="B514" i="46"/>
  <c r="K516" i="46" l="1"/>
  <c r="A516" i="46"/>
  <c r="B515" i="46"/>
  <c r="K517" i="46" l="1"/>
  <c r="A517" i="46"/>
  <c r="B516" i="46"/>
  <c r="K518" i="46" l="1"/>
  <c r="A518" i="46"/>
  <c r="B517" i="46"/>
  <c r="K519" i="46" l="1"/>
  <c r="A519" i="46"/>
  <c r="B518" i="46"/>
  <c r="K520" i="46" l="1"/>
  <c r="A520" i="46"/>
  <c r="B519" i="46"/>
  <c r="K521" i="46" l="1"/>
  <c r="A521" i="46"/>
  <c r="B520" i="46"/>
  <c r="K522" i="46" l="1"/>
  <c r="A522" i="46"/>
  <c r="B521" i="46"/>
  <c r="K523" i="46" l="1"/>
  <c r="A523" i="46"/>
  <c r="B522" i="46"/>
  <c r="K524" i="46" l="1"/>
  <c r="A524" i="46"/>
  <c r="B523" i="46"/>
  <c r="K525" i="46" l="1"/>
  <c r="A525" i="46"/>
  <c r="B524" i="46"/>
  <c r="K526" i="46" l="1"/>
  <c r="A526" i="46"/>
  <c r="B525" i="46"/>
  <c r="K527" i="46" l="1"/>
  <c r="A527" i="46"/>
  <c r="B526" i="46"/>
  <c r="K528" i="46" l="1"/>
  <c r="A528" i="46"/>
  <c r="B527" i="46"/>
  <c r="K529" i="46" l="1"/>
  <c r="A529" i="46"/>
  <c r="B528" i="46"/>
  <c r="K530" i="46" l="1"/>
  <c r="A530" i="46"/>
  <c r="B529" i="46"/>
  <c r="K531" i="46" l="1"/>
  <c r="A531" i="46"/>
  <c r="B530" i="46"/>
  <c r="K532" i="46" l="1"/>
  <c r="A532" i="46"/>
  <c r="B531" i="46"/>
  <c r="K533" i="46" l="1"/>
  <c r="A533" i="46"/>
  <c r="B532" i="46"/>
  <c r="K534" i="46" l="1"/>
  <c r="A534"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F450" i="47"/>
  <c r="F451" i="47" s="1"/>
  <c r="F452" i="47" l="1"/>
  <c r="F453" i="47" s="1"/>
  <c r="F454" i="47" s="1"/>
  <c r="F455" i="47" s="1"/>
  <c r="F456" i="47" s="1"/>
  <c r="F457" i="47" s="1"/>
  <c r="F458" i="47" s="1"/>
  <c r="F459" i="47" s="1"/>
  <c r="F460" i="47" l="1"/>
  <c r="F461" i="47" s="1"/>
  <c r="F462" i="47" s="1"/>
  <c r="F463" i="47" l="1"/>
  <c r="F464" i="47" s="1"/>
  <c r="F465" i="47" s="1"/>
  <c r="F466" i="47" s="1"/>
  <c r="F467" i="47" l="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F496" i="47" s="1"/>
  <c r="F497" i="47" s="1"/>
  <c r="F498" i="47" s="1"/>
  <c r="F499" i="47" s="1"/>
  <c r="F500" i="47" s="1"/>
  <c r="F501" i="47" s="1"/>
  <c r="F502" i="47" s="1"/>
  <c r="F503" i="47" s="1"/>
  <c r="F504" i="47" s="1"/>
  <c r="F505" i="47" s="1"/>
  <c r="F506" i="47" s="1"/>
  <c r="F507" i="47" s="1"/>
  <c r="F508" i="47" s="1"/>
  <c r="F509" i="47" s="1"/>
  <c r="F510" i="47" s="1"/>
  <c r="F511" i="47" s="1"/>
  <c r="F512" i="47" s="1"/>
  <c r="F513" i="47" s="1"/>
  <c r="F514" i="47" s="1"/>
  <c r="F515" i="47" s="1"/>
  <c r="F516" i="47" s="1"/>
  <c r="F517" i="47" s="1"/>
  <c r="F518" i="47" s="1"/>
  <c r="F519" i="47" s="1"/>
  <c r="F520" i="47" s="1"/>
  <c r="F521" i="47" s="1"/>
  <c r="F522" i="47" s="1"/>
  <c r="F523" i="47" s="1"/>
  <c r="F524" i="47" s="1"/>
  <c r="F525" i="47" s="1"/>
  <c r="F526" i="47" s="1"/>
  <c r="F527" i="47" s="1"/>
  <c r="F528" i="47" s="1"/>
  <c r="F529" i="47" s="1"/>
  <c r="F530" i="47" s="1"/>
  <c r="F531" i="47" s="1"/>
  <c r="F532" i="47" s="1"/>
  <c r="F533" i="47" s="1"/>
  <c r="F534" i="47" s="1"/>
  <c r="F535" i="47" s="1"/>
  <c r="F536" i="47" s="1"/>
  <c r="F537" i="47" s="1"/>
  <c r="F538" i="47" s="1"/>
  <c r="F539" i="47" s="1"/>
  <c r="F540" i="47" s="1"/>
  <c r="F541" i="47" s="1"/>
  <c r="F542" i="47" s="1"/>
  <c r="F543" i="47" s="1"/>
  <c r="F544" i="47" s="1"/>
  <c r="F545" i="47" s="1"/>
  <c r="F546" i="47" s="1"/>
  <c r="F547" i="47" s="1"/>
  <c r="F548" i="47" s="1"/>
  <c r="F549" i="47" s="1"/>
  <c r="F550" i="47" s="1"/>
  <c r="F551" i="47" s="1"/>
  <c r="F552" i="47" s="1"/>
  <c r="F553" i="47" s="1"/>
  <c r="F554" i="47" s="1"/>
  <c r="F555" i="47" s="1"/>
  <c r="F556" i="47" s="1"/>
  <c r="F557" i="47" s="1"/>
  <c r="F558" i="47" s="1"/>
  <c r="F559" i="47" s="1"/>
  <c r="F560" i="47" s="1"/>
  <c r="F561" i="47" s="1"/>
  <c r="F562" i="47" s="1"/>
  <c r="F563" i="47" s="1"/>
  <c r="F564" i="47" s="1"/>
  <c r="F565" i="47" s="1"/>
  <c r="F566" i="47" s="1"/>
  <c r="F567" i="47" s="1"/>
  <c r="F568" i="47" s="1"/>
  <c r="I15" i="45" l="1"/>
  <c r="I16" i="45" s="1"/>
  <c r="C369" i="46" l="1"/>
  <c r="I17" i="45"/>
  <c r="I18" i="45" s="1"/>
  <c r="C370" i="46"/>
  <c r="C371" i="46" l="1"/>
  <c r="I19" i="45"/>
  <c r="I20" i="45" s="1"/>
  <c r="I21" i="45" s="1"/>
  <c r="C372" i="46"/>
  <c r="C373" i="46" l="1"/>
  <c r="C374" i="46"/>
  <c r="I22" i="45"/>
  <c r="C375" i="46"/>
  <c r="I23" i="45" l="1"/>
  <c r="I24" i="45" l="1"/>
  <c r="C376" i="46"/>
  <c r="I25" i="45" l="1"/>
  <c r="C378" i="46"/>
  <c r="C377" i="46"/>
  <c r="I26" i="45" l="1"/>
  <c r="C379" i="46"/>
  <c r="I27" i="45" l="1"/>
  <c r="C380" i="46"/>
  <c r="I28" i="45" l="1"/>
  <c r="C381" i="46"/>
  <c r="I29" i="45" l="1"/>
  <c r="I30" i="45" s="1"/>
  <c r="I31" i="45" s="1"/>
  <c r="I32" i="45" s="1"/>
  <c r="I33" i="45" s="1"/>
  <c r="I34" i="45" s="1"/>
  <c r="I35" i="45" s="1"/>
  <c r="I36" i="45" s="1"/>
  <c r="I37" i="45" s="1"/>
  <c r="I38" i="45" s="1"/>
  <c r="I39" i="45" s="1"/>
  <c r="I40" i="45" s="1"/>
  <c r="I41" i="45" s="1"/>
  <c r="I42" i="45" s="1"/>
  <c r="I43" i="45" s="1"/>
  <c r="I44" i="45" s="1"/>
  <c r="I45" i="45" s="1"/>
  <c r="I46" i="45" s="1"/>
  <c r="I47" i="45" s="1"/>
  <c r="I48" i="45" s="1"/>
  <c r="I49" i="45" s="1"/>
  <c r="I50" i="45" s="1"/>
  <c r="I51" i="45" s="1"/>
  <c r="I52" i="45" l="1"/>
  <c r="I53" i="45" s="1"/>
  <c r="C403" i="46"/>
  <c r="C387" i="46"/>
  <c r="C385" i="46"/>
  <c r="C389" i="46"/>
  <c r="C396" i="46"/>
  <c r="C393" i="46"/>
  <c r="C400" i="46"/>
  <c r="C405" i="46"/>
  <c r="C394" i="46"/>
  <c r="C397" i="46"/>
  <c r="C383" i="46"/>
  <c r="C395" i="46"/>
  <c r="C386" i="46"/>
  <c r="C402" i="46"/>
  <c r="C401" i="46"/>
  <c r="C398" i="46"/>
  <c r="C382" i="46"/>
  <c r="C399" i="46"/>
  <c r="C391" i="46"/>
  <c r="C384" i="46"/>
  <c r="C390" i="46"/>
  <c r="C392" i="46"/>
  <c r="C404" i="46"/>
  <c r="C388" i="46"/>
  <c r="C406" i="46" l="1"/>
  <c r="C407" i="46"/>
  <c r="I54" i="45"/>
  <c r="I55" i="45" l="1"/>
  <c r="C409" i="46" s="1"/>
  <c r="C408" i="46"/>
  <c r="I56" i="45" l="1"/>
  <c r="I57" i="45" l="1"/>
  <c r="C411" i="46" s="1"/>
  <c r="C410" i="46"/>
  <c r="I58" i="45" l="1"/>
  <c r="I59" i="45" l="1"/>
  <c r="C413" i="46" s="1"/>
  <c r="C412" i="46"/>
  <c r="I60" i="45" l="1"/>
  <c r="I61" i="45" l="1"/>
  <c r="C415" i="46" s="1"/>
  <c r="C414" i="46"/>
  <c r="I62" i="45" l="1"/>
  <c r="I63" i="45" l="1"/>
  <c r="C416" i="46"/>
  <c r="I64" i="45" l="1"/>
  <c r="C418" i="46" s="1"/>
  <c r="C417" i="46"/>
  <c r="I65" i="45" l="1"/>
  <c r="I66" i="45" l="1"/>
  <c r="C419" i="46"/>
  <c r="I67" i="45" l="1"/>
  <c r="I68" i="45" l="1"/>
  <c r="C420" i="46"/>
  <c r="I69" i="45" l="1"/>
  <c r="C422" i="46" s="1"/>
  <c r="C421" i="46"/>
  <c r="I70" i="45" l="1"/>
  <c r="C423" i="46" s="1"/>
  <c r="I71" i="45" l="1"/>
  <c r="C424" i="46" s="1"/>
  <c r="I72" i="45" l="1"/>
  <c r="I73" i="45" l="1"/>
  <c r="I74" i="45" s="1"/>
  <c r="I75" i="45" s="1"/>
  <c r="I76" i="45" l="1"/>
  <c r="I77" i="45" s="1"/>
  <c r="I78" i="45" s="1"/>
  <c r="I79" i="45" s="1"/>
  <c r="I80" i="45" l="1"/>
  <c r="I81" i="45" s="1"/>
  <c r="C427" i="46"/>
  <c r="C426" i="46"/>
  <c r="C430" i="46"/>
  <c r="C429" i="46"/>
  <c r="C425" i="46"/>
  <c r="C428" i="46"/>
  <c r="C431" i="46" l="1"/>
  <c r="I82" i="45"/>
  <c r="I83" i="45" s="1"/>
  <c r="I84" i="45" s="1"/>
  <c r="C434" i="46"/>
  <c r="C433" i="46"/>
  <c r="C432" i="46"/>
  <c r="C435" i="46" l="1"/>
  <c r="I85" i="45"/>
  <c r="I86" i="45" l="1"/>
  <c r="I87" i="45" s="1"/>
  <c r="C436" i="46"/>
  <c r="I88" i="45" l="1"/>
  <c r="I89" i="45" s="1"/>
  <c r="I90" i="45" s="1"/>
  <c r="C437" i="46" l="1"/>
  <c r="I91" i="45"/>
  <c r="I92" i="45" s="1"/>
  <c r="C439" i="46"/>
  <c r="C438" i="46"/>
  <c r="I93" i="45" l="1"/>
  <c r="I94" i="45" l="1"/>
  <c r="C440" i="46"/>
  <c r="I95" i="45" l="1"/>
  <c r="C442" i="46"/>
  <c r="C441" i="46"/>
  <c r="I96" i="45" l="1"/>
  <c r="C443" i="46"/>
  <c r="I97" i="45" l="1"/>
  <c r="C444" i="46"/>
  <c r="I98" i="45" l="1"/>
  <c r="I99" i="45" l="1"/>
  <c r="I100" i="45" l="1"/>
  <c r="I101" i="45" l="1"/>
  <c r="I102" i="45" l="1"/>
  <c r="I103" i="45" l="1"/>
  <c r="I104" i="45" l="1"/>
  <c r="I105" i="45" l="1"/>
  <c r="I106" i="45" l="1"/>
  <c r="I107" i="45" l="1"/>
  <c r="I108" i="45" l="1"/>
  <c r="I109" i="45" l="1"/>
  <c r="I110" i="45" l="1"/>
  <c r="I111" i="45" s="1"/>
  <c r="I112" i="45" s="1"/>
  <c r="I113" i="45" s="1"/>
  <c r="I114" i="45" s="1"/>
  <c r="I115" i="45" s="1"/>
  <c r="I116" i="45" s="1"/>
  <c r="I117" i="45" s="1"/>
  <c r="I118" i="45" s="1"/>
  <c r="I119" i="45" s="1"/>
  <c r="I120" i="45" s="1"/>
  <c r="I121" i="45" s="1"/>
  <c r="I122" i="45" s="1"/>
  <c r="I123" i="45" s="1"/>
  <c r="I124" i="45" s="1"/>
  <c r="I125" i="45" s="1"/>
  <c r="I126" i="45" s="1"/>
  <c r="I127" i="45" s="1"/>
  <c r="I128" i="45" s="1"/>
  <c r="I129" i="45" s="1"/>
  <c r="I130" i="45" s="1"/>
  <c r="I131" i="45" s="1"/>
  <c r="I132" i="45" s="1"/>
  <c r="I133" i="45" s="1"/>
  <c r="I134" i="45" s="1"/>
  <c r="I135" i="45" s="1"/>
  <c r="I136" i="45" s="1"/>
  <c r="I137" i="45" s="1"/>
  <c r="I138" i="45" s="1"/>
  <c r="I139" i="45" s="1"/>
  <c r="I140" i="45" s="1"/>
  <c r="I141" i="45" s="1"/>
  <c r="I142" i="45" s="1"/>
  <c r="I143" i="45" s="1"/>
  <c r="I144" i="45" s="1"/>
  <c r="I145" i="45" s="1"/>
  <c r="I146" i="45" s="1"/>
  <c r="I147" i="45" s="1"/>
  <c r="I148" i="45" s="1"/>
  <c r="I149" i="45" s="1"/>
  <c r="I150" i="45" s="1"/>
  <c r="I151" i="45" s="1"/>
  <c r="I152" i="45" s="1"/>
  <c r="I153" i="45" s="1"/>
  <c r="I154" i="45" s="1"/>
  <c r="I155" i="45" s="1"/>
  <c r="I156" i="45" s="1"/>
  <c r="I157" i="45" s="1"/>
  <c r="I158" i="45" s="1"/>
  <c r="I159" i="45" s="1"/>
  <c r="I160" i="45" s="1"/>
  <c r="I161" i="45" s="1"/>
  <c r="I162" i="45" s="1"/>
  <c r="I163" i="45" s="1"/>
  <c r="I164" i="45" s="1"/>
  <c r="I165" i="45" s="1"/>
  <c r="I166" i="45" s="1"/>
  <c r="I167" i="45" s="1"/>
  <c r="I168" i="45" s="1"/>
  <c r="I169" i="45" s="1"/>
  <c r="I170" i="45" s="1"/>
  <c r="I171" i="45" s="1"/>
  <c r="I172" i="45" s="1"/>
  <c r="I173" i="45" s="1"/>
  <c r="I174" i="45" s="1"/>
  <c r="I175" i="45" s="1"/>
  <c r="I176" i="45" s="1"/>
  <c r="I177" i="45" s="1"/>
  <c r="I178" i="45" s="1"/>
  <c r="I179" i="45" s="1"/>
  <c r="I180" i="45" s="1"/>
  <c r="I181" i="45" s="1"/>
  <c r="I182" i="45" s="1"/>
  <c r="I183" i="45" s="1"/>
  <c r="I184" i="45" s="1"/>
  <c r="I185" i="45" s="1"/>
  <c r="I186" i="45" s="1"/>
  <c r="I187" i="45" s="1"/>
  <c r="I188" i="45" s="1"/>
  <c r="I189" i="45" s="1"/>
  <c r="I190" i="45" s="1"/>
  <c r="I191" i="45" s="1"/>
  <c r="I192" i="45" s="1"/>
  <c r="I193" i="45" s="1"/>
  <c r="I194" i="45" s="1"/>
  <c r="I195" i="45" s="1"/>
  <c r="I196" i="45" s="1"/>
  <c r="I197" i="45" s="1"/>
  <c r="I198" i="45" s="1"/>
  <c r="I199" i="45" s="1"/>
  <c r="I200" i="45" s="1"/>
  <c r="I201" i="45" s="1"/>
  <c r="I202" i="45" s="1"/>
  <c r="I203" i="45" s="1"/>
  <c r="I204" i="45" s="1"/>
  <c r="I205" i="45" s="1"/>
  <c r="I206" i="45" s="1"/>
  <c r="I207" i="45" s="1"/>
  <c r="I208" i="45" s="1"/>
  <c r="I209" i="45" s="1"/>
  <c r="I210" i="45" s="1"/>
  <c r="I211" i="45" s="1"/>
  <c r="I212" i="45" s="1"/>
  <c r="I213" i="45" s="1"/>
  <c r="I214" i="45" s="1"/>
  <c r="I215" i="45" s="1"/>
  <c r="I216" i="45" s="1"/>
  <c r="I217" i="45" s="1"/>
  <c r="I218" i="45" s="1"/>
  <c r="I219" i="45" s="1"/>
  <c r="I220" i="45" s="1"/>
  <c r="I221" i="45" s="1"/>
  <c r="I222" i="45" s="1"/>
  <c r="I223" i="45" s="1"/>
  <c r="I224" i="45" s="1"/>
  <c r="I225" i="45" s="1"/>
  <c r="I226" i="45" s="1"/>
  <c r="I227" i="45" s="1"/>
  <c r="I228" i="45" s="1"/>
  <c r="I229" i="45" s="1"/>
  <c r="I230" i="45" s="1"/>
  <c r="I231" i="45" s="1"/>
  <c r="I232" i="45" s="1"/>
  <c r="I233" i="45" s="1"/>
  <c r="I234" i="45" s="1"/>
  <c r="I235" i="45" s="1"/>
  <c r="I236" i="45" s="1"/>
  <c r="I237" i="45" s="1"/>
  <c r="I238" i="45" s="1"/>
  <c r="I239" i="45" s="1"/>
  <c r="C574" i="46" l="1"/>
  <c r="C576" i="46"/>
  <c r="C572" i="46"/>
  <c r="C577" i="46"/>
  <c r="C578" i="46"/>
  <c r="C568" i="46"/>
  <c r="C579" i="46"/>
  <c r="C573" i="46"/>
  <c r="C567" i="46"/>
  <c r="C569" i="46"/>
  <c r="C575" i="46"/>
  <c r="C570" i="46"/>
  <c r="C571" i="46"/>
  <c r="I240" i="45"/>
  <c r="I241" i="45" s="1"/>
  <c r="I242" i="45" s="1"/>
  <c r="I243" i="45" s="1"/>
  <c r="I244" i="45" s="1"/>
  <c r="I245" i="45" s="1"/>
  <c r="I246" i="45" s="1"/>
  <c r="I247" i="45" s="1"/>
  <c r="I248" i="45" l="1"/>
  <c r="C584" i="46"/>
  <c r="C583" i="46"/>
  <c r="C582" i="46"/>
  <c r="C580" i="46"/>
  <c r="C585" i="46"/>
  <c r="C581" i="46"/>
  <c r="C586" i="46"/>
  <c r="I249" i="45" l="1"/>
  <c r="I250" i="45" s="1"/>
  <c r="I251" i="45" s="1"/>
  <c r="I252" i="45" s="1"/>
  <c r="I253" i="45" s="1"/>
  <c r="I254" i="45" s="1"/>
  <c r="I255" i="45" s="1"/>
  <c r="I256" i="45" s="1"/>
  <c r="I257" i="45" s="1"/>
  <c r="C587" i="46"/>
  <c r="I258" i="45" l="1"/>
  <c r="I259" i="45" s="1"/>
  <c r="I260" i="45" s="1"/>
  <c r="I261" i="45" s="1"/>
  <c r="C588" i="46"/>
  <c r="I262" i="45" l="1"/>
  <c r="I263" i="45" l="1"/>
  <c r="C589" i="46"/>
  <c r="I264" i="45" l="1"/>
  <c r="I265" i="45" s="1"/>
  <c r="I266" i="45" s="1"/>
  <c r="I267" i="45" s="1"/>
  <c r="I268" i="45" s="1"/>
  <c r="I269" i="45" s="1"/>
  <c r="I270" i="45" s="1"/>
  <c r="I271" i="45" s="1"/>
  <c r="I272" i="45" s="1"/>
  <c r="I273" i="45" s="1"/>
  <c r="I274" i="45" s="1"/>
  <c r="I275" i="45" s="1"/>
  <c r="I276" i="45" s="1"/>
  <c r="I277" i="45" s="1"/>
  <c r="I278" i="45" s="1"/>
  <c r="I279" i="45" s="1"/>
  <c r="C590" i="46"/>
  <c r="I280" i="45" l="1"/>
  <c r="C591" i="46"/>
  <c r="C592" i="46"/>
  <c r="I281" i="45" l="1"/>
  <c r="I282" i="45" l="1"/>
  <c r="I283" i="45" s="1"/>
  <c r="I284" i="45" s="1"/>
  <c r="I285" i="45" s="1"/>
  <c r="I286" i="45" s="1"/>
  <c r="I287" i="45" s="1"/>
  <c r="I288" i="45" s="1"/>
  <c r="I289" i="45" s="1"/>
  <c r="I290" i="45" s="1"/>
  <c r="I291" i="45" s="1"/>
  <c r="C608" i="46"/>
  <c r="C595" i="46"/>
  <c r="C596" i="46"/>
  <c r="C603" i="46"/>
  <c r="C604" i="46"/>
  <c r="C601" i="46"/>
  <c r="C593" i="46"/>
  <c r="C597" i="46"/>
  <c r="C607" i="46" l="1"/>
  <c r="C606" i="46"/>
  <c r="I292" i="45"/>
  <c r="C448" i="46"/>
  <c r="C445" i="46"/>
  <c r="C455" i="46"/>
  <c r="C471" i="46"/>
  <c r="C540" i="46"/>
  <c r="C447" i="46"/>
  <c r="C548" i="46"/>
  <c r="C446" i="46"/>
  <c r="C449" i="46"/>
  <c r="C510" i="46"/>
  <c r="C500" i="46"/>
  <c r="C475" i="46"/>
  <c r="C520" i="46"/>
  <c r="C502" i="46"/>
  <c r="C511" i="46"/>
  <c r="C516" i="46"/>
  <c r="C532" i="46"/>
  <c r="C464" i="46"/>
  <c r="C488" i="46"/>
  <c r="C541" i="46"/>
  <c r="C487" i="46"/>
  <c r="C472" i="46"/>
  <c r="C462" i="46"/>
  <c r="C514" i="46"/>
  <c r="C473" i="46"/>
  <c r="C542" i="46"/>
  <c r="C450" i="46"/>
  <c r="C463" i="46"/>
  <c r="C478" i="46"/>
  <c r="C503" i="46"/>
  <c r="C477" i="46"/>
  <c r="C519" i="46"/>
  <c r="C470" i="46"/>
  <c r="C460" i="46"/>
  <c r="C479" i="46"/>
  <c r="C461" i="46"/>
  <c r="C457" i="46"/>
  <c r="C468" i="46"/>
  <c r="C499" i="46"/>
  <c r="C486" i="46"/>
  <c r="C493" i="46"/>
  <c r="C458" i="46"/>
  <c r="C454" i="46"/>
  <c r="C465" i="46"/>
  <c r="C495" i="46"/>
  <c r="C549" i="46"/>
  <c r="C523" i="46"/>
  <c r="C453" i="46"/>
  <c r="C554" i="46"/>
  <c r="C531" i="46"/>
  <c r="C483" i="46"/>
  <c r="C494" i="46"/>
  <c r="C537" i="46"/>
  <c r="C513" i="46"/>
  <c r="C484" i="46"/>
  <c r="C543" i="46"/>
  <c r="C476" i="46"/>
  <c r="C467" i="46"/>
  <c r="C552" i="46"/>
  <c r="C505" i="46"/>
  <c r="C456" i="46"/>
  <c r="C524" i="46"/>
  <c r="C521" i="46"/>
  <c r="C528" i="46"/>
  <c r="C512" i="46"/>
  <c r="C480" i="46"/>
  <c r="C466" i="46"/>
  <c r="C544" i="46"/>
  <c r="C553" i="46"/>
  <c r="C515" i="46"/>
  <c r="C492" i="46"/>
  <c r="C508" i="46"/>
  <c r="C469" i="46"/>
  <c r="C501" i="46"/>
  <c r="C452" i="46"/>
  <c r="C459" i="46"/>
  <c r="C522" i="46"/>
  <c r="C546" i="46"/>
  <c r="C482" i="46"/>
  <c r="C496" i="46"/>
  <c r="C498" i="46"/>
  <c r="C550" i="46"/>
  <c r="C525" i="46"/>
  <c r="C534" i="46"/>
  <c r="C526" i="46"/>
  <c r="C497" i="46"/>
  <c r="C474" i="46"/>
  <c r="C547" i="46"/>
  <c r="C535" i="46"/>
  <c r="C518" i="46"/>
  <c r="C506" i="46"/>
  <c r="C491" i="46"/>
  <c r="C507" i="46"/>
  <c r="C551" i="46"/>
  <c r="C539" i="46"/>
  <c r="C545" i="46"/>
  <c r="C527" i="46"/>
  <c r="C489" i="46"/>
  <c r="C451" i="46"/>
  <c r="C485" i="46"/>
  <c r="C517" i="46"/>
  <c r="C530" i="46"/>
  <c r="C509" i="46"/>
  <c r="C481" i="46"/>
  <c r="C536" i="46"/>
  <c r="C529" i="46"/>
  <c r="C533" i="46"/>
  <c r="C504" i="46"/>
  <c r="C490" i="46"/>
  <c r="C538" i="46"/>
  <c r="C555" i="46"/>
  <c r="C557" i="46"/>
  <c r="C556" i="46"/>
  <c r="C558" i="46"/>
  <c r="C559" i="46"/>
  <c r="C560" i="46"/>
  <c r="C561" i="46"/>
  <c r="C562" i="46"/>
  <c r="C563" i="46"/>
  <c r="C564" i="46"/>
  <c r="C565" i="46"/>
  <c r="C566" i="46"/>
  <c r="C602" i="46"/>
  <c r="C605" i="46"/>
  <c r="C600" i="46"/>
  <c r="C610" i="46"/>
  <c r="C613" i="46"/>
  <c r="C599" i="46"/>
  <c r="C614" i="46"/>
  <c r="C598" i="46"/>
  <c r="C611" i="46"/>
  <c r="C594" i="46"/>
  <c r="C609" i="46"/>
  <c r="C612" i="46"/>
  <c r="C615" i="46" l="1"/>
  <c r="I293" i="45"/>
  <c r="I294" i="45" l="1"/>
  <c r="C616" i="46"/>
  <c r="I295" i="45" l="1"/>
  <c r="C617" i="46"/>
  <c r="I296" i="45" l="1"/>
  <c r="I297" i="45" l="1"/>
  <c r="C619" i="46"/>
  <c r="C618" i="46"/>
  <c r="I298" i="45" l="1"/>
  <c r="C620" i="46"/>
  <c r="I299" i="45" l="1"/>
  <c r="C621" i="46"/>
  <c r="I300" i="45" l="1"/>
  <c r="I301" i="45" l="1"/>
  <c r="C622" i="46"/>
  <c r="I302" i="45" l="1"/>
  <c r="I303" i="45" s="1"/>
  <c r="I304" i="45" s="1"/>
  <c r="I305" i="45" s="1"/>
  <c r="I306" i="45" s="1"/>
  <c r="I307" i="45" s="1"/>
  <c r="I308" i="45" s="1"/>
  <c r="I309" i="45" s="1"/>
  <c r="I310" i="45" s="1"/>
  <c r="I311" i="45" s="1"/>
  <c r="I312" i="45" s="1"/>
  <c r="I313" i="45" s="1"/>
  <c r="I314" i="45" s="1"/>
  <c r="I315" i="45" s="1"/>
  <c r="I316" i="45" s="1"/>
  <c r="I317" i="45" s="1"/>
  <c r="I318" i="45" s="1"/>
  <c r="I319" i="45" s="1"/>
  <c r="I320" i="45" s="1"/>
  <c r="I321" i="45" s="1"/>
  <c r="I322" i="45" s="1"/>
  <c r="I323" i="45" s="1"/>
  <c r="I324" i="45" s="1"/>
  <c r="I325" i="45" s="1"/>
  <c r="I326" i="45" s="1"/>
  <c r="I327" i="45" s="1"/>
  <c r="I328" i="45" s="1"/>
  <c r="I329" i="45" s="1"/>
  <c r="I330" i="45" s="1"/>
  <c r="I331" i="45" s="1"/>
  <c r="I332" i="45" s="1"/>
  <c r="I333" i="45" s="1"/>
  <c r="I334" i="45" s="1"/>
  <c r="I335" i="45" s="1"/>
  <c r="I336" i="45" s="1"/>
  <c r="I337" i="45" s="1"/>
  <c r="I338" i="45" s="1"/>
  <c r="I339" i="45" s="1"/>
  <c r="I340" i="45" s="1"/>
  <c r="I341" i="45" s="1"/>
  <c r="I342" i="45" s="1"/>
  <c r="I343" i="45" s="1"/>
  <c r="I344" i="45" s="1"/>
  <c r="I345" i="45" s="1"/>
  <c r="I346" i="45" s="1"/>
  <c r="I347" i="45" s="1"/>
  <c r="I348" i="45" s="1"/>
  <c r="I349" i="45" s="1"/>
  <c r="I350" i="45" s="1"/>
  <c r="I351" i="45" s="1"/>
  <c r="I352" i="45" s="1"/>
  <c r="I353" i="45" s="1"/>
  <c r="I354" i="45" s="1"/>
  <c r="I355" i="45" s="1"/>
  <c r="I356" i="45" s="1"/>
  <c r="I357" i="45" s="1"/>
  <c r="I358" i="45" s="1"/>
  <c r="I359" i="45" s="1"/>
  <c r="I360" i="45" s="1"/>
  <c r="I361" i="45" s="1"/>
  <c r="I362" i="45" s="1"/>
  <c r="I363" i="45" s="1"/>
  <c r="I364" i="45" s="1"/>
  <c r="I365" i="45" s="1"/>
  <c r="I366" i="45" s="1"/>
  <c r="I367" i="45" s="1"/>
  <c r="I368" i="45" s="1"/>
  <c r="I369" i="45" s="1"/>
  <c r="I370" i="45" s="1"/>
  <c r="I371" i="45" s="1"/>
  <c r="I372" i="45" s="1"/>
  <c r="I373" i="45" s="1"/>
  <c r="I374" i="45" s="1"/>
  <c r="I375" i="45" s="1"/>
  <c r="I376" i="45" s="1"/>
  <c r="I377" i="45" s="1"/>
  <c r="I378" i="45" s="1"/>
  <c r="I379" i="45" s="1"/>
  <c r="I380" i="45" s="1"/>
  <c r="I381" i="45" s="1"/>
  <c r="I382" i="45" s="1"/>
  <c r="I383" i="45" s="1"/>
  <c r="I384" i="45" s="1"/>
  <c r="I385" i="45" s="1"/>
  <c r="I386" i="45" s="1"/>
  <c r="I387" i="45" s="1"/>
  <c r="I388" i="45" s="1"/>
  <c r="I389" i="45" s="1"/>
  <c r="I390" i="45" s="1"/>
  <c r="I391" i="45" s="1"/>
  <c r="I392" i="45" s="1"/>
  <c r="I393" i="45" s="1"/>
  <c r="I394" i="45" s="1"/>
  <c r="I395" i="45" s="1"/>
  <c r="I396" i="45" s="1"/>
  <c r="I397" i="45" s="1"/>
  <c r="I398" i="45" s="1"/>
  <c r="I399" i="45" s="1"/>
  <c r="I400" i="45" s="1"/>
  <c r="I401" i="45" s="1"/>
  <c r="I402" i="45" s="1"/>
  <c r="I403" i="45" s="1"/>
  <c r="I404" i="45" s="1"/>
  <c r="I405" i="45" s="1"/>
  <c r="I406" i="45" s="1"/>
  <c r="I407" i="45" s="1"/>
  <c r="I408" i="45" s="1"/>
  <c r="I409" i="45" s="1"/>
  <c r="I410" i="45" s="1"/>
  <c r="I411" i="45" s="1"/>
  <c r="I412" i="45" s="1"/>
  <c r="I413" i="45" s="1"/>
  <c r="I414" i="45" s="1"/>
  <c r="I415" i="45" s="1"/>
  <c r="I416" i="45" s="1"/>
  <c r="I417" i="45" s="1"/>
  <c r="I418" i="45" s="1"/>
  <c r="I419" i="45" s="1"/>
  <c r="I420" i="45" s="1"/>
  <c r="I421" i="45" s="1"/>
  <c r="I422" i="45" s="1"/>
  <c r="I423" i="45" s="1"/>
  <c r="I424" i="45" s="1"/>
  <c r="I425" i="45" s="1"/>
  <c r="I426" i="45" s="1"/>
  <c r="I427" i="45" s="1"/>
  <c r="I428" i="45" s="1"/>
  <c r="I429" i="45" s="1"/>
  <c r="I430" i="45" s="1"/>
  <c r="I431" i="45" s="1"/>
  <c r="I432" i="45" s="1"/>
  <c r="I433" i="45" s="1"/>
  <c r="I434" i="45" s="1"/>
  <c r="I435" i="45" s="1"/>
  <c r="I436" i="45" s="1"/>
  <c r="I437" i="45" s="1"/>
  <c r="I438" i="45" s="1"/>
  <c r="I439" i="45" s="1"/>
  <c r="I440" i="45" s="1"/>
  <c r="C215" i="46" s="1"/>
  <c r="C623" i="46"/>
  <c r="C633" i="46"/>
  <c r="C650" i="46"/>
  <c r="C655" i="46"/>
  <c r="C651" i="46"/>
  <c r="C659" i="46"/>
  <c r="C652" i="46" l="1"/>
  <c r="C687" i="46"/>
  <c r="C685" i="46"/>
  <c r="C696" i="46"/>
  <c r="C684" i="46"/>
  <c r="C699" i="46"/>
  <c r="C711" i="46"/>
  <c r="C694" i="46"/>
  <c r="C707" i="46"/>
  <c r="C244" i="46"/>
  <c r="C303" i="46"/>
  <c r="C182" i="46"/>
  <c r="C11" i="46"/>
  <c r="C943" i="46"/>
  <c r="C677" i="46"/>
  <c r="C899" i="46"/>
  <c r="C955" i="46"/>
  <c r="C300" i="46"/>
  <c r="C666" i="46"/>
  <c r="C222" i="46"/>
  <c r="C723" i="46"/>
  <c r="C776" i="46"/>
  <c r="C203" i="46"/>
  <c r="C209" i="46"/>
  <c r="C702" i="46"/>
  <c r="C249" i="46"/>
  <c r="C679" i="46"/>
  <c r="C331" i="46"/>
  <c r="C133" i="46"/>
  <c r="C135" i="46"/>
  <c r="C713" i="46"/>
  <c r="C974" i="46"/>
  <c r="C778" i="46"/>
  <c r="C819" i="46"/>
  <c r="C690" i="46"/>
  <c r="C27" i="46"/>
  <c r="C196" i="46"/>
  <c r="C246" i="46"/>
  <c r="C123" i="46"/>
  <c r="C348" i="46"/>
  <c r="C49" i="46"/>
  <c r="C671" i="46"/>
  <c r="C275" i="46"/>
  <c r="C241" i="46"/>
  <c r="C130" i="46"/>
  <c r="C237" i="46"/>
  <c r="C849" i="46"/>
  <c r="C94" i="46"/>
  <c r="C714" i="46"/>
  <c r="C678" i="46"/>
  <c r="C698" i="46"/>
  <c r="C36" i="46"/>
  <c r="C323" i="46"/>
  <c r="C809" i="46"/>
  <c r="C44" i="46"/>
  <c r="C728" i="46"/>
  <c r="C875" i="46"/>
  <c r="C958" i="46"/>
  <c r="C717" i="46"/>
  <c r="C307" i="46"/>
  <c r="C913" i="46"/>
  <c r="C697" i="46"/>
  <c r="C825" i="46"/>
  <c r="C115" i="46"/>
  <c r="C212" i="46"/>
  <c r="C787" i="46"/>
  <c r="C948" i="46"/>
  <c r="C934" i="46"/>
  <c r="C995" i="46"/>
  <c r="C64" i="46"/>
  <c r="C69" i="46"/>
  <c r="C760" i="46"/>
  <c r="C163" i="46"/>
  <c r="C22" i="46"/>
  <c r="C7" i="46"/>
  <c r="C121" i="46"/>
  <c r="C76" i="46"/>
  <c r="C177" i="46"/>
  <c r="C302" i="46"/>
  <c r="C32" i="46"/>
  <c r="C297" i="46"/>
  <c r="C701" i="46"/>
  <c r="C128" i="46"/>
  <c r="C782" i="46"/>
  <c r="C224" i="46"/>
  <c r="C251" i="46"/>
  <c r="C720" i="46"/>
  <c r="C262" i="46"/>
  <c r="C104" i="46"/>
  <c r="C950" i="46"/>
  <c r="C4" i="46"/>
  <c r="C794" i="46"/>
  <c r="C744" i="46"/>
  <c r="C908" i="46"/>
  <c r="C927" i="46"/>
  <c r="C13" i="46"/>
  <c r="C783" i="46"/>
  <c r="C848" i="46"/>
  <c r="C75" i="46"/>
  <c r="C219" i="46"/>
  <c r="C800" i="46"/>
  <c r="C10" i="46"/>
  <c r="C56" i="46"/>
  <c r="C693" i="46"/>
  <c r="C144" i="46"/>
  <c r="C952" i="46"/>
  <c r="C823" i="46"/>
  <c r="C994" i="46"/>
  <c r="C229" i="46"/>
  <c r="C191" i="46"/>
  <c r="C280" i="46"/>
  <c r="C971" i="46"/>
  <c r="C84" i="46"/>
  <c r="C845" i="46"/>
  <c r="C872" i="46"/>
  <c r="C963" i="46"/>
  <c r="C62" i="46"/>
  <c r="C932" i="46"/>
  <c r="C912" i="46"/>
  <c r="C207" i="46"/>
  <c r="C978" i="46"/>
  <c r="C167" i="46"/>
  <c r="C877" i="46"/>
  <c r="C169" i="46"/>
  <c r="C801" i="46"/>
  <c r="C346" i="46"/>
  <c r="C998" i="46"/>
  <c r="C746" i="46"/>
  <c r="C939" i="46"/>
  <c r="C12" i="46"/>
  <c r="C325" i="46"/>
  <c r="C315" i="46"/>
  <c r="C761" i="46"/>
  <c r="C796" i="46"/>
  <c r="C314" i="46"/>
  <c r="C236" i="46"/>
  <c r="C897" i="46"/>
  <c r="C154" i="46"/>
  <c r="C871" i="46"/>
  <c r="C245" i="46"/>
  <c r="C328" i="46"/>
  <c r="C220" i="46"/>
  <c r="C19" i="46"/>
  <c r="C933" i="46"/>
  <c r="C689" i="46"/>
  <c r="C988" i="46"/>
  <c r="C21" i="46"/>
  <c r="C993" i="46"/>
  <c r="C831" i="46"/>
  <c r="C827" i="46"/>
  <c r="C725" i="46"/>
  <c r="C884" i="46"/>
  <c r="C757" i="46"/>
  <c r="C904" i="46"/>
  <c r="C199" i="46"/>
  <c r="C234" i="46"/>
  <c r="C355" i="46"/>
  <c r="C797" i="46"/>
  <c r="C305" i="46"/>
  <c r="C883" i="46"/>
  <c r="C961" i="46"/>
  <c r="C55" i="46"/>
  <c r="C752" i="46"/>
  <c r="C851" i="46"/>
  <c r="C704" i="46"/>
  <c r="C862" i="46"/>
  <c r="C308" i="46"/>
  <c r="C272" i="46"/>
  <c r="C887" i="46"/>
  <c r="C197" i="46"/>
  <c r="C705" i="46"/>
  <c r="C649" i="46"/>
  <c r="C132" i="46"/>
  <c r="C868" i="46"/>
  <c r="C183" i="46"/>
  <c r="C982" i="46"/>
  <c r="C670" i="46"/>
  <c r="C968" i="46"/>
  <c r="C980" i="46"/>
  <c r="C5" i="46"/>
  <c r="C250" i="46"/>
  <c r="C42" i="46"/>
  <c r="C1002" i="46"/>
  <c r="C118" i="46"/>
  <c r="C1000" i="46"/>
  <c r="C936" i="46"/>
  <c r="C837" i="46"/>
  <c r="C350" i="46"/>
  <c r="C52" i="46"/>
  <c r="C352" i="46"/>
  <c r="C865" i="46"/>
  <c r="C970" i="46"/>
  <c r="C986" i="46"/>
  <c r="C344" i="46"/>
  <c r="C322" i="46"/>
  <c r="C999" i="46"/>
  <c r="C311" i="46"/>
  <c r="C1001" i="46"/>
  <c r="C261" i="46"/>
  <c r="C259" i="46"/>
  <c r="C735" i="46"/>
  <c r="C239" i="46"/>
  <c r="C149" i="46"/>
  <c r="C59" i="46"/>
  <c r="C864" i="46"/>
  <c r="C889" i="46"/>
  <c r="C29" i="46"/>
  <c r="C766" i="46"/>
  <c r="C90" i="46"/>
  <c r="C817" i="46"/>
  <c r="C885" i="46"/>
  <c r="C886" i="46"/>
  <c r="C248" i="46"/>
  <c r="C70" i="46"/>
  <c r="C902" i="46"/>
  <c r="C881" i="46"/>
  <c r="C928" i="46"/>
  <c r="C347" i="46"/>
  <c r="C822" i="46"/>
  <c r="C737" i="46"/>
  <c r="C858" i="46"/>
  <c r="C329" i="46"/>
  <c r="C830" i="46"/>
  <c r="C992" i="46"/>
  <c r="C23" i="46"/>
  <c r="C124" i="46"/>
  <c r="C731" i="46"/>
  <c r="C168" i="46"/>
  <c r="C861" i="46"/>
  <c r="C268" i="46"/>
  <c r="C217" i="46"/>
  <c r="C34" i="46"/>
  <c r="C779" i="46"/>
  <c r="C721" i="46"/>
  <c r="C288" i="46"/>
  <c r="C900" i="46"/>
  <c r="C257" i="46"/>
  <c r="C767" i="46"/>
  <c r="C700" i="46"/>
  <c r="C40" i="46"/>
  <c r="C894" i="46"/>
  <c r="C210" i="46"/>
  <c r="C829" i="46"/>
  <c r="C60" i="46"/>
  <c r="C748" i="46"/>
  <c r="C233" i="46"/>
  <c r="C276" i="46"/>
  <c r="C866" i="46"/>
  <c r="C112" i="46"/>
  <c r="C942" i="46"/>
  <c r="C92" i="46"/>
  <c r="C984" i="46"/>
  <c r="C833" i="46"/>
  <c r="C65" i="46"/>
  <c r="C972" i="46"/>
  <c r="C139" i="46"/>
  <c r="C741" i="46"/>
  <c r="C784" i="46"/>
  <c r="C265" i="46"/>
  <c r="C180" i="46"/>
  <c r="C349" i="46"/>
  <c r="C729" i="46"/>
  <c r="C674" i="46"/>
  <c r="C973" i="46"/>
  <c r="C97" i="46"/>
  <c r="C710" i="46"/>
  <c r="C277" i="46"/>
  <c r="C226" i="46"/>
  <c r="C178" i="46"/>
  <c r="C48" i="46"/>
  <c r="C218" i="46"/>
  <c r="C715" i="46"/>
  <c r="C791" i="46"/>
  <c r="C255" i="46"/>
  <c r="C166" i="46"/>
  <c r="C765" i="46"/>
  <c r="C318" i="46"/>
  <c r="C777" i="46"/>
  <c r="C232" i="46"/>
  <c r="C898" i="46"/>
  <c r="C966" i="46"/>
  <c r="C931" i="46"/>
  <c r="C153" i="46"/>
  <c r="C733" i="46"/>
  <c r="C140" i="46"/>
  <c r="C956" i="46"/>
  <c r="C66" i="46"/>
  <c r="C147" i="46"/>
  <c r="C46" i="46"/>
  <c r="C93" i="46"/>
  <c r="C353" i="46"/>
  <c r="C253" i="46"/>
  <c r="C200" i="46"/>
  <c r="C126" i="46"/>
  <c r="C260" i="46"/>
  <c r="C116" i="46"/>
  <c r="C785" i="46"/>
  <c r="C653" i="46"/>
  <c r="C174" i="46"/>
  <c r="C965" i="46"/>
  <c r="C808" i="46"/>
  <c r="C345" i="46"/>
  <c r="C914" i="46"/>
  <c r="C820" i="46"/>
  <c r="C882" i="46"/>
  <c r="C264" i="46"/>
  <c r="C295" i="46"/>
  <c r="C896" i="46"/>
  <c r="C815" i="46"/>
  <c r="C337" i="46"/>
  <c r="C695" i="46"/>
  <c r="C235" i="46"/>
  <c r="C279" i="46"/>
  <c r="C225" i="46"/>
  <c r="C88" i="46"/>
  <c r="C50" i="46"/>
  <c r="C310" i="46"/>
  <c r="C762" i="46"/>
  <c r="C292" i="46"/>
  <c r="C917" i="46"/>
  <c r="C16" i="46"/>
  <c r="C918" i="46"/>
  <c r="C916" i="46"/>
  <c r="C893" i="46"/>
  <c r="C270" i="46"/>
  <c r="C73" i="46"/>
  <c r="C33" i="46"/>
  <c r="C89" i="46"/>
  <c r="C100" i="46"/>
  <c r="C326" i="46"/>
  <c r="C857" i="46"/>
  <c r="C708" i="46"/>
  <c r="C997" i="46"/>
  <c r="C85" i="46"/>
  <c r="C844" i="46"/>
  <c r="C187" i="46"/>
  <c r="C951" i="46"/>
  <c r="C706" i="46"/>
  <c r="C740" i="46"/>
  <c r="C750" i="46"/>
  <c r="C846" i="46"/>
  <c r="C921" i="46"/>
  <c r="C285" i="46"/>
  <c r="C640" i="46"/>
  <c r="C947" i="46"/>
  <c r="C194" i="46"/>
  <c r="C811" i="46"/>
  <c r="C206" i="46"/>
  <c r="C184" i="46"/>
  <c r="C47" i="46"/>
  <c r="C330" i="46"/>
  <c r="C637" i="46"/>
  <c r="C799" i="46"/>
  <c r="C14" i="46"/>
  <c r="C202" i="46"/>
  <c r="C176" i="46"/>
  <c r="C161" i="46"/>
  <c r="C221" i="46"/>
  <c r="C103" i="46"/>
  <c r="C991" i="46"/>
  <c r="C691" i="46"/>
  <c r="C198" i="46"/>
  <c r="C281" i="46"/>
  <c r="C818" i="46"/>
  <c r="C289" i="46"/>
  <c r="C686" i="46"/>
  <c r="C354" i="46"/>
  <c r="C96" i="46"/>
  <c r="C320" i="46"/>
  <c r="C335" i="46"/>
  <c r="C726" i="46"/>
  <c r="C25" i="46"/>
  <c r="C788" i="46"/>
  <c r="C109" i="46"/>
  <c r="C964" i="46"/>
  <c r="C339" i="46"/>
  <c r="C127" i="46"/>
  <c r="C26" i="46"/>
  <c r="C283" i="46"/>
  <c r="C739" i="46"/>
  <c r="C160" i="46"/>
  <c r="C231" i="46"/>
  <c r="C821" i="46"/>
  <c r="C263" i="46"/>
  <c r="C141" i="46"/>
  <c r="C340" i="46"/>
  <c r="C230" i="46"/>
  <c r="C82" i="46"/>
  <c r="C282" i="46"/>
  <c r="C795" i="46"/>
  <c r="C759" i="46"/>
  <c r="C150" i="46"/>
  <c r="C738" i="46"/>
  <c r="C291" i="46"/>
  <c r="C201" i="46"/>
  <c r="C770" i="46"/>
  <c r="C859" i="46"/>
  <c r="C286" i="46"/>
  <c r="C712" i="46"/>
  <c r="C793" i="46"/>
  <c r="C824" i="46"/>
  <c r="C9" i="46"/>
  <c r="C874" i="46"/>
  <c r="C293" i="46"/>
  <c r="C989" i="46"/>
  <c r="C985" i="46"/>
  <c r="C835" i="46"/>
  <c r="C83" i="46"/>
  <c r="C334" i="46"/>
  <c r="C102" i="46"/>
  <c r="C855" i="46"/>
  <c r="C910" i="46"/>
  <c r="C164" i="46"/>
  <c r="C922" i="46"/>
  <c r="C879" i="46"/>
  <c r="C747" i="46"/>
  <c r="C870" i="46"/>
  <c r="C941" i="46"/>
  <c r="C688" i="46"/>
  <c r="C660" i="46"/>
  <c r="C356" i="46"/>
  <c r="C74" i="46"/>
  <c r="C99" i="46"/>
  <c r="C798" i="46"/>
  <c r="C185" i="46"/>
  <c r="C152" i="46"/>
  <c r="C28" i="46"/>
  <c r="C929" i="46"/>
  <c r="C87" i="46"/>
  <c r="C810" i="46"/>
  <c r="C648" i="46"/>
  <c r="C211" i="46"/>
  <c r="C61" i="46"/>
  <c r="C905" i="46"/>
  <c r="C78" i="46"/>
  <c r="C836" i="46"/>
  <c r="C716" i="46"/>
  <c r="C876" i="46"/>
  <c r="C840" i="46"/>
  <c r="C143" i="46"/>
  <c r="C907" i="46"/>
  <c r="C828" i="46"/>
  <c r="C31" i="46"/>
  <c r="C979" i="46"/>
  <c r="C158" i="46"/>
  <c r="C804" i="46"/>
  <c r="C843" i="46"/>
  <c r="C216" i="46"/>
  <c r="C120" i="46"/>
  <c r="C880" i="46"/>
  <c r="C792" i="46"/>
  <c r="C296" i="46"/>
  <c r="C159" i="46"/>
  <c r="C990" i="46"/>
  <c r="C37" i="46"/>
  <c r="F2" i="44"/>
  <c r="F3" i="44" s="1"/>
  <c r="F4" i="44" s="1"/>
  <c r="F5" i="44" s="1"/>
  <c r="F6" i="44" s="1"/>
  <c r="F7" i="44" s="1"/>
  <c r="F8" i="44" s="1"/>
  <c r="F9" i="44" s="1"/>
  <c r="F10" i="44" s="1"/>
  <c r="F11" i="44" s="1"/>
  <c r="F12" i="44" s="1"/>
  <c r="F13" i="44" s="1"/>
  <c r="F14" i="44" s="1"/>
  <c r="F15" i="44" s="1"/>
  <c r="F16" i="44" s="1"/>
  <c r="F17" i="44" s="1"/>
  <c r="F18" i="44" s="1"/>
  <c r="F19" i="44" s="1"/>
  <c r="F20" i="44" s="1"/>
  <c r="F21" i="44" s="1"/>
  <c r="F22" i="44" s="1"/>
  <c r="F23" i="44" s="1"/>
  <c r="F24" i="44" s="1"/>
  <c r="F25" i="44" s="1"/>
  <c r="C243" i="46"/>
  <c r="C852" i="46"/>
  <c r="C888" i="46"/>
  <c r="C312" i="46"/>
  <c r="C53" i="46"/>
  <c r="C969" i="46"/>
  <c r="C223" i="46"/>
  <c r="C946" i="46"/>
  <c r="C658" i="46"/>
  <c r="C635" i="46"/>
  <c r="C625" i="46"/>
  <c r="C630" i="46"/>
  <c r="C626" i="46"/>
  <c r="C646" i="46"/>
  <c r="C681" i="46"/>
  <c r="C672" i="46"/>
  <c r="C663" i="46"/>
  <c r="C627" i="46"/>
  <c r="C641" i="46"/>
  <c r="C639" i="46"/>
  <c r="C669" i="46"/>
  <c r="C642" i="46"/>
  <c r="C644" i="46"/>
  <c r="C638" i="46"/>
  <c r="C665" i="46"/>
  <c r="C632" i="46"/>
  <c r="C631" i="46"/>
  <c r="C901" i="46"/>
  <c r="C624" i="46"/>
  <c r="C321" i="46"/>
  <c r="C805" i="46"/>
  <c r="C114" i="46"/>
  <c r="C91" i="46"/>
  <c r="C664" i="46"/>
  <c r="C273" i="46"/>
  <c r="C105" i="46"/>
  <c r="C754" i="46"/>
  <c r="C38" i="46"/>
  <c r="C763" i="46"/>
  <c r="C1003" i="46"/>
  <c r="C125" i="46"/>
  <c r="C324" i="46"/>
  <c r="C290" i="46"/>
  <c r="C193" i="46"/>
  <c r="C189" i="46"/>
  <c r="C909" i="46"/>
  <c r="C774" i="46"/>
  <c r="C667" i="46"/>
  <c r="C351" i="46"/>
  <c r="C266" i="46"/>
  <c r="C67" i="46"/>
  <c r="C205" i="46"/>
  <c r="C983" i="46"/>
  <c r="C242" i="46"/>
  <c r="C816" i="46"/>
  <c r="C108" i="46"/>
  <c r="C95" i="46"/>
  <c r="C981" i="46"/>
  <c r="C63" i="46"/>
  <c r="C188" i="46"/>
  <c r="C930" i="46"/>
  <c r="C709" i="46"/>
  <c r="C676" i="46"/>
  <c r="C278" i="46"/>
  <c r="C692" i="46"/>
  <c r="C891" i="46"/>
  <c r="C43" i="46"/>
  <c r="C937" i="46"/>
  <c r="C987" i="46"/>
  <c r="C341" i="46"/>
  <c r="C119" i="46"/>
  <c r="C136" i="46"/>
  <c r="C306" i="46"/>
  <c r="C668" i="46"/>
  <c r="C806" i="46"/>
  <c r="C101" i="46"/>
  <c r="C890" i="46"/>
  <c r="C294" i="46"/>
  <c r="C338" i="46"/>
  <c r="C654" i="46"/>
  <c r="C873" i="46"/>
  <c r="C673" i="46"/>
  <c r="C271" i="46"/>
  <c r="C301" i="46"/>
  <c r="C832" i="46"/>
  <c r="C772" i="46"/>
  <c r="C142" i="46"/>
  <c r="C68" i="46"/>
  <c r="C736" i="46"/>
  <c r="C309" i="46"/>
  <c r="C850" i="46"/>
  <c r="C80" i="46"/>
  <c r="C771" i="46"/>
  <c r="C131" i="46"/>
  <c r="C6" i="46"/>
  <c r="C944" i="46"/>
  <c r="C72" i="46"/>
  <c r="C802" i="46"/>
  <c r="C781" i="46"/>
  <c r="C847" i="46"/>
  <c r="C826" i="46"/>
  <c r="C170" i="46"/>
  <c r="C57" i="46"/>
  <c r="C657" i="46"/>
  <c r="C727" i="46"/>
  <c r="C703" i="46"/>
  <c r="C30" i="46"/>
  <c r="C287" i="46"/>
  <c r="C996" i="46"/>
  <c r="C24" i="46"/>
  <c r="C319" i="46"/>
  <c r="C780" i="46"/>
  <c r="C172" i="46"/>
  <c r="C953" i="46"/>
  <c r="C853" i="46"/>
  <c r="C838" i="46"/>
  <c r="C634" i="46"/>
  <c r="C940" i="46"/>
  <c r="C254" i="46"/>
  <c r="C299" i="46"/>
  <c r="C117" i="46"/>
  <c r="C867" i="46"/>
  <c r="C960" i="46"/>
  <c r="C834" i="46"/>
  <c r="C807" i="46"/>
  <c r="C110" i="46"/>
  <c r="C129" i="46"/>
  <c r="C240" i="46"/>
  <c r="C81" i="46"/>
  <c r="C148" i="46"/>
  <c r="C789" i="46"/>
  <c r="C336" i="46"/>
  <c r="C190" i="46"/>
  <c r="C227" i="46"/>
  <c r="C256" i="46"/>
  <c r="C764" i="46"/>
  <c r="C45" i="46"/>
  <c r="C208" i="46"/>
  <c r="C751" i="46"/>
  <c r="C919" i="46"/>
  <c r="C769" i="46"/>
  <c r="C106" i="46"/>
  <c r="C79" i="46"/>
  <c r="C165" i="46"/>
  <c r="C192" i="46"/>
  <c r="C732" i="46"/>
  <c r="C138" i="46"/>
  <c r="C753" i="46"/>
  <c r="C629" i="46"/>
  <c r="C895" i="46"/>
  <c r="C54" i="46"/>
  <c r="C682" i="46"/>
  <c r="C155" i="46"/>
  <c r="C790" i="46"/>
  <c r="C768" i="46"/>
  <c r="C925" i="46"/>
  <c r="C58" i="46"/>
  <c r="C863" i="46"/>
  <c r="C146" i="46"/>
  <c r="C35" i="46"/>
  <c r="C892" i="46"/>
  <c r="C683" i="46"/>
  <c r="C313" i="46"/>
  <c r="C719" i="46"/>
  <c r="C636" i="46"/>
  <c r="C628" i="46"/>
  <c r="C20" i="46"/>
  <c r="C755" i="46"/>
  <c r="C137" i="46"/>
  <c r="C18" i="46"/>
  <c r="C945" i="46"/>
  <c r="C316" i="46"/>
  <c r="C284" i="46"/>
  <c r="C15" i="46"/>
  <c r="C252" i="46"/>
  <c r="C134" i="46"/>
  <c r="C906" i="46"/>
  <c r="C173" i="46"/>
  <c r="C332" i="46"/>
  <c r="C304" i="46"/>
  <c r="C661" i="46"/>
  <c r="C175" i="46"/>
  <c r="C915" i="46"/>
  <c r="C923" i="46"/>
  <c r="C213" i="46"/>
  <c r="C775" i="46"/>
  <c r="C214" i="46"/>
  <c r="C327" i="46"/>
  <c r="C860" i="46"/>
  <c r="C41" i="46"/>
  <c r="C645" i="46"/>
  <c r="C298" i="46"/>
  <c r="C162" i="46"/>
  <c r="C122" i="46"/>
  <c r="C247" i="46"/>
  <c r="C841" i="46"/>
  <c r="C342" i="46"/>
  <c r="C758" i="46"/>
  <c r="C647" i="46"/>
  <c r="C145" i="46"/>
  <c r="C317" i="46"/>
  <c r="C911" i="46"/>
  <c r="C856" i="46"/>
  <c r="C680" i="46"/>
  <c r="C786" i="46"/>
  <c r="C949" i="46"/>
  <c r="C157" i="46"/>
  <c r="C773" i="46"/>
  <c r="C977" i="46"/>
  <c r="C878" i="46"/>
  <c r="C957" i="46"/>
  <c r="C195" i="46"/>
  <c r="C749" i="46"/>
  <c r="C181" i="46"/>
  <c r="C107" i="46"/>
  <c r="C656" i="46"/>
  <c r="C976" i="46"/>
  <c r="C267" i="46"/>
  <c r="C813" i="46"/>
  <c r="C662" i="46"/>
  <c r="C171" i="46"/>
  <c r="C98" i="46"/>
  <c r="C935" i="46"/>
  <c r="C151" i="46"/>
  <c r="C77" i="46"/>
  <c r="C71" i="46"/>
  <c r="C924" i="46"/>
  <c r="C343" i="46"/>
  <c r="C743" i="46"/>
  <c r="C51" i="46"/>
  <c r="C756" i="46"/>
  <c r="C954" i="46"/>
  <c r="C17" i="46"/>
  <c r="C734" i="46"/>
  <c r="C962" i="46"/>
  <c r="C86" i="46"/>
  <c r="C204" i="46"/>
  <c r="C274" i="46"/>
  <c r="C156" i="46"/>
  <c r="C113" i="46"/>
  <c r="C814" i="46"/>
  <c r="C333" i="46"/>
  <c r="C718" i="46"/>
  <c r="C854" i="46"/>
  <c r="C643" i="46"/>
  <c r="C722" i="46"/>
  <c r="C730" i="46"/>
  <c r="C724" i="46"/>
  <c r="C926" i="46"/>
  <c r="C8" i="46"/>
  <c r="C39" i="46"/>
  <c r="C238" i="46"/>
  <c r="C269" i="46"/>
  <c r="C179" i="46"/>
  <c r="C258" i="46"/>
  <c r="C742" i="46"/>
  <c r="C920" i="46"/>
  <c r="C842" i="46"/>
  <c r="C745" i="46"/>
  <c r="C869" i="46"/>
  <c r="C803" i="46"/>
  <c r="C228" i="46"/>
  <c r="C938" i="46"/>
  <c r="C186" i="46"/>
  <c r="C967" i="46"/>
  <c r="C675" i="46"/>
  <c r="C812" i="46"/>
  <c r="C903" i="46"/>
  <c r="C975" i="46"/>
  <c r="C839" i="46"/>
  <c r="C111" i="46"/>
  <c r="C959" i="46"/>
  <c r="F26" i="44" l="1"/>
  <c r="F27" i="44" l="1"/>
  <c r="F28" i="44" l="1"/>
  <c r="F29" i="44" l="1"/>
  <c r="F30" i="44" l="1"/>
  <c r="F31" i="44" l="1"/>
  <c r="F32" i="44" l="1"/>
  <c r="F33" i="44" l="1"/>
  <c r="F34" i="44" l="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D798" i="46" l="1"/>
  <c r="F63" i="44"/>
  <c r="D794" i="46"/>
  <c r="D800" i="46"/>
  <c r="D796" i="46"/>
  <c r="D797" i="46"/>
  <c r="D772" i="46"/>
  <c r="D777" i="46"/>
  <c r="D782" i="46"/>
  <c r="D773" i="46"/>
  <c r="D771" i="46"/>
  <c r="D776" i="46"/>
  <c r="D769" i="46"/>
  <c r="D778" i="46"/>
  <c r="D779" i="46"/>
  <c r="D780" i="46"/>
  <c r="D783" i="46"/>
  <c r="D784" i="46"/>
  <c r="D770" i="46"/>
  <c r="D781" i="46"/>
  <c r="D774" i="46"/>
  <c r="D775" i="46"/>
  <c r="D786" i="46"/>
  <c r="D785" i="46"/>
  <c r="D787" i="46"/>
  <c r="D788" i="46"/>
  <c r="D789" i="46"/>
  <c r="D790" i="46"/>
  <c r="D791" i="46"/>
  <c r="D792" i="46"/>
  <c r="D793" i="46"/>
  <c r="D795" i="46"/>
  <c r="D799" i="46"/>
  <c r="F64" i="44" l="1"/>
  <c r="F65" i="44" l="1"/>
  <c r="D802" i="46" s="1"/>
  <c r="D801" i="46"/>
  <c r="F66" i="44" l="1"/>
  <c r="F67" i="44" l="1"/>
  <c r="D803" i="46"/>
  <c r="D804" i="46"/>
  <c r="F68" i="44" l="1"/>
  <c r="F69" i="44" l="1"/>
  <c r="D805" i="46"/>
  <c r="D806" i="46"/>
  <c r="F70" i="44" l="1"/>
  <c r="F71" i="44" l="1"/>
  <c r="D807" i="46"/>
  <c r="D808" i="46"/>
  <c r="F72" i="44" l="1"/>
  <c r="F73" i="44" l="1"/>
  <c r="F74" i="44" s="1"/>
  <c r="F75" i="44" s="1"/>
  <c r="F76" i="44" s="1"/>
  <c r="F77" i="44" s="1"/>
  <c r="F78" i="44" s="1"/>
  <c r="F79" i="44" s="1"/>
  <c r="F80" i="44" s="1"/>
  <c r="F81" i="44" s="1"/>
  <c r="F82" i="44" s="1"/>
  <c r="F83" i="44" s="1"/>
  <c r="F84" i="44" s="1"/>
  <c r="F85" i="44" s="1"/>
  <c r="F86" i="44" s="1"/>
  <c r="D768" i="46" s="1"/>
  <c r="D821" i="46"/>
  <c r="D236" i="46"/>
  <c r="D313" i="46"/>
  <c r="D426" i="46"/>
  <c r="D418" i="46"/>
  <c r="D171" i="46"/>
  <c r="D382" i="46"/>
  <c r="D27" i="46"/>
  <c r="D820" i="46"/>
  <c r="D732" i="46"/>
  <c r="D302" i="46"/>
  <c r="D76" i="46"/>
  <c r="D152" i="46"/>
  <c r="D733" i="46"/>
  <c r="D940" i="46"/>
  <c r="D916" i="46"/>
  <c r="D817" i="46"/>
  <c r="D32" i="46"/>
  <c r="D251" i="46"/>
  <c r="D590" i="46"/>
  <c r="D975" i="46"/>
  <c r="D884" i="46"/>
  <c r="D276" i="46"/>
  <c r="D589" i="46"/>
  <c r="D339" i="46"/>
  <c r="D328" i="46"/>
  <c r="D68" i="46"/>
  <c r="D642" i="46"/>
  <c r="D837" i="46"/>
  <c r="D564" i="46"/>
  <c r="D388" i="46"/>
  <c r="D979" i="46"/>
  <c r="D93" i="46"/>
  <c r="D25" i="46"/>
  <c r="D563" i="46"/>
  <c r="D35" i="46"/>
  <c r="D537" i="46"/>
  <c r="D82" i="46"/>
  <c r="D690" i="46"/>
  <c r="D500" i="46"/>
  <c r="D864" i="46"/>
  <c r="D526" i="46"/>
  <c r="D825" i="46"/>
  <c r="D955" i="46"/>
  <c r="D593" i="46"/>
  <c r="D309" i="46"/>
  <c r="D163" i="46"/>
  <c r="D873" i="46"/>
  <c r="D483" i="46"/>
  <c r="D877" i="46"/>
  <c r="D645" i="46"/>
  <c r="D378" i="46"/>
  <c r="D228" i="46"/>
  <c r="D453" i="46"/>
  <c r="D164" i="46"/>
  <c r="D998" i="46"/>
  <c r="D586" i="46"/>
  <c r="D689" i="46"/>
  <c r="D830" i="46"/>
  <c r="D597" i="46"/>
  <c r="D306" i="46"/>
  <c r="D208" i="46"/>
  <c r="D389" i="46"/>
  <c r="D53" i="46"/>
  <c r="D624" i="46"/>
  <c r="D535" i="46"/>
  <c r="D587" i="46"/>
  <c r="D534" i="46"/>
  <c r="D31" i="46"/>
  <c r="D720" i="46"/>
  <c r="D316" i="46"/>
  <c r="D824" i="46"/>
  <c r="D949" i="46"/>
  <c r="D312" i="46"/>
  <c r="D325" i="46"/>
  <c r="D182" i="46"/>
  <c r="D75" i="46"/>
  <c r="D292" i="46"/>
  <c r="D478" i="46"/>
  <c r="D596" i="46"/>
  <c r="D994" i="46"/>
  <c r="D603" i="46"/>
  <c r="D285" i="46"/>
  <c r="D991" i="46"/>
  <c r="D701" i="46"/>
  <c r="D165" i="46"/>
  <c r="D890" i="46"/>
  <c r="D139" i="46"/>
  <c r="D536" i="46"/>
  <c r="D138" i="46"/>
  <c r="D833" i="46"/>
  <c r="D600" i="46"/>
  <c r="D488" i="46"/>
  <c r="D198" i="46"/>
  <c r="D105" i="46"/>
  <c r="D14" i="46"/>
  <c r="D442" i="46"/>
  <c r="D918" i="46"/>
  <c r="D512" i="46"/>
  <c r="D356" i="46"/>
  <c r="D237" i="46"/>
  <c r="D231" i="46"/>
  <c r="D710" i="46"/>
  <c r="D610" i="46"/>
  <c r="D374" i="46"/>
  <c r="D176" i="46"/>
  <c r="D826" i="46"/>
  <c r="D992" i="46"/>
  <c r="D968" i="46"/>
  <c r="D844" i="46"/>
  <c r="D30" i="46"/>
  <c r="D602" i="46"/>
  <c r="D718" i="46"/>
  <c r="D214" i="46"/>
  <c r="D980" i="46"/>
  <c r="D178" i="46"/>
  <c r="D230" i="46"/>
  <c r="D811" i="46"/>
  <c r="D463" i="46"/>
  <c r="D445" i="46"/>
  <c r="D358" i="46"/>
  <c r="D555" i="46"/>
  <c r="D872" i="46"/>
  <c r="D150" i="46"/>
  <c r="D371" i="46"/>
  <c r="D987" i="46"/>
  <c r="D578" i="46"/>
  <c r="D141" i="46"/>
  <c r="D529" i="46"/>
  <c r="D566" i="46"/>
  <c r="D15" i="46"/>
  <c r="D266" i="46"/>
  <c r="D444" i="46"/>
  <c r="D475" i="46"/>
  <c r="D539" i="46"/>
  <c r="D203" i="46"/>
  <c r="D540" i="46"/>
  <c r="D626" i="46"/>
  <c r="D85" i="46"/>
  <c r="D474" i="46"/>
  <c r="D981" i="46"/>
  <c r="D629" i="46"/>
  <c r="D458" i="46"/>
  <c r="D177" i="46"/>
  <c r="D271" i="46"/>
  <c r="D912" i="46"/>
  <c r="D712" i="46"/>
  <c r="D552" i="46"/>
  <c r="D255" i="46"/>
  <c r="D886" i="46"/>
  <c r="D508" i="46"/>
  <c r="D854" i="46"/>
  <c r="D598" i="46"/>
  <c r="D549" i="46"/>
  <c r="D941" i="46"/>
  <c r="D697" i="46"/>
  <c r="D823" i="46"/>
  <c r="D599" i="46"/>
  <c r="D939" i="46"/>
  <c r="D23" i="46"/>
  <c r="D300" i="46"/>
  <c r="D380" i="46"/>
  <c r="D870" i="46"/>
  <c r="D211" i="46"/>
  <c r="D366" i="46"/>
  <c r="D180" i="46"/>
  <c r="D1003" i="46"/>
  <c r="D614" i="46"/>
  <c r="D238" i="46"/>
  <c r="D649" i="46"/>
  <c r="D84" i="46"/>
  <c r="D320" i="46"/>
  <c r="D561" i="46"/>
  <c r="D452" i="46"/>
  <c r="D293" i="46"/>
  <c r="D853" i="46"/>
  <c r="D634" i="46"/>
  <c r="D579" i="46"/>
  <c r="D402" i="46"/>
  <c r="D601" i="46"/>
  <c r="D560" i="46"/>
  <c r="D467" i="46"/>
  <c r="D362" i="46"/>
  <c r="D447" i="46"/>
  <c r="D19" i="46"/>
  <c r="D199" i="46"/>
  <c r="D570" i="46"/>
  <c r="D594" i="46"/>
  <c r="D938" i="46"/>
  <c r="D977" i="46"/>
  <c r="D42" i="46"/>
  <c r="D298" i="46"/>
  <c r="D240" i="46"/>
  <c r="D663" i="46"/>
  <c r="D278" i="46"/>
  <c r="D671" i="46"/>
  <c r="D591" i="46"/>
  <c r="D324" i="46"/>
  <c r="D69" i="46"/>
  <c r="D810" i="46"/>
  <c r="D976" i="46"/>
  <c r="D451" i="46"/>
  <c r="D956" i="46"/>
  <c r="D210" i="46"/>
  <c r="D858" i="46"/>
  <c r="D436" i="46"/>
  <c r="D232" i="46"/>
  <c r="D340" i="46"/>
  <c r="D891" i="46"/>
  <c r="D866" i="46"/>
  <c r="D740" i="46"/>
  <c r="D446" i="46"/>
  <c r="D541" i="46"/>
  <c r="D173" i="46"/>
  <c r="D170" i="46"/>
  <c r="D432" i="46"/>
  <c r="D122" i="46"/>
  <c r="D108" i="46"/>
  <c r="D901" i="46"/>
  <c r="D605" i="46"/>
  <c r="D618" i="46"/>
  <c r="D10" i="46"/>
  <c r="D818" i="46"/>
  <c r="D558" i="46"/>
  <c r="D852" i="46"/>
  <c r="D415" i="46"/>
  <c r="D895" i="46"/>
  <c r="D257" i="46"/>
  <c r="D56" i="46"/>
  <c r="D407" i="46"/>
  <c r="D397" i="46"/>
  <c r="D595" i="46"/>
  <c r="D682" i="46"/>
  <c r="D982" i="46"/>
  <c r="D651" i="46"/>
  <c r="D70" i="46"/>
  <c r="D242" i="46"/>
  <c r="D411" i="46"/>
  <c r="D297" i="46"/>
  <c r="D608" i="46"/>
  <c r="D319" i="46"/>
  <c r="D868" i="46"/>
  <c r="D414" i="46"/>
  <c r="D965" i="46"/>
  <c r="D379" i="46"/>
  <c r="D581" i="46"/>
  <c r="D78" i="46"/>
  <c r="D201" i="46"/>
  <c r="D168" i="46"/>
  <c r="D666" i="46"/>
  <c r="D632" i="46"/>
  <c r="D654" i="46"/>
  <c r="D972" i="46"/>
  <c r="D148" i="46"/>
  <c r="D67" i="46"/>
  <c r="D861" i="46"/>
  <c r="D838" i="46"/>
  <c r="D865" i="46"/>
  <c r="D351" i="46"/>
  <c r="D904" i="46"/>
  <c r="D499" i="46"/>
  <c r="D592" i="46"/>
  <c r="D13" i="46"/>
  <c r="D120" i="46"/>
  <c r="D277" i="46"/>
  <c r="D403" i="46"/>
  <c r="D470" i="46"/>
  <c r="D225" i="46"/>
  <c r="D653" i="46"/>
  <c r="D691" i="46"/>
  <c r="D354" i="46"/>
  <c r="D548" i="46"/>
  <c r="D279" i="46"/>
  <c r="D287" i="46"/>
  <c r="D680" i="46"/>
  <c r="D551" i="46"/>
  <c r="D229" i="46"/>
  <c r="D166" i="46"/>
  <c r="D637" i="46"/>
  <c r="D900" i="46"/>
  <c r="F2" i="50"/>
  <c r="F3" i="50" s="1"/>
  <c r="F4" i="50" s="1"/>
  <c r="F5" i="50" s="1"/>
  <c r="F6" i="50" s="1"/>
  <c r="F7" i="50" s="1"/>
  <c r="F8" i="50" s="1"/>
  <c r="F9" i="50" s="1"/>
  <c r="F10" i="50" s="1"/>
  <c r="F11" i="50" s="1"/>
  <c r="F12" i="50" s="1"/>
  <c r="F13" i="50" s="1"/>
  <c r="F14" i="50" s="1"/>
  <c r="F15" i="50" s="1"/>
  <c r="F16" i="50" s="1"/>
  <c r="F17" i="50" s="1"/>
  <c r="F18" i="50" s="1"/>
  <c r="F19" i="50" s="1"/>
  <c r="F20" i="50" s="1"/>
  <c r="F21" i="50" s="1"/>
  <c r="F22" i="50" s="1"/>
  <c r="F23" i="50" s="1"/>
  <c r="F24" i="50" s="1"/>
  <c r="F25" i="50" s="1"/>
  <c r="F26" i="50" s="1"/>
  <c r="F27" i="50" s="1"/>
  <c r="F28" i="50" s="1"/>
  <c r="F29" i="50" s="1"/>
  <c r="F30" i="50" s="1"/>
  <c r="F31" i="50" s="1"/>
  <c r="F32" i="50" s="1"/>
  <c r="F33" i="50" s="1"/>
  <c r="F34" i="50" s="1"/>
  <c r="F35" i="50" s="1"/>
  <c r="F36" i="50" s="1"/>
  <c r="F37" i="50" s="1"/>
  <c r="F38" i="50" s="1"/>
  <c r="F39" i="50" s="1"/>
  <c r="F40" i="50" s="1"/>
  <c r="F41" i="50" s="1"/>
  <c r="F42" i="50" s="1"/>
  <c r="F43" i="50" s="1"/>
  <c r="F44" i="50" s="1"/>
  <c r="F45" i="50" s="1"/>
  <c r="F46" i="50" s="1"/>
  <c r="F47" i="50" s="1"/>
  <c r="F48" i="50" s="1"/>
  <c r="F49" i="50" s="1"/>
  <c r="F50" i="50" s="1"/>
  <c r="F51" i="50" s="1"/>
  <c r="F52" i="50" s="1"/>
  <c r="F53" i="50" s="1"/>
  <c r="F54" i="50" s="1"/>
  <c r="F55" i="50" s="1"/>
  <c r="F56" i="50" s="1"/>
  <c r="F57" i="50" s="1"/>
  <c r="F58" i="50" s="1"/>
  <c r="F59" i="50" s="1"/>
  <c r="F60" i="50" s="1"/>
  <c r="F61" i="50" s="1"/>
  <c r="F62" i="50" s="1"/>
  <c r="F63" i="50" s="1"/>
  <c r="F64" i="50" s="1"/>
  <c r="F65" i="50" s="1"/>
  <c r="F66" i="50" s="1"/>
  <c r="F67" i="50" s="1"/>
  <c r="F68" i="50" s="1"/>
  <c r="F69" i="50" s="1"/>
  <c r="F70" i="50" s="1"/>
  <c r="F71" i="50" s="1"/>
  <c r="F72" i="50" s="1"/>
  <c r="F73" i="50" s="1"/>
  <c r="F74" i="50" s="1"/>
  <c r="F75" i="50" s="1"/>
  <c r="F76" i="50" s="1"/>
  <c r="F77" i="50" s="1"/>
  <c r="F78" i="50" s="1"/>
  <c r="F79" i="50" s="1"/>
  <c r="F80" i="50" s="1"/>
  <c r="F81" i="50" s="1"/>
  <c r="F82" i="50" s="1"/>
  <c r="F83" i="50" s="1"/>
  <c r="F84" i="50" s="1"/>
  <c r="F85" i="50" s="1"/>
  <c r="F86" i="50" s="1"/>
  <c r="F87" i="50" s="1"/>
  <c r="F88" i="50" s="1"/>
  <c r="F89" i="50" s="1"/>
  <c r="F90" i="50" s="1"/>
  <c r="F91" i="50" s="1"/>
  <c r="F92" i="50" s="1"/>
  <c r="F93" i="50" s="1"/>
  <c r="F94" i="50" s="1"/>
  <c r="F95" i="50" s="1"/>
  <c r="F96" i="50" s="1"/>
  <c r="F97" i="50" s="1"/>
  <c r="F98" i="50" s="1"/>
  <c r="F99" i="50" s="1"/>
  <c r="F100" i="50" s="1"/>
  <c r="F101" i="50" s="1"/>
  <c r="F102" i="50" s="1"/>
  <c r="F103" i="50" s="1"/>
  <c r="F104" i="50" s="1"/>
  <c r="F105" i="50" s="1"/>
  <c r="D281" i="46"/>
  <c r="D260" i="46"/>
  <c r="D486" i="46"/>
  <c r="D717" i="46"/>
  <c r="D308" i="46"/>
  <c r="D960" i="46"/>
  <c r="D582" i="46"/>
  <c r="D673" i="46"/>
  <c r="D493" i="46"/>
  <c r="D262" i="46"/>
  <c r="D639" i="46"/>
  <c r="D438" i="46"/>
  <c r="D303" i="46"/>
  <c r="D662" i="46"/>
  <c r="D869" i="46"/>
  <c r="D258" i="46"/>
  <c r="D623" i="46"/>
  <c r="D571" i="46"/>
  <c r="D254" i="46"/>
  <c r="D834" i="46"/>
  <c r="D497" i="46"/>
  <c r="D323" i="46"/>
  <c r="D681" i="46"/>
  <c r="D127" i="46"/>
  <c r="D290" i="46"/>
  <c r="D416" i="46"/>
  <c r="D391" i="46"/>
  <c r="D58" i="46"/>
  <c r="D683" i="46"/>
  <c r="D222" i="46"/>
  <c r="D576" i="46"/>
  <c r="D881" i="46"/>
  <c r="D466" i="46"/>
  <c r="D630" i="46"/>
  <c r="D907" i="46"/>
  <c r="D707" i="46"/>
  <c r="D952" i="46"/>
  <c r="D510" i="46"/>
  <c r="D583" i="46"/>
  <c r="D573" i="46"/>
  <c r="D456" i="46"/>
  <c r="D568" i="46"/>
  <c r="D842" i="46"/>
  <c r="D479" i="46"/>
  <c r="D516" i="46"/>
  <c r="D495" i="46"/>
  <c r="D995" i="46"/>
  <c r="D899" i="46"/>
  <c r="D110" i="46"/>
  <c r="D962" i="46"/>
  <c r="D348" i="46"/>
  <c r="D252" i="46"/>
  <c r="D181" i="46"/>
  <c r="D36" i="46"/>
  <c r="D434" i="46"/>
  <c r="D136" i="46"/>
  <c r="D721" i="46"/>
  <c r="D471" i="46"/>
  <c r="D4" i="46"/>
  <c r="D134" i="46"/>
  <c r="D609" i="46"/>
  <c r="D175" i="46"/>
  <c r="D545" i="46"/>
  <c r="D77" i="46"/>
  <c r="D440" i="46"/>
  <c r="D146" i="46"/>
  <c r="D658" i="46"/>
  <c r="D735" i="46"/>
  <c r="D584" i="46"/>
  <c r="D832" i="46"/>
  <c r="D115" i="46"/>
  <c r="D368" i="46"/>
  <c r="D383" i="46"/>
  <c r="D370" i="46"/>
  <c r="D50" i="46"/>
  <c r="D575" i="46"/>
  <c r="D523" i="46"/>
  <c r="D693" i="46"/>
  <c r="D47" i="46"/>
  <c r="D121" i="46"/>
  <c r="D882" i="46"/>
  <c r="D875" i="46"/>
  <c r="D401" i="46"/>
  <c r="D219" i="46"/>
  <c r="D849" i="46"/>
  <c r="D347" i="46"/>
  <c r="D836" i="46"/>
  <c r="D244" i="46"/>
  <c r="D538" i="46"/>
  <c r="D304" i="46"/>
  <c r="D511" i="46"/>
  <c r="D330" i="46"/>
  <c r="D81" i="46"/>
  <c r="D439" i="46"/>
  <c r="D635" i="46"/>
  <c r="D29" i="46"/>
  <c r="D894" i="46"/>
  <c r="D850" i="46"/>
  <c r="D567" i="46"/>
  <c r="F2" i="47"/>
  <c r="F3" i="47" s="1"/>
  <c r="F4" i="47" s="1"/>
  <c r="F5" i="47" s="1"/>
  <c r="F6" i="47" s="1"/>
  <c r="F7" i="47" s="1"/>
  <c r="F8" i="47" s="1"/>
  <c r="F9" i="47" s="1"/>
  <c r="F10" i="47" s="1"/>
  <c r="F11" i="47" s="1"/>
  <c r="F12" i="47" s="1"/>
  <c r="D264" i="46"/>
  <c r="D698" i="46"/>
  <c r="D20" i="46"/>
  <c r="D521" i="46"/>
  <c r="D280" i="46"/>
  <c r="D514" i="46"/>
  <c r="D63" i="46"/>
  <c r="D716" i="46"/>
  <c r="D983" i="46"/>
  <c r="D331" i="46"/>
  <c r="D708" i="46"/>
  <c r="D664" i="46"/>
  <c r="D993" i="46"/>
  <c r="D291" i="46"/>
  <c r="D518" i="46"/>
  <c r="D167" i="46"/>
  <c r="D472" i="46"/>
  <c r="D381" i="46"/>
  <c r="D86" i="46"/>
  <c r="D496" i="46"/>
  <c r="D422" i="46"/>
  <c r="D367" i="46"/>
  <c r="D209" i="46"/>
  <c r="D990" i="46"/>
  <c r="D636" i="46"/>
  <c r="D828" i="46"/>
  <c r="D142" i="46"/>
  <c r="D8" i="46"/>
  <c r="D185" i="46"/>
  <c r="D7" i="46"/>
  <c r="D515" i="46"/>
  <c r="D417" i="46"/>
  <c r="D896" i="46"/>
  <c r="D547" i="46"/>
  <c r="D473" i="46"/>
  <c r="D317" i="46"/>
  <c r="D394" i="46"/>
  <c r="D903" i="46"/>
  <c r="D621" i="46"/>
  <c r="D310" i="46"/>
  <c r="D215" i="46"/>
  <c r="D406" i="46"/>
  <c r="D83" i="46"/>
  <c r="D398" i="46"/>
  <c r="D40" i="46"/>
  <c r="D527" i="46"/>
  <c r="D948" i="46"/>
  <c r="D259" i="46"/>
  <c r="D676" i="46"/>
  <c r="D59" i="46"/>
  <c r="D269" i="46"/>
  <c r="D652" i="46"/>
  <c r="D60" i="46"/>
  <c r="D268" i="46"/>
  <c r="D125" i="46"/>
  <c r="D369" i="46"/>
  <c r="D73" i="46"/>
  <c r="D588" i="46"/>
  <c r="D997" i="46"/>
  <c r="D726" i="46"/>
  <c r="D498" i="46"/>
  <c r="D704" i="46"/>
  <c r="D922" i="46"/>
  <c r="D409" i="46"/>
  <c r="D604" i="46"/>
  <c r="D489" i="46"/>
  <c r="D123" i="46"/>
  <c r="D116" i="46"/>
  <c r="D684" i="46"/>
  <c r="D927" i="46"/>
  <c r="D385" i="46"/>
  <c r="D730" i="46"/>
  <c r="D431" i="46"/>
  <c r="D421" i="46"/>
  <c r="D737" i="46"/>
  <c r="D485" i="46"/>
  <c r="D936" i="46"/>
  <c r="D129" i="46"/>
  <c r="D719" i="46"/>
  <c r="D714" i="46"/>
  <c r="D542" i="46"/>
  <c r="D932" i="46"/>
  <c r="D428" i="46"/>
  <c r="D580" i="46"/>
  <c r="D631" i="46"/>
  <c r="D133" i="46"/>
  <c r="D357" i="46"/>
  <c r="D885" i="46"/>
  <c r="D184" i="46"/>
  <c r="D724" i="46"/>
  <c r="D197" i="46"/>
  <c r="D703" i="46"/>
  <c r="D191" i="46"/>
  <c r="D55" i="46"/>
  <c r="D91" i="46"/>
  <c r="D424" i="46"/>
  <c r="D143" i="46"/>
  <c r="D334" i="46"/>
  <c r="D913" i="46"/>
  <c r="D827" i="46"/>
  <c r="D343" i="46"/>
  <c r="D921" i="46"/>
  <c r="D565" i="46"/>
  <c r="D723" i="46"/>
  <c r="D677" i="46"/>
  <c r="D650" i="46"/>
  <c r="D375" i="46"/>
  <c r="D530" i="46"/>
  <c r="D909" i="46"/>
  <c r="D223" i="46"/>
  <c r="D80" i="46"/>
  <c r="D958" i="46"/>
  <c r="D692" i="46"/>
  <c r="D646" i="46"/>
  <c r="D468" i="46"/>
  <c r="D119" i="46"/>
  <c r="D233" i="46"/>
  <c r="D144" i="46"/>
  <c r="D9" i="46"/>
  <c r="D887" i="46"/>
  <c r="D220" i="46"/>
  <c r="D11" i="46"/>
  <c r="D919" i="46"/>
  <c r="D39" i="46"/>
  <c r="D966" i="46"/>
  <c r="D628" i="46"/>
  <c r="D253" i="46"/>
  <c r="D996" i="46"/>
  <c r="D131" i="46"/>
  <c r="D190" i="46"/>
  <c r="D973" i="46"/>
  <c r="D954" i="46"/>
  <c r="D931" i="46"/>
  <c r="D37" i="46"/>
  <c r="D840" i="46"/>
  <c r="D117" i="46"/>
  <c r="D95" i="46"/>
  <c r="D897" i="46"/>
  <c r="D21" i="46"/>
  <c r="D206" i="46"/>
  <c r="D531" i="46"/>
  <c r="D880" i="46"/>
  <c r="D335" i="46"/>
  <c r="D109" i="46"/>
  <c r="D984" i="46"/>
  <c r="D878" i="46"/>
  <c r="D734" i="46"/>
  <c r="D192" i="46"/>
  <c r="D606" i="46"/>
  <c r="D572" i="46"/>
  <c r="D543" i="46"/>
  <c r="D888" i="46"/>
  <c r="D246" i="46"/>
  <c r="D871" i="46"/>
  <c r="D373" i="46"/>
  <c r="D559" i="46"/>
  <c r="D174" i="46"/>
  <c r="D509" i="46"/>
  <c r="D914" i="46"/>
  <c r="D270" i="46"/>
  <c r="D450" i="46"/>
  <c r="D946" i="46"/>
  <c r="D556" i="46"/>
  <c r="D1000" i="46"/>
  <c r="D454" i="46"/>
  <c r="D296" i="46"/>
  <c r="D289" i="46"/>
  <c r="D819" i="46"/>
  <c r="D342" i="46"/>
  <c r="D161" i="46"/>
  <c r="D906" i="46"/>
  <c r="D74" i="46"/>
  <c r="D245" i="46"/>
  <c r="D926" i="46"/>
  <c r="D79" i="46"/>
  <c r="D633" i="46"/>
  <c r="D669" i="46"/>
  <c r="D722" i="46"/>
  <c r="D169" i="46"/>
  <c r="D667" i="46"/>
  <c r="D491" i="46"/>
  <c r="D648" i="46"/>
  <c r="D728" i="46"/>
  <c r="D377" i="46"/>
  <c r="D423" i="46"/>
  <c r="D665" i="46"/>
  <c r="D920" i="46"/>
  <c r="D738" i="46"/>
  <c r="D430" i="46"/>
  <c r="D186" i="46"/>
  <c r="D275" i="46"/>
  <c r="D937" i="46"/>
  <c r="D465" i="46"/>
  <c r="D971" i="46"/>
  <c r="D741" i="46"/>
  <c r="D213" i="46"/>
  <c r="D273" i="46"/>
  <c r="D494" i="46"/>
  <c r="D950" i="46"/>
  <c r="D874" i="46"/>
  <c r="D517" i="46"/>
  <c r="D917" i="46"/>
  <c r="D661" i="46"/>
  <c r="D647" i="46"/>
  <c r="D846" i="46"/>
  <c r="D149" i="46"/>
  <c r="D519" i="46"/>
  <c r="D640" i="46"/>
  <c r="D928" i="46"/>
  <c r="D925" i="46" l="1"/>
  <c r="D263" i="46"/>
  <c r="D322" i="46"/>
  <c r="D314" i="46"/>
  <c r="D18" i="46"/>
  <c r="D221" i="46"/>
  <c r="D638" i="46"/>
  <c r="D963" i="46"/>
  <c r="D546" i="46"/>
  <c r="D487" i="46"/>
  <c r="D969" i="46"/>
  <c r="D365" i="46"/>
  <c r="D265" i="46"/>
  <c r="F106" i="50"/>
  <c r="F107" i="50" s="1"/>
  <c r="F108" i="50" s="1"/>
  <c r="F109" i="50" s="1"/>
  <c r="F110" i="50" s="1"/>
  <c r="F111" i="50" s="1"/>
  <c r="F112" i="50" s="1"/>
  <c r="F113" i="50" s="1"/>
  <c r="F114" i="50" s="1"/>
  <c r="F115" i="50" s="1"/>
  <c r="F116" i="50" s="1"/>
  <c r="F117" i="50" s="1"/>
  <c r="F118" i="50" s="1"/>
  <c r="F119" i="50" s="1"/>
  <c r="F120" i="50" s="1"/>
  <c r="F121" i="50" s="1"/>
  <c r="D699" i="46"/>
  <c r="D321" i="46"/>
  <c r="D51" i="46"/>
  <c r="D482" i="46"/>
  <c r="D124" i="46"/>
  <c r="D867" i="46"/>
  <c r="D272" i="46"/>
  <c r="D89" i="46"/>
  <c r="D978" i="46"/>
  <c r="D574" i="46"/>
  <c r="D327" i="46"/>
  <c r="D934" i="46"/>
  <c r="D569" i="46"/>
  <c r="D443" i="46"/>
  <c r="D98" i="46"/>
  <c r="D457" i="46"/>
  <c r="D464" i="46"/>
  <c r="D359" i="46"/>
  <c r="D533" i="46"/>
  <c r="D412" i="46"/>
  <c r="D742" i="46"/>
  <c r="D660" i="46"/>
  <c r="D311" i="46"/>
  <c r="D908" i="46"/>
  <c r="D393" i="46"/>
  <c r="D930" i="46"/>
  <c r="D437" i="46"/>
  <c r="D12" i="46"/>
  <c r="D766" i="46"/>
  <c r="D767" i="46"/>
  <c r="D764" i="46"/>
  <c r="D765" i="46"/>
  <c r="D762" i="46"/>
  <c r="D763" i="46"/>
  <c r="D194" i="46"/>
  <c r="D613" i="46"/>
  <c r="D855" i="46"/>
  <c r="D66" i="46"/>
  <c r="D999" i="46"/>
  <c r="D267" i="46"/>
  <c r="D355" i="46"/>
  <c r="D376" i="46"/>
  <c r="D528" i="46"/>
  <c r="D54" i="46"/>
  <c r="D94" i="46"/>
  <c r="D137" i="46"/>
  <c r="D513" i="46"/>
  <c r="D420" i="46"/>
  <c r="D739" i="46"/>
  <c r="D694" i="46"/>
  <c r="D748" i="46"/>
  <c r="D761" i="46"/>
  <c r="D760" i="46"/>
  <c r="D749" i="46"/>
  <c r="D753" i="46"/>
  <c r="D752" i="46"/>
  <c r="D758" i="46"/>
  <c r="D756" i="46"/>
  <c r="D751" i="46"/>
  <c r="D759" i="46"/>
  <c r="D750" i="46"/>
  <c r="D757" i="46"/>
  <c r="D754" i="46"/>
  <c r="D755" i="46"/>
  <c r="D553" i="46"/>
  <c r="D156" i="46"/>
  <c r="D923" i="46"/>
  <c r="D234" i="46"/>
  <c r="D193" i="46"/>
  <c r="D205" i="46"/>
  <c r="D305" i="46"/>
  <c r="D107" i="46"/>
  <c r="D711" i="46"/>
  <c r="D46" i="46"/>
  <c r="D315" i="46"/>
  <c r="D957" i="46"/>
  <c r="D157" i="46"/>
  <c r="D695" i="46"/>
  <c r="D132" i="46"/>
  <c r="D747" i="46"/>
  <c r="D532" i="46"/>
  <c r="D364" i="46"/>
  <c r="D729" i="46"/>
  <c r="D520" i="46"/>
  <c r="D200" i="46"/>
  <c r="D746" i="46"/>
  <c r="D544" i="46"/>
  <c r="D525" i="46"/>
  <c r="D345" i="46"/>
  <c r="D725" i="46"/>
  <c r="D187" i="46"/>
  <c r="D103" i="46"/>
  <c r="D17" i="46"/>
  <c r="D988" i="46"/>
  <c r="D910" i="46"/>
  <c r="D318" i="46"/>
  <c r="D816" i="46"/>
  <c r="D744" i="46"/>
  <c r="D745" i="46"/>
  <c r="D396" i="46"/>
  <c r="D961" i="46"/>
  <c r="D743" i="46"/>
  <c r="D847" i="46"/>
  <c r="D501" i="46"/>
  <c r="D111" i="46"/>
  <c r="D731" i="46"/>
  <c r="D627" i="46"/>
  <c r="D522" i="46"/>
  <c r="D90" i="46"/>
  <c r="D505" i="46"/>
  <c r="D455" i="46"/>
  <c r="D644" i="46"/>
  <c r="D702" i="46"/>
  <c r="D336" i="46"/>
  <c r="D736" i="46"/>
  <c r="D577" i="46"/>
  <c r="D942" i="46"/>
  <c r="D970" i="46"/>
  <c r="D28" i="46"/>
  <c r="D224" i="46"/>
  <c r="D387" i="46"/>
  <c r="D502" i="46"/>
  <c r="D384" i="46"/>
  <c r="D195" i="46"/>
  <c r="D812" i="46"/>
  <c r="D48" i="46"/>
  <c r="D657" i="46"/>
  <c r="D1002" i="46"/>
  <c r="D641" i="46"/>
  <c r="D986" i="46"/>
  <c r="D363" i="46"/>
  <c r="D696" i="46"/>
  <c r="D405" i="46"/>
  <c r="D295" i="46"/>
  <c r="D554" i="46"/>
  <c r="D433" i="46"/>
  <c r="D862" i="46"/>
  <c r="D72" i="46"/>
  <c r="D889" i="46"/>
  <c r="D352" i="46"/>
  <c r="D924" i="46"/>
  <c r="D159" i="46"/>
  <c r="D507" i="46"/>
  <c r="D611" i="46"/>
  <c r="D883" i="46"/>
  <c r="D893" i="46"/>
  <c r="D179" i="46"/>
  <c r="D26" i="46"/>
  <c r="D585" i="46"/>
  <c r="D189" i="46"/>
  <c r="D967" i="46"/>
  <c r="D301" i="46"/>
  <c r="D326" i="46"/>
  <c r="D99" i="46"/>
  <c r="D857" i="46"/>
  <c r="D686" i="46"/>
  <c r="D492" i="46"/>
  <c r="D16" i="46"/>
  <c r="D44" i="46"/>
  <c r="D898" i="46"/>
  <c r="D460" i="46"/>
  <c r="D672" i="46"/>
  <c r="D619" i="46"/>
  <c r="D947" i="46"/>
  <c r="D685" i="46"/>
  <c r="D615" i="46"/>
  <c r="D6" i="46"/>
  <c r="D490" i="46"/>
  <c r="D713" i="46"/>
  <c r="D151" i="46"/>
  <c r="D506" i="46"/>
  <c r="D879" i="46"/>
  <c r="D503" i="46"/>
  <c r="D851" i="46"/>
  <c r="D959" i="46"/>
  <c r="D427" i="46"/>
  <c r="D216" i="46"/>
  <c r="D809" i="46"/>
  <c r="D815" i="46"/>
  <c r="D441" i="46"/>
  <c r="D299" i="46"/>
  <c r="D410" i="46"/>
  <c r="D659" i="46"/>
  <c r="D114" i="46"/>
  <c r="D974" i="46"/>
  <c r="D822" i="46"/>
  <c r="D550" i="46"/>
  <c r="D147" i="46"/>
  <c r="D92" i="46"/>
  <c r="D477" i="46"/>
  <c r="D706" i="46"/>
  <c r="D360" i="46"/>
  <c r="D100" i="46"/>
  <c r="D943" i="46"/>
  <c r="D284" i="46"/>
  <c r="D674" i="46"/>
  <c r="D288" i="46"/>
  <c r="D617" i="46"/>
  <c r="D622" i="46"/>
  <c r="D33" i="46"/>
  <c r="D106" i="46"/>
  <c r="D372" i="46"/>
  <c r="D49" i="46"/>
  <c r="D459" i="46"/>
  <c r="D218" i="46"/>
  <c r="D71" i="46"/>
  <c r="D484" i="46"/>
  <c r="D153" i="46"/>
  <c r="D656" i="46"/>
  <c r="D96" i="46"/>
  <c r="D448" i="46"/>
  <c r="D217" i="46"/>
  <c r="D911" i="46"/>
  <c r="D294" i="46"/>
  <c r="D52" i="46"/>
  <c r="D243" i="46"/>
  <c r="D905" i="46"/>
  <c r="D256" i="46"/>
  <c r="D118" i="46"/>
  <c r="D408" i="46"/>
  <c r="D140" i="46"/>
  <c r="D361" i="46"/>
  <c r="D329" i="46"/>
  <c r="D480" i="46"/>
  <c r="D172" i="46"/>
  <c r="D88" i="46"/>
  <c r="D462" i="46"/>
  <c r="D350" i="46"/>
  <c r="D504" i="46"/>
  <c r="D349" i="46"/>
  <c r="D282" i="46"/>
  <c r="D425" i="46"/>
  <c r="D128" i="46"/>
  <c r="D876" i="46"/>
  <c r="D24" i="46"/>
  <c r="D616" i="46"/>
  <c r="D135" i="46"/>
  <c r="D154" i="46"/>
  <c r="D207" i="46"/>
  <c r="D841" i="46"/>
  <c r="D286" i="46"/>
  <c r="D562" i="46"/>
  <c r="D933" i="46"/>
  <c r="D87" i="46"/>
  <c r="D843" i="46"/>
  <c r="D241" i="46"/>
  <c r="D248" i="46"/>
  <c r="D102" i="46"/>
  <c r="D845" i="46"/>
  <c r="D158" i="46"/>
  <c r="D64" i="46"/>
  <c r="D226" i="46"/>
  <c r="D848" i="46"/>
  <c r="D687" i="46"/>
  <c r="D112" i="46"/>
  <c r="D41" i="46"/>
  <c r="D678" i="46"/>
  <c r="D814" i="46"/>
  <c r="D45" i="46"/>
  <c r="D449" i="46"/>
  <c r="D338" i="46"/>
  <c r="D57" i="46"/>
  <c r="D989" i="46"/>
  <c r="D951" i="46"/>
  <c r="D915" i="46"/>
  <c r="D392" i="46"/>
  <c r="D945" i="46"/>
  <c r="D902" i="46"/>
  <c r="D469" i="46"/>
  <c r="D400" i="46"/>
  <c r="D212" i="46"/>
  <c r="D839" i="46"/>
  <c r="D247" i="46"/>
  <c r="D5" i="46"/>
  <c r="D341" i="46"/>
  <c r="D429" i="46"/>
  <c r="D307" i="46"/>
  <c r="D65" i="46"/>
  <c r="D413" i="46"/>
  <c r="D715" i="46"/>
  <c r="D524" i="46"/>
  <c r="D250" i="46"/>
  <c r="D856" i="46"/>
  <c r="D43" i="46"/>
  <c r="D643" i="46"/>
  <c r="D235" i="46"/>
  <c r="D104" i="46"/>
  <c r="D655" i="46"/>
  <c r="D204" i="46"/>
  <c r="D38" i="46"/>
  <c r="D130" i="46"/>
  <c r="D274" i="46"/>
  <c r="D675" i="46"/>
  <c r="D813" i="46"/>
  <c r="D34" i="46"/>
  <c r="D829" i="46"/>
  <c r="D113" i="46"/>
  <c r="D944" i="46"/>
  <c r="F2" i="48"/>
  <c r="F3" i="48" s="1"/>
  <c r="F4" i="48" s="1"/>
  <c r="F5" i="48" s="1"/>
  <c r="F6" i="48" s="1"/>
  <c r="F7" i="48" s="1"/>
  <c r="F8" i="48" s="1"/>
  <c r="F9" i="48" s="1"/>
  <c r="F10" i="48" s="1"/>
  <c r="F11" i="48" s="1"/>
  <c r="F12" i="48" s="1"/>
  <c r="F13" i="48" s="1"/>
  <c r="F14" i="48" s="1"/>
  <c r="F15" i="48" s="1"/>
  <c r="F16" i="48" s="1"/>
  <c r="F17" i="48" s="1"/>
  <c r="F18" i="48" s="1"/>
  <c r="F19" i="48" s="1"/>
  <c r="F20" i="48" s="1"/>
  <c r="F21" i="48" s="1"/>
  <c r="F22" i="48" s="1"/>
  <c r="F23" i="48" s="1"/>
  <c r="F24" i="48" s="1"/>
  <c r="F25" i="48" s="1"/>
  <c r="F26" i="48" s="1"/>
  <c r="F27" i="48" s="1"/>
  <c r="F28" i="48" s="1"/>
  <c r="F29" i="48" s="1"/>
  <c r="F30" i="48" s="1"/>
  <c r="F31" i="48" s="1"/>
  <c r="F32" i="48" s="1"/>
  <c r="F33" i="48" s="1"/>
  <c r="F34" i="48" s="1"/>
  <c r="F35" i="48" s="1"/>
  <c r="F36" i="48" s="1"/>
  <c r="F37" i="48" s="1"/>
  <c r="F38" i="48" s="1"/>
  <c r="F39" i="48" s="1"/>
  <c r="F40" i="48" s="1"/>
  <c r="F41" i="48" s="1"/>
  <c r="F42" i="48" s="1"/>
  <c r="F43" i="48" s="1"/>
  <c r="F44" i="48" s="1"/>
  <c r="F45" i="48" s="1"/>
  <c r="F46" i="48" s="1"/>
  <c r="F47" i="48" s="1"/>
  <c r="F48" i="48" s="1"/>
  <c r="F49" i="48" s="1"/>
  <c r="F50" i="48" s="1"/>
  <c r="F51" i="48" s="1"/>
  <c r="F52" i="48" s="1"/>
  <c r="F53" i="48" s="1"/>
  <c r="F54" i="48" s="1"/>
  <c r="F55" i="48" s="1"/>
  <c r="F56" i="48" s="1"/>
  <c r="F57" i="48" s="1"/>
  <c r="F58" i="48" s="1"/>
  <c r="F59" i="48" s="1"/>
  <c r="F60" i="48" s="1"/>
  <c r="F61" i="48" s="1"/>
  <c r="F62" i="48" s="1"/>
  <c r="F63" i="48" s="1"/>
  <c r="F64" i="48" s="1"/>
  <c r="F65" i="48" s="1"/>
  <c r="F66" i="48" s="1"/>
  <c r="F67" i="48" s="1"/>
  <c r="F68" i="48" s="1"/>
  <c r="F69" i="48" s="1"/>
  <c r="F70" i="48" s="1"/>
  <c r="F71" i="48" s="1"/>
  <c r="F72" i="48" s="1"/>
  <c r="F73" i="48" s="1"/>
  <c r="F74" i="48" s="1"/>
  <c r="F75" i="48" s="1"/>
  <c r="F76" i="48" s="1"/>
  <c r="F77" i="48" s="1"/>
  <c r="F78" i="48" s="1"/>
  <c r="F79" i="48" s="1"/>
  <c r="F80" i="48" s="1"/>
  <c r="F81" i="48" s="1"/>
  <c r="F82" i="48" s="1"/>
  <c r="F83" i="48" s="1"/>
  <c r="F84" i="48" s="1"/>
  <c r="F85" i="48" s="1"/>
  <c r="F86" i="48" s="1"/>
  <c r="F87" i="48" s="1"/>
  <c r="F88" i="48" s="1"/>
  <c r="D985" i="46"/>
  <c r="D607" i="46"/>
  <c r="D831" i="46"/>
  <c r="D162" i="46"/>
  <c r="D435" i="46"/>
  <c r="D126" i="46"/>
  <c r="D227" i="46"/>
  <c r="D964" i="46"/>
  <c r="D97" i="46"/>
  <c r="D481" i="46"/>
  <c r="D283" i="46"/>
  <c r="D863" i="46"/>
  <c r="D399" i="46"/>
  <c r="D860" i="46"/>
  <c r="D155" i="46"/>
  <c r="D183" i="46"/>
  <c r="D476" i="46"/>
  <c r="D461" i="46"/>
  <c r="D202" i="46"/>
  <c r="D160" i="46"/>
  <c r="D196" i="46"/>
  <c r="D239" i="46"/>
  <c r="D705" i="46"/>
  <c r="D386" i="46"/>
  <c r="D668" i="46"/>
  <c r="D557" i="46"/>
  <c r="D835" i="46"/>
  <c r="D61" i="46"/>
  <c r="D929" i="46"/>
  <c r="D390" i="46"/>
  <c r="D859" i="46"/>
  <c r="D261" i="46"/>
  <c r="D625" i="46"/>
  <c r="D620" i="46"/>
  <c r="D101" i="46"/>
  <c r="D935" i="46"/>
  <c r="D333" i="46"/>
  <c r="D188" i="46"/>
  <c r="D419" i="46"/>
  <c r="D404" i="46"/>
  <c r="D688" i="46"/>
  <c r="D1001" i="46"/>
  <c r="D892" i="46"/>
  <c r="D709" i="46"/>
  <c r="D346" i="46"/>
  <c r="D612" i="46"/>
  <c r="D145" i="46"/>
  <c r="D953" i="46"/>
  <c r="D679" i="46"/>
  <c r="D337" i="46"/>
  <c r="D727" i="46"/>
  <c r="D353" i="46"/>
  <c r="D332" i="46"/>
  <c r="D22" i="46"/>
  <c r="D700" i="46"/>
  <c r="D62" i="46"/>
  <c r="D395" i="46"/>
  <c r="D249" i="46"/>
  <c r="D670" i="46"/>
  <c r="D344" i="46"/>
  <c r="F13" i="47"/>
  <c r="F14" i="47" l="1"/>
  <c r="F15" i="47" s="1"/>
  <c r="F16" i="47" s="1"/>
  <c r="F17" i="47" s="1"/>
  <c r="F18" i="47" s="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89" i="47" s="1"/>
  <c r="F90" i="47" s="1"/>
  <c r="F91" i="47" s="1"/>
  <c r="F92" i="47" s="1"/>
  <c r="F93" i="47" s="1"/>
  <c r="F94" i="47" s="1"/>
  <c r="F95" i="47" s="1"/>
  <c r="F96" i="47" s="1"/>
  <c r="F97" i="47" s="1"/>
  <c r="F98" i="47" s="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F148" i="47" s="1"/>
  <c r="F149" i="47" s="1"/>
  <c r="F150" i="47" s="1"/>
  <c r="F151" i="47" s="1"/>
  <c r="F152" i="47" s="1"/>
  <c r="F153" i="47" s="1"/>
  <c r="F154" i="47" s="1"/>
  <c r="F155" i="47" s="1"/>
  <c r="F156" i="47" s="1"/>
  <c r="F157" i="47" s="1"/>
  <c r="F158" i="47" s="1"/>
  <c r="F159" i="47" s="1"/>
  <c r="F160" i="47" s="1"/>
  <c r="F161" i="47" s="1"/>
  <c r="F162" i="47" s="1"/>
  <c r="F163" i="47" s="1"/>
  <c r="F164" i="47" s="1"/>
  <c r="F165" i="47" s="1"/>
  <c r="F166" i="47" s="1"/>
  <c r="F167" i="47" s="1"/>
  <c r="F168" i="47" s="1"/>
  <c r="F169" i="47" s="1"/>
  <c r="F170" i="47" s="1"/>
  <c r="F171" i="47" s="1"/>
  <c r="F172" i="47" s="1"/>
  <c r="F173" i="47" s="1"/>
  <c r="F174" i="47" s="1"/>
  <c r="F175" i="47" s="1"/>
  <c r="F176" i="47" s="1"/>
  <c r="F177" i="47" s="1"/>
  <c r="F178" i="47" s="1"/>
  <c r="F179" i="47" s="1"/>
  <c r="F180" i="47" s="1"/>
  <c r="F181" i="47" s="1"/>
  <c r="F182" i="47" s="1"/>
  <c r="F183" i="47" s="1"/>
  <c r="F184" i="47" s="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F224" i="47" s="1"/>
  <c r="F225" i="47" s="1"/>
  <c r="F226" i="47" s="1"/>
  <c r="F227" i="47" s="1"/>
  <c r="F228" i="47" s="1"/>
  <c r="F229" i="47" s="1"/>
  <c r="F230" i="47" s="1"/>
  <c r="F231" i="47" s="1"/>
  <c r="F232" i="47" s="1"/>
  <c r="F233" i="47" s="1"/>
  <c r="F234" i="47" s="1"/>
  <c r="F235" i="47" s="1"/>
  <c r="F236" i="47" l="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F260" i="47" s="1"/>
  <c r="F261" i="47" s="1"/>
  <c r="F262" i="47" s="1"/>
  <c r="F263" i="47" s="1"/>
  <c r="F264" i="47" s="1"/>
  <c r="F265" i="47" s="1"/>
  <c r="F266" i="47" s="1"/>
  <c r="F267" i="47" s="1"/>
  <c r="F268" i="47" s="1"/>
  <c r="F269" i="47" s="1"/>
  <c r="F270" i="47" s="1"/>
  <c r="F271" i="47" s="1"/>
  <c r="F272" i="47" s="1"/>
  <c r="F273" i="47" s="1"/>
  <c r="F274" i="47" s="1"/>
  <c r="F275" i="47" s="1"/>
  <c r="F276" i="47" s="1"/>
  <c r="F277" i="47" s="1"/>
  <c r="F278" i="47" s="1"/>
  <c r="E853" i="46"/>
  <c r="F853" i="46" s="1"/>
  <c r="I853" i="46" s="1"/>
  <c r="E851" i="46"/>
  <c r="F851" i="46" s="1"/>
  <c r="I851" i="46" s="1"/>
  <c r="E871" i="46"/>
  <c r="F871" i="46" s="1"/>
  <c r="I871" i="46" s="1"/>
  <c r="E881" i="46"/>
  <c r="F881" i="46" s="1"/>
  <c r="I881" i="46" s="1"/>
  <c r="E883" i="46"/>
  <c r="F883" i="46" s="1"/>
  <c r="I883" i="46" s="1"/>
  <c r="E850" i="46"/>
  <c r="F850" i="46" s="1"/>
  <c r="I850" i="46" s="1"/>
  <c r="E943" i="46"/>
  <c r="F943" i="46" s="1"/>
  <c r="I943" i="46" s="1"/>
  <c r="E849" i="46"/>
  <c r="F849" i="46" s="1"/>
  <c r="I849" i="46" s="1"/>
  <c r="E974" i="46"/>
  <c r="F974" i="46" s="1"/>
  <c r="I974" i="46" s="1"/>
  <c r="E886" i="46"/>
  <c r="F886" i="46" s="1"/>
  <c r="I886" i="46" s="1"/>
  <c r="E888" i="46"/>
  <c r="F888" i="46" s="1"/>
  <c r="I888" i="46" s="1"/>
  <c r="E905" i="46"/>
  <c r="F905" i="46" s="1"/>
  <c r="I905" i="46" s="1"/>
  <c r="E902" i="46"/>
  <c r="F902" i="46" s="1"/>
  <c r="I902" i="46" s="1"/>
  <c r="E915" i="46"/>
  <c r="F915" i="46" s="1"/>
  <c r="I915" i="46" s="1"/>
  <c r="E912" i="46"/>
  <c r="F912" i="46" s="1"/>
  <c r="I912" i="46" s="1"/>
  <c r="E983" i="46"/>
  <c r="F983" i="46" s="1"/>
  <c r="I983" i="46" s="1"/>
  <c r="E939" i="46"/>
  <c r="F939" i="46" s="1"/>
  <c r="I939" i="46" s="1"/>
  <c r="E909" i="46"/>
  <c r="F909" i="46" s="1"/>
  <c r="I909" i="46" s="1"/>
  <c r="E856" i="46"/>
  <c r="F856" i="46" s="1"/>
  <c r="I856" i="46" s="1"/>
  <c r="E873" i="46"/>
  <c r="F873" i="46" s="1"/>
  <c r="I873" i="46" s="1"/>
  <c r="E843" i="46"/>
  <c r="F843" i="46" s="1"/>
  <c r="I843" i="46" s="1"/>
  <c r="E1002" i="46"/>
  <c r="F1002" i="46" s="1"/>
  <c r="I1002" i="46" s="1"/>
  <c r="E844" i="46"/>
  <c r="F844" i="46" s="1"/>
  <c r="I844" i="46" s="1"/>
  <c r="E1003" i="46"/>
  <c r="F1003" i="46" s="1"/>
  <c r="I1003" i="46" s="1"/>
  <c r="E945" i="46"/>
  <c r="F945" i="46" s="1"/>
  <c r="I945" i="46" s="1"/>
  <c r="E920" i="46"/>
  <c r="F920" i="46" s="1"/>
  <c r="I920" i="46" s="1"/>
  <c r="E907" i="46"/>
  <c r="F907" i="46" s="1"/>
  <c r="I907" i="46" s="1"/>
  <c r="E948" i="46"/>
  <c r="F948" i="46" s="1"/>
  <c r="I948" i="46" s="1"/>
  <c r="E858" i="46"/>
  <c r="F858" i="46" s="1"/>
  <c r="I858" i="46" s="1"/>
  <c r="E904" i="46"/>
  <c r="F904" i="46" s="1"/>
  <c r="I904" i="46" s="1"/>
  <c r="E872" i="46"/>
  <c r="F872" i="46" s="1"/>
  <c r="I872" i="46" s="1"/>
  <c r="E966" i="46"/>
  <c r="F966" i="46" s="1"/>
  <c r="I966" i="46" s="1"/>
  <c r="E923" i="46"/>
  <c r="F923" i="46" s="1"/>
  <c r="I923" i="46" s="1"/>
  <c r="E914" i="46"/>
  <c r="F914" i="46" s="1"/>
  <c r="I914" i="46" s="1"/>
  <c r="E959" i="46"/>
  <c r="F959" i="46" s="1"/>
  <c r="I959" i="46" s="1"/>
  <c r="E897" i="46"/>
  <c r="F897" i="46" s="1"/>
  <c r="I897" i="46" s="1"/>
  <c r="E942" i="46"/>
  <c r="F942" i="46" s="1"/>
  <c r="I942" i="46" s="1"/>
  <c r="E854" i="46"/>
  <c r="F854" i="46" s="1"/>
  <c r="I854" i="46" s="1"/>
  <c r="E845" i="46"/>
  <c r="F845" i="46" s="1"/>
  <c r="I845" i="46" s="1"/>
  <c r="E968" i="46"/>
  <c r="F968" i="46" s="1"/>
  <c r="I968" i="46" s="1"/>
  <c r="E884" i="46"/>
  <c r="F884" i="46" s="1"/>
  <c r="I884" i="46" s="1"/>
  <c r="E922" i="46"/>
  <c r="F922" i="46" s="1"/>
  <c r="I922" i="46" s="1"/>
  <c r="E952" i="46"/>
  <c r="F952" i="46" s="1"/>
  <c r="I952" i="46" s="1"/>
  <c r="E861" i="46"/>
  <c r="F861" i="46" s="1"/>
  <c r="I861" i="46" s="1"/>
  <c r="E932" i="46"/>
  <c r="F932" i="46" s="1"/>
  <c r="I932" i="46" s="1"/>
  <c r="E898" i="46"/>
  <c r="F898" i="46" s="1"/>
  <c r="I898" i="46" s="1"/>
  <c r="E869" i="46"/>
  <c r="F869" i="46" s="1"/>
  <c r="I869" i="46" s="1"/>
  <c r="E882" i="46"/>
  <c r="F882" i="46" s="1"/>
  <c r="I882" i="46" s="1"/>
  <c r="E992" i="46"/>
  <c r="F992" i="46" s="1"/>
  <c r="I992" i="46" s="1"/>
  <c r="E958" i="46"/>
  <c r="F958" i="46" s="1"/>
  <c r="I958" i="46" s="1"/>
  <c r="E975" i="46"/>
  <c r="F975" i="46" s="1"/>
  <c r="I975" i="46" s="1"/>
  <c r="E993" i="46"/>
  <c r="F993" i="46" s="1"/>
  <c r="I993" i="46" s="1"/>
  <c r="E976" i="46"/>
  <c r="F976" i="46" s="1"/>
  <c r="I976" i="46" s="1"/>
  <c r="E982" i="46"/>
  <c r="F982" i="46" s="1"/>
  <c r="I982" i="46" s="1"/>
  <c r="E973" i="46"/>
  <c r="F973" i="46" s="1"/>
  <c r="I973" i="46" s="1"/>
  <c r="E955" i="46"/>
  <c r="F955" i="46" s="1"/>
  <c r="I955" i="46" s="1"/>
  <c r="E900" i="46"/>
  <c r="F900" i="46" s="1"/>
  <c r="I900" i="46" s="1"/>
  <c r="E995" i="46"/>
  <c r="F995" i="46" s="1"/>
  <c r="I995" i="46" s="1"/>
  <c r="E967" i="46"/>
  <c r="F967" i="46" s="1"/>
  <c r="I967" i="46" s="1"/>
  <c r="E930" i="46"/>
  <c r="F930" i="46" s="1"/>
  <c r="I930" i="46" s="1"/>
  <c r="E985" i="46"/>
  <c r="F985" i="46" s="1"/>
  <c r="I985" i="46" s="1"/>
  <c r="E999" i="46"/>
  <c r="F999" i="46" s="1"/>
  <c r="I999" i="46" s="1"/>
  <c r="E988" i="46"/>
  <c r="F988" i="46" s="1"/>
  <c r="I988" i="46" s="1"/>
  <c r="E892" i="46"/>
  <c r="F892" i="46" s="1"/>
  <c r="I892" i="46" s="1"/>
  <c r="E970" i="46"/>
  <c r="F970" i="46" s="1"/>
  <c r="I970" i="46" s="1"/>
  <c r="E929" i="46"/>
  <c r="F929" i="46" s="1"/>
  <c r="I929" i="46" s="1"/>
  <c r="E931" i="46"/>
  <c r="F931" i="46" s="1"/>
  <c r="E972" i="46"/>
  <c r="F972" i="46" s="1"/>
  <c r="E876" i="46"/>
  <c r="F876" i="46" s="1"/>
  <c r="E953" i="46"/>
  <c r="F953" i="46" s="1"/>
  <c r="E862" i="46"/>
  <c r="F862" i="46" s="1"/>
  <c r="E977" i="46"/>
  <c r="F977" i="46" s="1"/>
  <c r="E903" i="46"/>
  <c r="F903" i="46" s="1"/>
  <c r="E934" i="46"/>
  <c r="F934" i="46" s="1"/>
  <c r="E913" i="46"/>
  <c r="F913" i="46" s="1"/>
  <c r="E961" i="46"/>
  <c r="F961" i="46" s="1"/>
  <c r="E891" i="46"/>
  <c r="F891" i="46" s="1"/>
  <c r="E964" i="46"/>
  <c r="F964" i="46" s="1"/>
  <c r="E921" i="46"/>
  <c r="F921" i="46" s="1"/>
  <c r="E989" i="46"/>
  <c r="F989" i="46" s="1"/>
  <c r="E868" i="46"/>
  <c r="F868" i="46" s="1"/>
  <c r="E910" i="46"/>
  <c r="F910" i="46" s="1"/>
  <c r="E906" i="46"/>
  <c r="F906" i="46" s="1"/>
  <c r="E860" i="46"/>
  <c r="F860" i="46" s="1"/>
  <c r="E901" i="46"/>
  <c r="F901" i="46" s="1"/>
  <c r="E971" i="46"/>
  <c r="F971" i="46" s="1"/>
  <c r="E997" i="46"/>
  <c r="F997" i="46" s="1"/>
  <c r="E893" i="46"/>
  <c r="F893" i="46" s="1"/>
  <c r="E875" i="46"/>
  <c r="F875" i="46" s="1"/>
  <c r="E847" i="46"/>
  <c r="F847" i="46" s="1"/>
  <c r="E874" i="46"/>
  <c r="F874" i="46" s="1"/>
  <c r="E994" i="46"/>
  <c r="F994" i="46" s="1"/>
  <c r="E987" i="46"/>
  <c r="F987" i="46" s="1"/>
  <c r="E928" i="46"/>
  <c r="F928" i="46" s="1"/>
  <c r="E864" i="46"/>
  <c r="F864" i="46" s="1"/>
  <c r="E855" i="46"/>
  <c r="F855" i="46" s="1"/>
  <c r="E925" i="46"/>
  <c r="F925" i="46" s="1"/>
  <c r="E848" i="46"/>
  <c r="F848" i="46" s="1"/>
  <c r="E894" i="46"/>
  <c r="F894" i="46" s="1"/>
  <c r="E938" i="46"/>
  <c r="F938" i="46" s="1"/>
  <c r="E852" i="46"/>
  <c r="F852" i="46" s="1"/>
  <c r="E1001" i="46"/>
  <c r="F1001" i="46" s="1"/>
  <c r="E918" i="46"/>
  <c r="F918" i="46" s="1"/>
  <c r="E984" i="46"/>
  <c r="F984" i="46" s="1"/>
  <c r="E944" i="46"/>
  <c r="F944" i="46" s="1"/>
  <c r="E990" i="46"/>
  <c r="F990" i="46" s="1"/>
  <c r="E957" i="46"/>
  <c r="F957" i="46" s="1"/>
  <c r="E870" i="46"/>
  <c r="F870" i="46" s="1"/>
  <c r="E940" i="46"/>
  <c r="F940" i="46" s="1"/>
  <c r="E916" i="46"/>
  <c r="F916" i="46" s="1"/>
  <c r="E980" i="46"/>
  <c r="F980" i="46" s="1"/>
  <c r="E986" i="46"/>
  <c r="F986" i="46" s="1"/>
  <c r="E896" i="46"/>
  <c r="F896" i="46" s="1"/>
  <c r="E978" i="46"/>
  <c r="F978" i="46" s="1"/>
  <c r="E911" i="46"/>
  <c r="F911" i="46" s="1"/>
  <c r="E965" i="46"/>
  <c r="F965" i="46" s="1"/>
  <c r="E865" i="46"/>
  <c r="F865" i="46" s="1"/>
  <c r="E963" i="46"/>
  <c r="F963" i="46" s="1"/>
  <c r="E927" i="46"/>
  <c r="F927" i="46" s="1"/>
  <c r="E954" i="46"/>
  <c r="F954" i="46" s="1"/>
  <c r="E951" i="46"/>
  <c r="F951" i="46" s="1"/>
  <c r="E908" i="46"/>
  <c r="F908" i="46" s="1"/>
  <c r="E941" i="46"/>
  <c r="F941" i="46" s="1"/>
  <c r="E867" i="46"/>
  <c r="F867" i="46" s="1"/>
  <c r="E866" i="46"/>
  <c r="F866" i="46" s="1"/>
  <c r="E889" i="46"/>
  <c r="F889" i="46" s="1"/>
  <c r="E935" i="46"/>
  <c r="F935" i="46" s="1"/>
  <c r="E879" i="46"/>
  <c r="F879" i="46" s="1"/>
  <c r="E1000" i="46"/>
  <c r="F1000" i="46" s="1"/>
  <c r="E924" i="46"/>
  <c r="F924" i="46" s="1"/>
  <c r="E996" i="46"/>
  <c r="F996" i="46" s="1"/>
  <c r="E885" i="46"/>
  <c r="F885" i="46" s="1"/>
  <c r="E991" i="46"/>
  <c r="F991" i="46" s="1"/>
  <c r="E946" i="46"/>
  <c r="F946" i="46" s="1"/>
  <c r="E919" i="46"/>
  <c r="F919" i="46" s="1"/>
  <c r="E863" i="46"/>
  <c r="F863" i="46" s="1"/>
  <c r="E950" i="46"/>
  <c r="F950" i="46" s="1"/>
  <c r="E969" i="46"/>
  <c r="F969" i="46" s="1"/>
  <c r="E962" i="46"/>
  <c r="F962" i="46" s="1"/>
  <c r="E859" i="46"/>
  <c r="F859" i="46" s="1"/>
  <c r="E887" i="46"/>
  <c r="F887" i="46" s="1"/>
  <c r="E880" i="46"/>
  <c r="F880" i="46" s="1"/>
  <c r="E890" i="46"/>
  <c r="F890" i="46" s="1"/>
  <c r="E933" i="46"/>
  <c r="F933" i="46" s="1"/>
  <c r="E857" i="46"/>
  <c r="F857" i="46" s="1"/>
  <c r="E949" i="46"/>
  <c r="F949" i="46" s="1"/>
  <c r="E947" i="46"/>
  <c r="F947" i="46" s="1"/>
  <c r="E937" i="46"/>
  <c r="F937" i="46" s="1"/>
  <c r="E960" i="46"/>
  <c r="F960" i="46" s="1"/>
  <c r="E979" i="46"/>
  <c r="F979" i="46" s="1"/>
  <c r="E846" i="46"/>
  <c r="F846" i="46" s="1"/>
  <c r="E878" i="46"/>
  <c r="F878" i="46" s="1"/>
  <c r="E998" i="46"/>
  <c r="F998" i="46" s="1"/>
  <c r="E936" i="46"/>
  <c r="F936" i="46" s="1"/>
  <c r="E956" i="46"/>
  <c r="F956" i="46" s="1"/>
  <c r="E877" i="46"/>
  <c r="F877" i="46" s="1"/>
  <c r="E899" i="46"/>
  <c r="F899" i="46" s="1"/>
  <c r="I899" i="46" s="1"/>
  <c r="E895" i="46"/>
  <c r="F895" i="46" s="1"/>
  <c r="E981" i="46"/>
  <c r="F981" i="46" s="1"/>
  <c r="E926" i="46"/>
  <c r="F926" i="46" s="1"/>
  <c r="E917" i="46"/>
  <c r="F917" i="46" s="1"/>
  <c r="F279" i="47" l="1"/>
  <c r="I917" i="46"/>
  <c r="I925" i="46"/>
  <c r="I874" i="46"/>
  <c r="I965" i="46"/>
  <c r="I997" i="46"/>
  <c r="I891" i="46"/>
  <c r="I989" i="46"/>
  <c r="I998" i="46"/>
  <c r="I991" i="46"/>
  <c r="I896" i="46"/>
  <c r="I870" i="46"/>
  <c r="I951" i="46"/>
  <c r="I913" i="46"/>
  <c r="I981" i="46"/>
  <c r="I855" i="46"/>
  <c r="I994" i="46"/>
  <c r="I921" i="46"/>
  <c r="I848" i="46"/>
  <c r="I880" i="46"/>
  <c r="I875" i="46"/>
  <c r="I933" i="46"/>
  <c r="I935" i="46"/>
  <c r="I978" i="46"/>
  <c r="I980" i="46"/>
  <c r="I893" i="46"/>
  <c r="I972" i="46"/>
  <c r="I937" i="46"/>
  <c r="I969" i="46"/>
  <c r="I961" i="46"/>
  <c r="I846" i="46"/>
  <c r="I950" i="46"/>
  <c r="I867" i="46"/>
  <c r="I1000" i="46"/>
  <c r="I903" i="46"/>
  <c r="I877" i="46"/>
  <c r="I941" i="46"/>
  <c r="I864" i="46"/>
  <c r="I879" i="46"/>
  <c r="I919" i="46"/>
  <c r="I927" i="46"/>
  <c r="I847" i="46"/>
  <c r="I926" i="46"/>
  <c r="I962" i="46"/>
  <c r="I911" i="46"/>
  <c r="I862" i="46"/>
  <c r="I887" i="46"/>
  <c r="I889" i="46"/>
  <c r="I916" i="46"/>
  <c r="I990" i="46"/>
  <c r="I1001" i="46"/>
  <c r="I928" i="46"/>
  <c r="I953" i="46"/>
  <c r="I931" i="46"/>
  <c r="I865" i="46"/>
  <c r="I947" i="46"/>
  <c r="I934" i="46"/>
  <c r="I866" i="46"/>
  <c r="I971" i="46"/>
  <c r="I876" i="46"/>
  <c r="I963" i="46"/>
  <c r="I957" i="46"/>
  <c r="I954" i="46"/>
  <c r="I895" i="46"/>
  <c r="I979" i="46"/>
  <c r="I946" i="46"/>
  <c r="I938" i="46"/>
  <c r="I860" i="46"/>
  <c r="I956" i="46"/>
  <c r="I906" i="46"/>
  <c r="I960" i="46"/>
  <c r="I996" i="46"/>
  <c r="I984" i="46"/>
  <c r="I910" i="46"/>
  <c r="I918" i="46"/>
  <c r="I924" i="46"/>
  <c r="I894" i="46"/>
  <c r="I868" i="46"/>
  <c r="I885" i="46"/>
  <c r="I890" i="46"/>
  <c r="I987" i="46"/>
  <c r="I863" i="46"/>
  <c r="I908" i="46"/>
  <c r="I964" i="46"/>
  <c r="I878" i="46"/>
  <c r="I977" i="46"/>
  <c r="I857" i="46"/>
  <c r="I936" i="46"/>
  <c r="I949" i="46"/>
  <c r="I859" i="46"/>
  <c r="I986" i="46"/>
  <c r="I940" i="46"/>
  <c r="I944" i="46"/>
  <c r="I852" i="46"/>
  <c r="I901" i="46"/>
  <c r="F280" i="47" l="1"/>
  <c r="F281" i="47" l="1"/>
  <c r="F282" i="47" l="1"/>
  <c r="F283" i="47" l="1"/>
  <c r="F284" i="47" l="1"/>
  <c r="F285" i="47" l="1"/>
  <c r="F286" i="47" l="1"/>
  <c r="F287" i="47" l="1"/>
  <c r="F288" i="47" l="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F375" i="47" s="1"/>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F407" i="47" s="1"/>
  <c r="F408" i="47" s="1"/>
  <c r="F409" i="47" s="1"/>
  <c r="F410" i="47" s="1"/>
  <c r="F411" i="47" s="1"/>
  <c r="F412" i="47" s="1"/>
  <c r="F413" i="47" s="1"/>
  <c r="F414" i="47" s="1"/>
  <c r="F415" i="47" s="1"/>
  <c r="F416" i="47" s="1"/>
  <c r="F417" i="47" s="1"/>
  <c r="F418" i="47" s="1"/>
  <c r="F419" i="47" s="1"/>
  <c r="F420" i="47" s="1"/>
  <c r="F421" i="47" s="1"/>
  <c r="F422" i="47" s="1"/>
  <c r="F423" i="47" s="1"/>
  <c r="F424" i="47" s="1"/>
  <c r="F425" i="47" s="1"/>
  <c r="F426" i="47" s="1"/>
  <c r="F427" i="47" s="1"/>
  <c r="F428" i="47" s="1"/>
  <c r="F429" i="47" s="1"/>
  <c r="F430" i="47" s="1"/>
  <c r="F431" i="47" s="1"/>
  <c r="F432" i="47" s="1"/>
  <c r="F433" i="47" s="1"/>
  <c r="F434" i="47" s="1"/>
  <c r="F435" i="47" s="1"/>
  <c r="F436" i="47" s="1"/>
  <c r="F437" i="47" s="1"/>
  <c r="F438" i="47" s="1"/>
  <c r="F439" i="47" s="1"/>
  <c r="F440" i="47" s="1"/>
  <c r="E252" i="46" s="1"/>
  <c r="F252" i="46" s="1"/>
  <c r="E132" i="46" l="1"/>
  <c r="F132" i="46" s="1"/>
  <c r="E334" i="46"/>
  <c r="F334" i="46" s="1"/>
  <c r="I334" i="46" s="1"/>
  <c r="E114" i="46"/>
  <c r="F114" i="46" s="1"/>
  <c r="I114" i="46" s="1"/>
  <c r="E715" i="46"/>
  <c r="F715" i="46" s="1"/>
  <c r="I715" i="46" s="1"/>
  <c r="E560" i="46"/>
  <c r="F560" i="46" s="1"/>
  <c r="I560" i="46" s="1"/>
  <c r="E550" i="46"/>
  <c r="F550" i="46" s="1"/>
  <c r="I550" i="46" s="1"/>
  <c r="E57" i="46"/>
  <c r="F57" i="46" s="1"/>
  <c r="E558" i="46"/>
  <c r="F558" i="46" s="1"/>
  <c r="I558" i="46" s="1"/>
  <c r="E227" i="46"/>
  <c r="F227" i="46" s="1"/>
  <c r="I227" i="46" s="1"/>
  <c r="E768" i="46"/>
  <c r="F768" i="46" s="1"/>
  <c r="I768" i="46" s="1"/>
  <c r="E90" i="46"/>
  <c r="F90" i="46" s="1"/>
  <c r="I90" i="46" s="1"/>
  <c r="E616" i="46"/>
  <c r="F616" i="46" s="1"/>
  <c r="I616" i="46" s="1"/>
  <c r="E664" i="46"/>
  <c r="F664" i="46" s="1"/>
  <c r="I664" i="46" s="1"/>
  <c r="E774" i="46"/>
  <c r="F774" i="46" s="1"/>
  <c r="I774" i="46" s="1"/>
  <c r="E19" i="46"/>
  <c r="F19" i="46" s="1"/>
  <c r="I19" i="46" s="1"/>
  <c r="E317" i="46"/>
  <c r="F317" i="46" s="1"/>
  <c r="I317" i="46" s="1"/>
  <c r="E183" i="46"/>
  <c r="F183" i="46" s="1"/>
  <c r="I183" i="46" s="1"/>
  <c r="E75" i="46"/>
  <c r="F75" i="46" s="1"/>
  <c r="I75" i="46" s="1"/>
  <c r="E188" i="46"/>
  <c r="F188" i="46" s="1"/>
  <c r="I188" i="46" s="1"/>
  <c r="E744" i="46"/>
  <c r="F744" i="46" s="1"/>
  <c r="E137" i="46"/>
  <c r="F137" i="46" s="1"/>
  <c r="E135" i="46"/>
  <c r="F135" i="46" s="1"/>
  <c r="I135" i="46" s="1"/>
  <c r="E468" i="46"/>
  <c r="F468" i="46" s="1"/>
  <c r="I468" i="46" s="1"/>
  <c r="E174" i="46"/>
  <c r="F174" i="46" s="1"/>
  <c r="I174" i="46" s="1"/>
  <c r="E525" i="46"/>
  <c r="F525" i="46" s="1"/>
  <c r="I525" i="46" s="1"/>
  <c r="E758" i="46"/>
  <c r="F758" i="46" s="1"/>
  <c r="I758" i="46" s="1"/>
  <c r="E759" i="46"/>
  <c r="F759" i="46" s="1"/>
  <c r="I759" i="46" s="1"/>
  <c r="E121" i="46"/>
  <c r="F121" i="46" s="1"/>
  <c r="I121" i="46" s="1"/>
  <c r="E255" i="46"/>
  <c r="F255" i="46" s="1"/>
  <c r="I255" i="46" s="1"/>
  <c r="E260" i="46"/>
  <c r="F260" i="46" s="1"/>
  <c r="I260" i="46" s="1"/>
  <c r="E773" i="46"/>
  <c r="F773" i="46" s="1"/>
  <c r="I773" i="46" s="1"/>
  <c r="E630" i="46"/>
  <c r="F630" i="46" s="1"/>
  <c r="I630" i="46" s="1"/>
  <c r="E564" i="46"/>
  <c r="F564" i="46" s="1"/>
  <c r="I564" i="46" s="1"/>
  <c r="E77" i="46"/>
  <c r="F77" i="46" s="1"/>
  <c r="I77" i="46" s="1"/>
  <c r="E569" i="46"/>
  <c r="F569" i="46" s="1"/>
  <c r="I569" i="46" s="1"/>
  <c r="E789" i="46"/>
  <c r="F789" i="46" s="1"/>
  <c r="I789" i="46" s="1"/>
  <c r="E213" i="46"/>
  <c r="F213" i="46" s="1"/>
  <c r="I213" i="46" s="1"/>
  <c r="E113" i="46"/>
  <c r="F113" i="46" s="1"/>
  <c r="I113" i="46" s="1"/>
  <c r="E655" i="46"/>
  <c r="F655" i="46" s="1"/>
  <c r="I655" i="46" s="1"/>
  <c r="E725" i="46"/>
  <c r="F725" i="46" s="1"/>
  <c r="I725" i="46" s="1"/>
  <c r="E490" i="46"/>
  <c r="F490" i="46" s="1"/>
  <c r="I490" i="46" s="1"/>
  <c r="E353" i="46"/>
  <c r="F353" i="46" s="1"/>
  <c r="I353" i="46" s="1"/>
  <c r="E440" i="46"/>
  <c r="F440" i="46" s="1"/>
  <c r="I440" i="46" s="1"/>
  <c r="E374" i="46"/>
  <c r="F374" i="46" s="1"/>
  <c r="I374" i="46" s="1"/>
  <c r="E171" i="46"/>
  <c r="F171" i="46" s="1"/>
  <c r="I171" i="46" s="1"/>
  <c r="E699" i="46"/>
  <c r="F699" i="46" s="1"/>
  <c r="I699" i="46" s="1"/>
  <c r="E32" i="46"/>
  <c r="F32" i="46" s="1"/>
  <c r="I32" i="46" s="1"/>
  <c r="E435" i="46"/>
  <c r="F435" i="46" s="1"/>
  <c r="I435" i="46" s="1"/>
  <c r="E138" i="46"/>
  <c r="F138" i="46" s="1"/>
  <c r="I138" i="46" s="1"/>
  <c r="E743" i="46"/>
  <c r="F743" i="46" s="1"/>
  <c r="I743" i="46" s="1"/>
  <c r="E444" i="46"/>
  <c r="F444" i="46" s="1"/>
  <c r="I444" i="46" s="1"/>
  <c r="E826" i="46"/>
  <c r="F826" i="46" s="1"/>
  <c r="I826" i="46" s="1"/>
  <c r="E417" i="46"/>
  <c r="F417" i="46" s="1"/>
  <c r="I417" i="46" s="1"/>
  <c r="E748" i="46"/>
  <c r="F748" i="46" s="1"/>
  <c r="I748" i="46" s="1"/>
  <c r="E556" i="46"/>
  <c r="F556" i="46" s="1"/>
  <c r="I556" i="46" s="1"/>
  <c r="E670" i="46"/>
  <c r="F670" i="46" s="1"/>
  <c r="I670" i="46" s="1"/>
  <c r="E78" i="46"/>
  <c r="F78" i="46" s="1"/>
  <c r="I78" i="46" s="1"/>
  <c r="E375" i="46"/>
  <c r="F375" i="46" s="1"/>
  <c r="I375" i="46" s="1"/>
  <c r="E72" i="46"/>
  <c r="F72" i="46" s="1"/>
  <c r="I72" i="46" s="1"/>
  <c r="E552" i="46"/>
  <c r="F552" i="46" s="1"/>
  <c r="I552" i="46" s="1"/>
  <c r="E502" i="46"/>
  <c r="F502" i="46" s="1"/>
  <c r="I502" i="46" s="1"/>
  <c r="E663" i="46"/>
  <c r="F663" i="46" s="1"/>
  <c r="I663" i="46" s="1"/>
  <c r="E405" i="46"/>
  <c r="F405" i="46" s="1"/>
  <c r="I405" i="46" s="1"/>
  <c r="E579" i="46"/>
  <c r="F579" i="46" s="1"/>
  <c r="I579" i="46" s="1"/>
  <c r="E792" i="46"/>
  <c r="F792" i="46" s="1"/>
  <c r="I792" i="46" s="1"/>
  <c r="E246" i="46"/>
  <c r="F246" i="46" s="1"/>
  <c r="I246" i="46" s="1"/>
  <c r="E695" i="46"/>
  <c r="F695" i="46" s="1"/>
  <c r="I695" i="46" s="1"/>
  <c r="E52" i="46"/>
  <c r="F52" i="46" s="1"/>
  <c r="I52" i="46" s="1"/>
  <c r="E625" i="46"/>
  <c r="F625" i="46" s="1"/>
  <c r="I625" i="46" s="1"/>
  <c r="E437" i="46"/>
  <c r="F437" i="46" s="1"/>
  <c r="I437" i="46" s="1"/>
  <c r="E820" i="46"/>
  <c r="F820" i="46" s="1"/>
  <c r="I820" i="46" s="1"/>
  <c r="E110" i="46"/>
  <c r="F110" i="46" s="1"/>
  <c r="I110" i="46" s="1"/>
  <c r="E265" i="46"/>
  <c r="F265" i="46" s="1"/>
  <c r="I265" i="46" s="1"/>
  <c r="E764" i="46"/>
  <c r="F764" i="46" s="1"/>
  <c r="I764" i="46" s="1"/>
  <c r="E828" i="46"/>
  <c r="F828" i="46" s="1"/>
  <c r="I828" i="46" s="1"/>
  <c r="E480" i="46"/>
  <c r="F480" i="46" s="1"/>
  <c r="I480" i="46" s="1"/>
  <c r="E724" i="46"/>
  <c r="F724" i="46" s="1"/>
  <c r="I724" i="46" s="1"/>
  <c r="E608" i="46"/>
  <c r="F608" i="46" s="1"/>
  <c r="I608" i="46" s="1"/>
  <c r="E154" i="46"/>
  <c r="F154" i="46" s="1"/>
  <c r="I154" i="46" s="1"/>
  <c r="E115" i="46"/>
  <c r="F115" i="46" s="1"/>
  <c r="I115" i="46" s="1"/>
  <c r="E677" i="46"/>
  <c r="F677" i="46" s="1"/>
  <c r="I677" i="46" s="1"/>
  <c r="E14" i="46"/>
  <c r="F14" i="46" s="1"/>
  <c r="I14" i="46" s="1"/>
  <c r="E498" i="46"/>
  <c r="F498" i="46" s="1"/>
  <c r="I498" i="46" s="1"/>
  <c r="E380" i="46"/>
  <c r="F380" i="46" s="1"/>
  <c r="I380" i="46" s="1"/>
  <c r="E91" i="46"/>
  <c r="F91" i="46" s="1"/>
  <c r="I91" i="46" s="1"/>
  <c r="E836" i="46"/>
  <c r="F836" i="46" s="1"/>
  <c r="I836" i="46" s="1"/>
  <c r="E127" i="46"/>
  <c r="F127" i="46" s="1"/>
  <c r="I127" i="46" s="1"/>
  <c r="E433" i="46"/>
  <c r="F433" i="46" s="1"/>
  <c r="I433" i="46" s="1"/>
  <c r="E461" i="46"/>
  <c r="F461" i="46" s="1"/>
  <c r="I461" i="46" s="1"/>
  <c r="E592" i="46"/>
  <c r="F592" i="46" s="1"/>
  <c r="I592" i="46" s="1"/>
  <c r="E365" i="46"/>
  <c r="F365" i="46" s="1"/>
  <c r="I365" i="46" s="1"/>
  <c r="E609" i="46"/>
  <c r="F609" i="46" s="1"/>
  <c r="I609" i="46" s="1"/>
  <c r="E733" i="46"/>
  <c r="F733" i="46" s="1"/>
  <c r="I733" i="46" s="1"/>
  <c r="E65" i="46"/>
  <c r="F65" i="46" s="1"/>
  <c r="E460" i="46"/>
  <c r="F460" i="46" s="1"/>
  <c r="I460" i="46" s="1"/>
  <c r="E541" i="46"/>
  <c r="F541" i="46" s="1"/>
  <c r="I541" i="46" s="1"/>
  <c r="E98" i="46"/>
  <c r="F98" i="46" s="1"/>
  <c r="I98" i="46" s="1"/>
  <c r="E122" i="46"/>
  <c r="F122" i="46" s="1"/>
  <c r="I122" i="46" s="1"/>
  <c r="E542" i="46"/>
  <c r="F542" i="46" s="1"/>
  <c r="I542" i="46" s="1"/>
  <c r="E442" i="46"/>
  <c r="F442" i="46" s="1"/>
  <c r="I442" i="46" s="1"/>
  <c r="E222" i="46"/>
  <c r="F222" i="46" s="1"/>
  <c r="I222" i="46" s="1"/>
  <c r="E309" i="46"/>
  <c r="F309" i="46" s="1"/>
  <c r="I309" i="46" s="1"/>
  <c r="E441" i="46"/>
  <c r="F441" i="46" s="1"/>
  <c r="I441" i="46" s="1"/>
  <c r="E108" i="46"/>
  <c r="F108" i="46" s="1"/>
  <c r="I108" i="46" s="1"/>
  <c r="E339" i="46"/>
  <c r="F339" i="46" s="1"/>
  <c r="I339" i="46" s="1"/>
  <c r="E648" i="46"/>
  <c r="F648" i="46" s="1"/>
  <c r="I648" i="46" s="1"/>
  <c r="E538" i="46"/>
  <c r="F538" i="46" s="1"/>
  <c r="I538" i="46" s="1"/>
  <c r="E146" i="46"/>
  <c r="F146" i="46" s="1"/>
  <c r="I146" i="46" s="1"/>
  <c r="E289" i="46"/>
  <c r="F289" i="46" s="1"/>
  <c r="I289" i="46" s="1"/>
  <c r="E88" i="46"/>
  <c r="F88" i="46" s="1"/>
  <c r="I88" i="46" s="1"/>
  <c r="E303" i="46"/>
  <c r="F303" i="46" s="1"/>
  <c r="I303" i="46" s="1"/>
  <c r="E684" i="46"/>
  <c r="F684" i="46" s="1"/>
  <c r="I684" i="46" s="1"/>
  <c r="E287" i="46"/>
  <c r="F287" i="46" s="1"/>
  <c r="I287" i="46" s="1"/>
  <c r="E305" i="46"/>
  <c r="F305" i="46" s="1"/>
  <c r="I305" i="46" s="1"/>
  <c r="E568" i="46"/>
  <c r="F568" i="46" s="1"/>
  <c r="I568" i="46" s="1"/>
  <c r="E718" i="46"/>
  <c r="F718" i="46" s="1"/>
  <c r="I718" i="46" s="1"/>
  <c r="E415" i="46"/>
  <c r="F415" i="46" s="1"/>
  <c r="I415" i="46" s="1"/>
  <c r="E208" i="46"/>
  <c r="F208" i="46" s="1"/>
  <c r="I208" i="46" s="1"/>
  <c r="E209" i="46"/>
  <c r="F209" i="46" s="1"/>
  <c r="I209" i="46" s="1"/>
  <c r="E251" i="46"/>
  <c r="F251" i="46" s="1"/>
  <c r="I251" i="46" s="1"/>
  <c r="E572" i="46"/>
  <c r="F572" i="46" s="1"/>
  <c r="I572" i="46" s="1"/>
  <c r="E387" i="46"/>
  <c r="F387" i="46" s="1"/>
  <c r="I387" i="46" s="1"/>
  <c r="E778" i="46"/>
  <c r="F778" i="46" s="1"/>
  <c r="I778" i="46" s="1"/>
  <c r="E274" i="46"/>
  <c r="F274" i="46" s="1"/>
  <c r="I274" i="46" s="1"/>
  <c r="E143" i="46"/>
  <c r="F143" i="46" s="1"/>
  <c r="I143" i="46" s="1"/>
  <c r="E760" i="46"/>
  <c r="F760" i="46" s="1"/>
  <c r="I760" i="46" s="1"/>
  <c r="E368" i="46"/>
  <c r="F368" i="46" s="1"/>
  <c r="I368" i="46" s="1"/>
  <c r="E230" i="46"/>
  <c r="F230" i="46" s="1"/>
  <c r="I230" i="46" s="1"/>
  <c r="E831" i="46"/>
  <c r="F831" i="46" s="1"/>
  <c r="I831" i="46" s="1"/>
  <c r="E577" i="46"/>
  <c r="F577" i="46" s="1"/>
  <c r="I577" i="46" s="1"/>
  <c r="E489" i="46"/>
  <c r="F489" i="46" s="1"/>
  <c r="I489" i="46" s="1"/>
  <c r="E101" i="46"/>
  <c r="F101" i="46" s="1"/>
  <c r="I101" i="46" s="1"/>
  <c r="E638" i="46"/>
  <c r="F638" i="46" s="1"/>
  <c r="I638" i="46" s="1"/>
  <c r="E302" i="46"/>
  <c r="F302" i="46" s="1"/>
  <c r="I302" i="46" s="1"/>
  <c r="E45" i="46"/>
  <c r="F45" i="46" s="1"/>
  <c r="I45" i="46" s="1"/>
  <c r="E111" i="46"/>
  <c r="F111" i="46" s="1"/>
  <c r="I111" i="46" s="1"/>
  <c r="E602" i="46"/>
  <c r="F602" i="46" s="1"/>
  <c r="I602" i="46" s="1"/>
  <c r="E73" i="46"/>
  <c r="F73" i="46" s="1"/>
  <c r="I73" i="46" s="1"/>
  <c r="E510" i="46"/>
  <c r="F510" i="46" s="1"/>
  <c r="I510" i="46" s="1"/>
  <c r="E747" i="46"/>
  <c r="F747" i="46" s="1"/>
  <c r="I747" i="46" s="1"/>
  <c r="E378" i="46"/>
  <c r="F378" i="46" s="1"/>
  <c r="I378" i="46" s="1"/>
  <c r="E186" i="46"/>
  <c r="F186" i="46" s="1"/>
  <c r="I186" i="46" s="1"/>
  <c r="E776" i="46"/>
  <c r="F776" i="46" s="1"/>
  <c r="I776" i="46" s="1"/>
  <c r="E319" i="46"/>
  <c r="F319" i="46" s="1"/>
  <c r="I319" i="46" s="1"/>
  <c r="E462" i="46"/>
  <c r="F462" i="46" s="1"/>
  <c r="I462" i="46" s="1"/>
  <c r="E159" i="46"/>
  <c r="F159" i="46" s="1"/>
  <c r="I159" i="46" s="1"/>
  <c r="E254" i="46"/>
  <c r="F254" i="46" s="1"/>
  <c r="I254" i="46" s="1"/>
  <c r="E340" i="46"/>
  <c r="F340" i="46" s="1"/>
  <c r="I340" i="46" s="1"/>
  <c r="E226" i="46"/>
  <c r="F226" i="46" s="1"/>
  <c r="I226" i="46" s="1"/>
  <c r="E107" i="46"/>
  <c r="F107" i="46" s="1"/>
  <c r="I107" i="46" s="1"/>
  <c r="E300" i="46"/>
  <c r="F300" i="46" s="1"/>
  <c r="I300" i="46" s="1"/>
  <c r="E66" i="46"/>
  <c r="F66" i="46" s="1"/>
  <c r="I66" i="46" s="1"/>
  <c r="E762" i="46"/>
  <c r="F762" i="46" s="1"/>
  <c r="I762" i="46" s="1"/>
  <c r="E705" i="46"/>
  <c r="F705" i="46" s="1"/>
  <c r="I705" i="46" s="1"/>
  <c r="E633" i="46"/>
  <c r="F633" i="46" s="1"/>
  <c r="I633" i="46" s="1"/>
  <c r="E796" i="46"/>
  <c r="F796" i="46" s="1"/>
  <c r="I796" i="46" s="1"/>
  <c r="E310" i="46"/>
  <c r="F310" i="46" s="1"/>
  <c r="I310" i="46" s="1"/>
  <c r="E31" i="46"/>
  <c r="F31" i="46" s="1"/>
  <c r="I31" i="46" s="1"/>
  <c r="E674" i="46"/>
  <c r="F674" i="46" s="1"/>
  <c r="I674" i="46" s="1"/>
  <c r="E249" i="46"/>
  <c r="F249" i="46" s="1"/>
  <c r="I249" i="46" s="1"/>
  <c r="E505" i="46"/>
  <c r="F505" i="46" s="1"/>
  <c r="I505" i="46" s="1"/>
  <c r="E24" i="46"/>
  <c r="F24" i="46" s="1"/>
  <c r="I24" i="46" s="1"/>
  <c r="E181" i="46"/>
  <c r="F181" i="46" s="1"/>
  <c r="I181" i="46" s="1"/>
  <c r="E586" i="46"/>
  <c r="F586" i="46" s="1"/>
  <c r="I586" i="46" s="1"/>
  <c r="E286" i="46"/>
  <c r="F286" i="46" s="1"/>
  <c r="I286" i="46" s="1"/>
  <c r="E178" i="46"/>
  <c r="F178" i="46" s="1"/>
  <c r="I178" i="46" s="1"/>
  <c r="E21" i="46"/>
  <c r="F21" i="46" s="1"/>
  <c r="I21" i="46" s="1"/>
  <c r="E51" i="46"/>
  <c r="F51" i="46" s="1"/>
  <c r="I51" i="46" s="1"/>
  <c r="E642" i="46"/>
  <c r="F642" i="46" s="1"/>
  <c r="I642" i="46" s="1"/>
  <c r="E298" i="46"/>
  <c r="F298" i="46" s="1"/>
  <c r="I298" i="46" s="1"/>
  <c r="E233" i="46"/>
  <c r="F233" i="46" s="1"/>
  <c r="I233" i="46" s="1"/>
  <c r="E691" i="46"/>
  <c r="F691" i="46" s="1"/>
  <c r="I691" i="46" s="1"/>
  <c r="E745" i="46"/>
  <c r="F745" i="46" s="1"/>
  <c r="I745" i="46" s="1"/>
  <c r="E184" i="46"/>
  <c r="F184" i="46" s="1"/>
  <c r="I184" i="46" s="1"/>
  <c r="E293" i="46"/>
  <c r="F293" i="46" s="1"/>
  <c r="I293" i="46" s="1"/>
  <c r="E651" i="46"/>
  <c r="F651" i="46" s="1"/>
  <c r="I651" i="46" s="1"/>
  <c r="E598" i="46"/>
  <c r="F598" i="46" s="1"/>
  <c r="I598" i="46" s="1"/>
  <c r="E119" i="46"/>
  <c r="F119" i="46" s="1"/>
  <c r="I119" i="46" s="1"/>
  <c r="E431" i="46"/>
  <c r="F431" i="46" s="1"/>
  <c r="I431" i="46" s="1"/>
  <c r="E710" i="46"/>
  <c r="F710" i="46" s="1"/>
  <c r="I710" i="46" s="1"/>
  <c r="E512" i="46"/>
  <c r="F512" i="46" s="1"/>
  <c r="I512" i="46" s="1"/>
  <c r="E142" i="46"/>
  <c r="F142" i="46" s="1"/>
  <c r="I142" i="46" s="1"/>
  <c r="E316" i="46"/>
  <c r="F316" i="46" s="1"/>
  <c r="I316" i="46" s="1"/>
  <c r="E467" i="46"/>
  <c r="F467" i="46" s="1"/>
  <c r="I467" i="46" s="1"/>
  <c r="E411" i="46"/>
  <c r="F411" i="46" s="1"/>
  <c r="I411" i="46" s="1"/>
  <c r="E4" i="46"/>
  <c r="F4" i="46" s="1"/>
  <c r="G4" i="46" s="1"/>
  <c r="H4" i="46" s="1"/>
  <c r="E253" i="46"/>
  <c r="F253" i="46" s="1"/>
  <c r="I253" i="46" s="1"/>
  <c r="E357" i="46"/>
  <c r="F357" i="46" s="1"/>
  <c r="I357" i="46" s="1"/>
  <c r="E170" i="46"/>
  <c r="F170" i="46" s="1"/>
  <c r="I170" i="46" s="1"/>
  <c r="E509" i="46"/>
  <c r="F509" i="46" s="1"/>
  <c r="I509" i="46" s="1"/>
  <c r="E11" i="46"/>
  <c r="F11" i="46" s="1"/>
  <c r="I11" i="46" s="1"/>
  <c r="E97" i="46"/>
  <c r="F97" i="46" s="1"/>
  <c r="I97" i="46" s="1"/>
  <c r="E406" i="46"/>
  <c r="F406" i="46" s="1"/>
  <c r="I406" i="46" s="1"/>
  <c r="E106" i="46"/>
  <c r="F106" i="46" s="1"/>
  <c r="I106" i="46" s="1"/>
  <c r="E150" i="46"/>
  <c r="F150" i="46" s="1"/>
  <c r="I150" i="46" s="1"/>
  <c r="E54" i="46"/>
  <c r="F54" i="46" s="1"/>
  <c r="I54" i="46" s="1"/>
  <c r="E781" i="46"/>
  <c r="F781" i="46" s="1"/>
  <c r="I781" i="46" s="1"/>
  <c r="E408" i="46"/>
  <c r="F408" i="46" s="1"/>
  <c r="I408" i="46" s="1"/>
  <c r="E346" i="46"/>
  <c r="F346" i="46" s="1"/>
  <c r="I346" i="46" s="1"/>
  <c r="E163" i="46"/>
  <c r="F163" i="46" s="1"/>
  <c r="I163" i="46" s="1"/>
  <c r="E7" i="46"/>
  <c r="F7" i="46" s="1"/>
  <c r="I7" i="46" s="1"/>
  <c r="E842" i="46"/>
  <c r="F842" i="46" s="1"/>
  <c r="I842" i="46" s="1"/>
  <c r="E754" i="46"/>
  <c r="F754" i="46" s="1"/>
  <c r="I754" i="46" s="1"/>
  <c r="E212" i="46"/>
  <c r="F212" i="46" s="1"/>
  <c r="I212" i="46" s="1"/>
  <c r="E315" i="46"/>
  <c r="F315" i="46" s="1"/>
  <c r="I315" i="46" s="1"/>
  <c r="E413" i="46"/>
  <c r="F413" i="46" s="1"/>
  <c r="I413" i="46" s="1"/>
  <c r="E738" i="46"/>
  <c r="F738" i="46" s="1"/>
  <c r="I738" i="46" s="1"/>
  <c r="E128" i="46"/>
  <c r="F128" i="46" s="1"/>
  <c r="I128" i="46" s="1"/>
  <c r="E191" i="46"/>
  <c r="F191" i="46" s="1"/>
  <c r="I191" i="46" s="1"/>
  <c r="E584" i="46"/>
  <c r="F584" i="46" s="1"/>
  <c r="I584" i="46" s="1"/>
  <c r="E422" i="46"/>
  <c r="F422" i="46" s="1"/>
  <c r="I422" i="46" s="1"/>
  <c r="E734" i="46"/>
  <c r="F734" i="46" s="1"/>
  <c r="I734" i="46" s="1"/>
  <c r="E44" i="46"/>
  <c r="F44" i="46" s="1"/>
  <c r="I44" i="46" s="1"/>
  <c r="E320" i="46"/>
  <c r="F320" i="46" s="1"/>
  <c r="I320" i="46" s="1"/>
  <c r="E582" i="46"/>
  <c r="F582" i="46" s="1"/>
  <c r="I582" i="46" s="1"/>
  <c r="E421" i="46"/>
  <c r="F421" i="46" s="1"/>
  <c r="I421" i="46" s="1"/>
  <c r="E59" i="46"/>
  <c r="F59" i="46" s="1"/>
  <c r="I59" i="46" s="1"/>
  <c r="E402" i="46"/>
  <c r="F402" i="46" s="1"/>
  <c r="I402" i="46" s="1"/>
  <c r="E388" i="46"/>
  <c r="F388" i="46" s="1"/>
  <c r="I388" i="46" s="1"/>
  <c r="E779" i="46"/>
  <c r="F779" i="46" s="1"/>
  <c r="I779" i="46" s="1"/>
  <c r="E730" i="46"/>
  <c r="F730" i="46" s="1"/>
  <c r="I730" i="46" s="1"/>
  <c r="E574" i="46"/>
  <c r="F574" i="46" s="1"/>
  <c r="I574" i="46" s="1"/>
  <c r="E566" i="46"/>
  <c r="F566" i="46" s="1"/>
  <c r="I566" i="46" s="1"/>
  <c r="E694" i="46"/>
  <c r="F694" i="46" s="1"/>
  <c r="I694" i="46" s="1"/>
  <c r="E666" i="46"/>
  <c r="F666" i="46" s="1"/>
  <c r="I666" i="46" s="1"/>
  <c r="E563" i="46"/>
  <c r="F563" i="46" s="1"/>
  <c r="I563" i="46" s="1"/>
  <c r="E678" i="46"/>
  <c r="F678" i="46" s="1"/>
  <c r="I678" i="46" s="1"/>
  <c r="E631" i="46"/>
  <c r="F631" i="46" s="1"/>
  <c r="I631" i="46" s="1"/>
  <c r="E501" i="46"/>
  <c r="F501" i="46" s="1"/>
  <c r="I501" i="46" s="1"/>
  <c r="E503" i="46"/>
  <c r="F503" i="46" s="1"/>
  <c r="I503" i="46" s="1"/>
  <c r="E686" i="46"/>
  <c r="F686" i="46" s="1"/>
  <c r="I686" i="46" s="1"/>
  <c r="E711" i="46"/>
  <c r="F711" i="46" s="1"/>
  <c r="I711" i="46" s="1"/>
  <c r="E312" i="46"/>
  <c r="F312" i="46" s="1"/>
  <c r="I312" i="46" s="1"/>
  <c r="E539" i="46"/>
  <c r="F539" i="46" s="1"/>
  <c r="I539" i="46" s="1"/>
  <c r="E787" i="46"/>
  <c r="F787" i="46" s="1"/>
  <c r="I787" i="46" s="1"/>
  <c r="E590" i="46"/>
  <c r="F590" i="46" s="1"/>
  <c r="I590" i="46" s="1"/>
  <c r="E117" i="46"/>
  <c r="F117" i="46" s="1"/>
  <c r="I117" i="46" s="1"/>
  <c r="E800" i="46"/>
  <c r="F800" i="46" s="1"/>
  <c r="I800" i="46" s="1"/>
  <c r="E797" i="46"/>
  <c r="F797" i="46" s="1"/>
  <c r="I797" i="46" s="1"/>
  <c r="E239" i="46"/>
  <c r="F239" i="46" s="1"/>
  <c r="I239" i="46" s="1"/>
  <c r="E585" i="46"/>
  <c r="F585" i="46" s="1"/>
  <c r="I585" i="46" s="1"/>
  <c r="E403" i="46"/>
  <c r="F403" i="46" s="1"/>
  <c r="I403" i="46" s="1"/>
  <c r="E245" i="46"/>
  <c r="F245" i="46" s="1"/>
  <c r="I245" i="46" s="1"/>
  <c r="E629" i="46"/>
  <c r="F629" i="46" s="1"/>
  <c r="I629" i="46" s="1"/>
  <c r="E371" i="46"/>
  <c r="F371" i="46" s="1"/>
  <c r="I371" i="46" s="1"/>
  <c r="E769" i="46"/>
  <c r="F769" i="46" s="1"/>
  <c r="I769" i="46" s="1"/>
  <c r="E407" i="46"/>
  <c r="F407" i="46" s="1"/>
  <c r="I407" i="46" s="1"/>
  <c r="E581" i="46"/>
  <c r="F581" i="46" s="1"/>
  <c r="I581" i="46" s="1"/>
  <c r="E771" i="46"/>
  <c r="F771" i="46" s="1"/>
  <c r="I771" i="46" s="1"/>
  <c r="E823" i="46"/>
  <c r="F823" i="46" s="1"/>
  <c r="I823" i="46" s="1"/>
  <c r="E457" i="46"/>
  <c r="F457" i="46" s="1"/>
  <c r="I457" i="46" s="1"/>
  <c r="E321" i="46"/>
  <c r="F321" i="46" s="1"/>
  <c r="I321" i="46" s="1"/>
  <c r="E13" i="46"/>
  <c r="F13" i="46" s="1"/>
  <c r="I13" i="46" s="1"/>
  <c r="E766" i="46"/>
  <c r="F766" i="46" s="1"/>
  <c r="I766" i="46" s="1"/>
  <c r="E515" i="46"/>
  <c r="F515" i="46" s="1"/>
  <c r="I515" i="46" s="1"/>
  <c r="E393" i="46"/>
  <c r="F393" i="46" s="1"/>
  <c r="I393" i="46" s="1"/>
  <c r="E359" i="46"/>
  <c r="F359" i="46" s="1"/>
  <c r="I359" i="46" s="1"/>
  <c r="E62" i="46"/>
  <c r="F62" i="46" s="1"/>
  <c r="I62" i="46" s="1"/>
  <c r="E428" i="46"/>
  <c r="F428" i="46" s="1"/>
  <c r="I428" i="46" s="1"/>
  <c r="E463" i="46"/>
  <c r="F463" i="46" s="1"/>
  <c r="I463" i="46" s="1"/>
  <c r="E352" i="46"/>
  <c r="F352" i="46" s="1"/>
  <c r="I352" i="46" s="1"/>
  <c r="E155" i="46"/>
  <c r="F155" i="46" s="1"/>
  <c r="I155" i="46" s="1"/>
  <c r="E464" i="46"/>
  <c r="F464" i="46" s="1"/>
  <c r="I464" i="46" s="1"/>
  <c r="E445" i="46"/>
  <c r="F445" i="46" s="1"/>
  <c r="I445" i="46" s="1"/>
  <c r="E819" i="46"/>
  <c r="F819" i="46" s="1"/>
  <c r="I819" i="46" s="1"/>
  <c r="E519" i="46"/>
  <c r="F519" i="46" s="1"/>
  <c r="I519" i="46" s="1"/>
  <c r="E484" i="46"/>
  <c r="F484" i="46" s="1"/>
  <c r="I484" i="46" s="1"/>
  <c r="E342" i="46"/>
  <c r="F342" i="46" s="1"/>
  <c r="I342" i="46" s="1"/>
  <c r="E39" i="46"/>
  <c r="F39" i="46" s="1"/>
  <c r="I39" i="46" s="1"/>
  <c r="E477" i="46"/>
  <c r="F477" i="46" s="1"/>
  <c r="I477" i="46" s="1"/>
  <c r="E645" i="46"/>
  <c r="F645" i="46" s="1"/>
  <c r="I645" i="46" s="1"/>
  <c r="E404" i="46"/>
  <c r="F404" i="46" s="1"/>
  <c r="I404" i="46" s="1"/>
  <c r="E482" i="46"/>
  <c r="F482" i="46" s="1"/>
  <c r="I482" i="46" s="1"/>
  <c r="E750" i="46"/>
  <c r="F750" i="46" s="1"/>
  <c r="I750" i="46" s="1"/>
  <c r="E194" i="46"/>
  <c r="F194" i="46" s="1"/>
  <c r="I194" i="46" s="1"/>
  <c r="E297" i="46"/>
  <c r="F297" i="46" s="1"/>
  <c r="I297" i="46" s="1"/>
  <c r="E643" i="46"/>
  <c r="F643" i="46" s="1"/>
  <c r="I643" i="46" s="1"/>
  <c r="E148" i="46"/>
  <c r="F148" i="46" s="1"/>
  <c r="I148" i="46" s="1"/>
  <c r="E42" i="46"/>
  <c r="F42" i="46" s="1"/>
  <c r="I42" i="46" s="1"/>
  <c r="E326" i="46"/>
  <c r="F326" i="46" s="1"/>
  <c r="I326" i="46" s="1"/>
  <c r="E708" i="46"/>
  <c r="F708" i="46" s="1"/>
  <c r="I708" i="46" s="1"/>
  <c r="E682" i="46"/>
  <c r="F682" i="46" s="1"/>
  <c r="I682" i="46" s="1"/>
  <c r="E728" i="46"/>
  <c r="F728" i="46" s="1"/>
  <c r="I728" i="46" s="1"/>
  <c r="E272" i="46"/>
  <c r="F272" i="46" s="1"/>
  <c r="I272" i="46" s="1"/>
  <c r="E749" i="46"/>
  <c r="F749" i="46" s="1"/>
  <c r="I749" i="46" s="1"/>
  <c r="E83" i="46"/>
  <c r="F83" i="46" s="1"/>
  <c r="I83" i="46" s="1"/>
  <c r="E30" i="46"/>
  <c r="F30" i="46" s="1"/>
  <c r="I30" i="46" s="1"/>
  <c r="E241" i="46"/>
  <c r="F241" i="46" s="1"/>
  <c r="I241" i="46" s="1"/>
  <c r="E523" i="46"/>
  <c r="F523" i="46" s="1"/>
  <c r="I523" i="46" s="1"/>
  <c r="E47" i="46"/>
  <c r="F47" i="46" s="1"/>
  <c r="I47" i="46" s="1"/>
  <c r="E331" i="46"/>
  <c r="F331" i="46" s="1"/>
  <c r="I331" i="46" s="1"/>
  <c r="E43" i="46"/>
  <c r="F43" i="46" s="1"/>
  <c r="I43" i="46" s="1"/>
  <c r="E219" i="46"/>
  <c r="F219" i="46" s="1"/>
  <c r="I219" i="46" s="1"/>
  <c r="E634" i="46"/>
  <c r="F634" i="46" s="1"/>
  <c r="I634" i="46" s="1"/>
  <c r="E451" i="46"/>
  <c r="F451" i="46" s="1"/>
  <c r="I451" i="46" s="1"/>
  <c r="E197" i="46"/>
  <c r="F197" i="46" s="1"/>
  <c r="I197" i="46" s="1"/>
  <c r="E706" i="46"/>
  <c r="F706" i="46" s="1"/>
  <c r="I706" i="46" s="1"/>
  <c r="E687" i="46"/>
  <c r="F687" i="46" s="1"/>
  <c r="I687" i="46" s="1"/>
  <c r="E475" i="46"/>
  <c r="F475" i="46" s="1"/>
  <c r="I475" i="46" s="1"/>
  <c r="E172" i="46"/>
  <c r="F172" i="46" s="1"/>
  <c r="I172" i="46" s="1"/>
  <c r="E26" i="46"/>
  <c r="F26" i="46" s="1"/>
  <c r="I26" i="46" s="1"/>
  <c r="E430" i="46"/>
  <c r="F430" i="46" s="1"/>
  <c r="I430" i="46" s="1"/>
  <c r="E278" i="46"/>
  <c r="F278" i="46" s="1"/>
  <c r="I278" i="46" s="1"/>
  <c r="E147" i="46"/>
  <c r="F147" i="46" s="1"/>
  <c r="I147" i="46" s="1"/>
  <c r="E345" i="46"/>
  <c r="F345" i="46" s="1"/>
  <c r="I345" i="46" s="1"/>
  <c r="E33" i="46"/>
  <c r="F33" i="46" s="1"/>
  <c r="I33" i="46" s="1"/>
  <c r="E40" i="46"/>
  <c r="F40" i="46" s="1"/>
  <c r="I40" i="46" s="1"/>
  <c r="E456" i="46"/>
  <c r="F456" i="46" s="1"/>
  <c r="I456" i="46" s="1"/>
  <c r="E669" i="46"/>
  <c r="F669" i="46" s="1"/>
  <c r="I669" i="46" s="1"/>
  <c r="E806" i="46"/>
  <c r="F806" i="46" s="1"/>
  <c r="I806" i="46" s="1"/>
  <c r="E535" i="46"/>
  <c r="F535" i="46" s="1"/>
  <c r="I535" i="46" s="1"/>
  <c r="E336" i="46"/>
  <c r="F336" i="46" s="1"/>
  <c r="I336" i="46" s="1"/>
  <c r="E424" i="46"/>
  <c r="F424" i="46" s="1"/>
  <c r="I424" i="46" s="1"/>
  <c r="E740" i="46"/>
  <c r="F740" i="46" s="1"/>
  <c r="I740" i="46" s="1"/>
  <c r="E201" i="46"/>
  <c r="F201" i="46" s="1"/>
  <c r="I201" i="46" s="1"/>
  <c r="E207" i="46"/>
  <c r="F207" i="46" s="1"/>
  <c r="I207" i="46" s="1"/>
  <c r="E161" i="46"/>
  <c r="F161" i="46" s="1"/>
  <c r="I161" i="46" s="1"/>
  <c r="E626" i="46"/>
  <c r="F626" i="46" s="1"/>
  <c r="I626" i="46" s="1"/>
  <c r="E99" i="46"/>
  <c r="F99" i="46" s="1"/>
  <c r="I99" i="46" s="1"/>
  <c r="E343" i="46"/>
  <c r="F343" i="46" s="1"/>
  <c r="I343" i="46" s="1"/>
  <c r="E702" i="46"/>
  <c r="F702" i="46" s="1"/>
  <c r="I702" i="46" s="1"/>
  <c r="E282" i="46"/>
  <c r="F282" i="46" s="1"/>
  <c r="I282" i="46" s="1"/>
  <c r="E517" i="46"/>
  <c r="F517" i="46" s="1"/>
  <c r="I517" i="46" s="1"/>
  <c r="E35" i="46"/>
  <c r="F35" i="46" s="1"/>
  <c r="I35" i="46" s="1"/>
  <c r="I252" i="46"/>
  <c r="I744" i="46"/>
  <c r="I132" i="46"/>
  <c r="I65" i="46"/>
  <c r="E6" i="46"/>
  <c r="F6" i="46" s="1"/>
  <c r="E193" i="46"/>
  <c r="F193" i="46" s="1"/>
  <c r="E262" i="46"/>
  <c r="F262" i="46" s="1"/>
  <c r="E258" i="46"/>
  <c r="F258" i="46" s="1"/>
  <c r="E610" i="46"/>
  <c r="F610" i="46" s="1"/>
  <c r="E56" i="46"/>
  <c r="F56" i="46" s="1"/>
  <c r="E327" i="46"/>
  <c r="F327" i="46" s="1"/>
  <c r="E169" i="46"/>
  <c r="F169" i="46" s="1"/>
  <c r="E311" i="46"/>
  <c r="F311" i="46" s="1"/>
  <c r="E746" i="46"/>
  <c r="F746" i="46" s="1"/>
  <c r="E780" i="46"/>
  <c r="F780" i="46" s="1"/>
  <c r="E355" i="46"/>
  <c r="F355" i="46" s="1"/>
  <c r="E376" i="46"/>
  <c r="F376" i="46" s="1"/>
  <c r="E837" i="46"/>
  <c r="F837" i="46" s="1"/>
  <c r="E683" i="46"/>
  <c r="F683" i="46" s="1"/>
  <c r="E259" i="46"/>
  <c r="F259" i="46" s="1"/>
  <c r="E354" i="46"/>
  <c r="F354" i="46" s="1"/>
  <c r="E479" i="46"/>
  <c r="F479" i="46" s="1"/>
  <c r="E158" i="46"/>
  <c r="F158" i="46" s="1"/>
  <c r="E593" i="46"/>
  <c r="F593" i="46" s="1"/>
  <c r="E644" i="46"/>
  <c r="F644" i="46" s="1"/>
  <c r="E361" i="46"/>
  <c r="F361" i="46" s="1"/>
  <c r="E791" i="46"/>
  <c r="F791" i="46" s="1"/>
  <c r="E575" i="46"/>
  <c r="F575" i="46" s="1"/>
  <c r="E270" i="46"/>
  <c r="F270" i="46" s="1"/>
  <c r="E322" i="46"/>
  <c r="F322" i="46" s="1"/>
  <c r="E508" i="46"/>
  <c r="F508" i="46" s="1"/>
  <c r="E394" i="46"/>
  <c r="F394" i="46" s="1"/>
  <c r="E492" i="46"/>
  <c r="F492" i="46" s="1"/>
  <c r="E337" i="46"/>
  <c r="F337" i="46" s="1"/>
  <c r="E788" i="46"/>
  <c r="F788" i="46" s="1"/>
  <c r="E325" i="46"/>
  <c r="F325" i="46" s="1"/>
  <c r="E646" i="46"/>
  <c r="F646" i="46" s="1"/>
  <c r="E367" i="46"/>
  <c r="F367" i="46" s="1"/>
  <c r="E216" i="46"/>
  <c r="F216" i="46" s="1"/>
  <c r="E292" i="46"/>
  <c r="F292" i="46" s="1"/>
  <c r="E206" i="46"/>
  <c r="F206" i="46" s="1"/>
  <c r="E195" i="46"/>
  <c r="F195" i="46" s="1"/>
  <c r="E116" i="46"/>
  <c r="F116" i="46" s="1"/>
  <c r="E798" i="46"/>
  <c r="F798" i="46" s="1"/>
  <c r="E450" i="46"/>
  <c r="F450" i="46" s="1"/>
  <c r="E551" i="46"/>
  <c r="F551" i="46" s="1"/>
  <c r="E96" i="46"/>
  <c r="F96" i="46" s="1"/>
  <c r="E5" i="46"/>
  <c r="F5" i="46" s="1"/>
  <c r="E672" i="46"/>
  <c r="F672" i="46" s="1"/>
  <c r="E418" i="46"/>
  <c r="F418" i="46" s="1"/>
  <c r="E277" i="46"/>
  <c r="F277" i="46" s="1"/>
  <c r="E426" i="46"/>
  <c r="F426" i="46" s="1"/>
  <c r="E623" i="46"/>
  <c r="F623" i="46" s="1"/>
  <c r="E555" i="46"/>
  <c r="F555" i="46" s="1"/>
  <c r="E244" i="46"/>
  <c r="F244" i="46" s="1"/>
  <c r="E548" i="46"/>
  <c r="F548" i="46" s="1"/>
  <c r="E223" i="46"/>
  <c r="F223" i="46" s="1"/>
  <c r="I137" i="46"/>
  <c r="I57" i="46"/>
  <c r="E534" i="46"/>
  <c r="F534" i="46" s="1"/>
  <c r="E396" i="46"/>
  <c r="F396" i="46" s="1"/>
  <c r="E726" i="46"/>
  <c r="F726" i="46" s="1"/>
  <c r="E455" i="46"/>
  <c r="F455" i="46" s="1"/>
  <c r="E767" i="46"/>
  <c r="F767" i="46" s="1"/>
  <c r="E294" i="46"/>
  <c r="F294" i="46" s="1"/>
  <c r="E412" i="46"/>
  <c r="F412" i="46" s="1"/>
  <c r="E429" i="46"/>
  <c r="F429" i="46" s="1"/>
  <c r="E261" i="46"/>
  <c r="F261" i="46" s="1"/>
  <c r="E133" i="46"/>
  <c r="F133" i="46" s="1"/>
  <c r="E661" i="46"/>
  <c r="F661" i="46" s="1"/>
  <c r="E153" i="46"/>
  <c r="F153" i="46" s="1"/>
  <c r="E605" i="46"/>
  <c r="F605" i="46" s="1"/>
  <c r="E659" i="46"/>
  <c r="F659" i="46" s="1"/>
  <c r="E61" i="46"/>
  <c r="F61" i="46" s="1"/>
  <c r="E103" i="46"/>
  <c r="F103" i="46" s="1"/>
  <c r="E58" i="46"/>
  <c r="F58" i="46" s="1"/>
  <c r="E528" i="46"/>
  <c r="F528" i="46" s="1"/>
  <c r="E835" i="46"/>
  <c r="F835" i="46" s="1"/>
  <c r="E318" i="46"/>
  <c r="F318" i="46" s="1"/>
  <c r="E785" i="46"/>
  <c r="F785" i="46" s="1"/>
  <c r="E333" i="46"/>
  <c r="F333" i="46" s="1"/>
  <c r="E48" i="46"/>
  <c r="F48" i="46" s="1"/>
  <c r="E612" i="46"/>
  <c r="F612" i="46" s="1"/>
  <c r="E438" i="46"/>
  <c r="F438" i="46" s="1"/>
  <c r="E692" i="46"/>
  <c r="F692" i="46" s="1"/>
  <c r="E607" i="46"/>
  <c r="F607" i="46" s="1"/>
  <c r="E624" i="46"/>
  <c r="F624" i="46" s="1"/>
  <c r="E722" i="46"/>
  <c r="F722" i="46" s="1"/>
  <c r="E280" i="46"/>
  <c r="F280" i="46" s="1"/>
  <c r="E416" i="46"/>
  <c r="F416" i="46" s="1"/>
  <c r="E628" i="46"/>
  <c r="F628" i="46" s="1"/>
  <c r="E720" i="46"/>
  <c r="F720" i="46" s="1"/>
  <c r="E471" i="46"/>
  <c r="F471" i="46" s="1"/>
  <c r="E650" i="46"/>
  <c r="F650" i="46" s="1"/>
  <c r="E420" i="46"/>
  <c r="F420" i="46" s="1"/>
  <c r="E220" i="46"/>
  <c r="F220" i="46" s="1"/>
  <c r="E351" i="46"/>
  <c r="F351" i="46" s="1"/>
  <c r="E486" i="46"/>
  <c r="F486" i="46" s="1"/>
  <c r="E615" i="46"/>
  <c r="F615" i="46" s="1"/>
  <c r="E529" i="46"/>
  <c r="F529" i="46" s="1"/>
  <c r="E805" i="46"/>
  <c r="F805" i="46" s="1"/>
  <c r="E8" i="46"/>
  <c r="F8" i="46" s="1"/>
  <c r="E414" i="46"/>
  <c r="F414" i="46" s="1"/>
  <c r="E434" i="46"/>
  <c r="F434" i="46" s="1"/>
  <c r="E488" i="46"/>
  <c r="F488" i="46" s="1"/>
  <c r="E18" i="46"/>
  <c r="F18" i="46" s="1"/>
  <c r="E719" i="46"/>
  <c r="F719" i="46" s="1"/>
  <c r="E16" i="46"/>
  <c r="F16" i="46" s="1"/>
  <c r="E632" i="46"/>
  <c r="F632" i="46" s="1"/>
  <c r="E736" i="46"/>
  <c r="F736" i="46" s="1"/>
  <c r="E447" i="46"/>
  <c r="F447" i="46" s="1"/>
  <c r="E9" i="46"/>
  <c r="F9" i="46" s="1"/>
  <c r="E34" i="46"/>
  <c r="F34" i="46" s="1"/>
  <c r="E619" i="46"/>
  <c r="F619" i="46" s="1"/>
  <c r="E573" i="46"/>
  <c r="F573" i="46" s="1"/>
  <c r="E765" i="46"/>
  <c r="F765" i="46" s="1"/>
  <c r="E136" i="46"/>
  <c r="F136" i="46" s="1"/>
  <c r="E37" i="46"/>
  <c r="F37" i="46" s="1"/>
  <c r="E565" i="46"/>
  <c r="F565" i="46" s="1"/>
  <c r="E657" i="46"/>
  <c r="F657" i="46" s="1"/>
  <c r="E815" i="46"/>
  <c r="F815" i="46" s="1"/>
  <c r="E360" i="46"/>
  <c r="F360" i="46" s="1"/>
  <c r="E36" i="46"/>
  <c r="F36" i="46" s="1"/>
  <c r="E775" i="46"/>
  <c r="F775" i="46" s="1"/>
  <c r="E76" i="46"/>
  <c r="F76" i="46" s="1"/>
  <c r="E67" i="46"/>
  <c r="F67" i="46" s="1"/>
  <c r="E189" i="46"/>
  <c r="F189" i="46" s="1"/>
  <c r="E825" i="46"/>
  <c r="F825" i="46" s="1"/>
  <c r="E288" i="46"/>
  <c r="F288" i="46" s="1"/>
  <c r="E187" i="46"/>
  <c r="F187" i="46" s="1"/>
  <c r="E145" i="46"/>
  <c r="F145" i="46" s="1"/>
  <c r="E257" i="46"/>
  <c r="F257" i="46" s="1"/>
  <c r="E557" i="46"/>
  <c r="F557" i="46" s="1"/>
  <c r="E304" i="46"/>
  <c r="F304" i="46" s="1"/>
  <c r="E712" i="46"/>
  <c r="F712" i="46" s="1"/>
  <c r="E283" i="46"/>
  <c r="F283" i="46" s="1"/>
  <c r="E770" i="46"/>
  <c r="F770" i="46" s="1"/>
  <c r="E307" i="46"/>
  <c r="F307" i="46" s="1"/>
  <c r="E55" i="46"/>
  <c r="F55" i="46" s="1"/>
  <c r="E350" i="46"/>
  <c r="F350" i="46" s="1"/>
  <c r="E17" i="46"/>
  <c r="F17" i="46" s="1"/>
  <c r="E732" i="46"/>
  <c r="F732" i="46" s="1"/>
  <c r="E790" i="46"/>
  <c r="F790" i="46" s="1"/>
  <c r="E562" i="46"/>
  <c r="F562" i="46" s="1"/>
  <c r="E621" i="46"/>
  <c r="F621" i="46" s="1"/>
  <c r="E109" i="46"/>
  <c r="F109" i="46" s="1"/>
  <c r="E808" i="46"/>
  <c r="F808" i="46" s="1"/>
  <c r="E660" i="46"/>
  <c r="F660" i="46" s="1"/>
  <c r="E276" i="46"/>
  <c r="F276" i="46" s="1"/>
  <c r="E804" i="46"/>
  <c r="F804" i="46" s="1"/>
  <c r="E571" i="46"/>
  <c r="F571" i="46" s="1"/>
  <c r="E518" i="46"/>
  <c r="F518" i="46" s="1"/>
  <c r="E698" i="46"/>
  <c r="F698" i="46" s="1"/>
  <c r="E349" i="46"/>
  <c r="F349" i="46" s="1"/>
  <c r="E89" i="46"/>
  <c r="F89" i="46" s="1"/>
  <c r="E549" i="46"/>
  <c r="F549" i="46" s="1"/>
  <c r="E123" i="46"/>
  <c r="F123" i="46" s="1"/>
  <c r="E41" i="46"/>
  <c r="F41" i="46" s="1"/>
  <c r="E243" i="46"/>
  <c r="F243" i="46" s="1"/>
  <c r="E649" i="46"/>
  <c r="F649" i="46" s="1"/>
  <c r="E366" i="46"/>
  <c r="F366" i="46" s="1"/>
  <c r="E561" i="46"/>
  <c r="F561" i="46" s="1"/>
  <c r="E79" i="46"/>
  <c r="F79" i="46" s="1"/>
  <c r="E281" i="46"/>
  <c r="F281" i="46" s="1"/>
  <c r="E151" i="46"/>
  <c r="F151" i="46" s="1"/>
  <c r="E221" i="46"/>
  <c r="F221" i="46" s="1"/>
  <c r="E95" i="46"/>
  <c r="F95" i="46" s="1"/>
  <c r="E166" i="46"/>
  <c r="F166" i="46" s="1"/>
  <c r="E210" i="46"/>
  <c r="F210" i="46" s="1"/>
  <c r="E652" i="46"/>
  <c r="F652" i="46" s="1"/>
  <c r="E531" i="46"/>
  <c r="F531" i="46" s="1"/>
  <c r="E809" i="46"/>
  <c r="F809" i="46" s="1"/>
  <c r="E761" i="46"/>
  <c r="F761" i="46" s="1"/>
  <c r="E139" i="46"/>
  <c r="F139" i="46" s="1"/>
  <c r="E637" i="46"/>
  <c r="F637" i="46" s="1"/>
  <c r="E753" i="46"/>
  <c r="F753" i="46" s="1"/>
  <c r="E784" i="46"/>
  <c r="F784" i="46" s="1"/>
  <c r="E279" i="46"/>
  <c r="F279" i="46" s="1"/>
  <c r="E38" i="46"/>
  <c r="F38" i="46" s="1"/>
  <c r="E841" i="46"/>
  <c r="F841" i="46" s="1"/>
  <c r="E204" i="46"/>
  <c r="F204" i="46" s="1"/>
  <c r="E81" i="46"/>
  <c r="F81" i="46" s="1"/>
  <c r="E641" i="46"/>
  <c r="F641" i="46" s="1"/>
  <c r="E200" i="46"/>
  <c r="F200" i="46" s="1"/>
  <c r="E82" i="46"/>
  <c r="F82" i="46" s="1"/>
  <c r="E580" i="46"/>
  <c r="F580" i="46" s="1"/>
  <c r="E218" i="46"/>
  <c r="F218" i="46" s="1"/>
  <c r="E448" i="46"/>
  <c r="F448" i="46" s="1"/>
  <c r="E755" i="46"/>
  <c r="F755" i="46" s="1"/>
  <c r="E299" i="46"/>
  <c r="F299" i="46" s="1"/>
  <c r="E238" i="46"/>
  <c r="F238" i="46" s="1"/>
  <c r="E330" i="46"/>
  <c r="F330" i="46" s="1"/>
  <c r="E232" i="46"/>
  <c r="F232" i="46" s="1"/>
  <c r="E838" i="46"/>
  <c r="F838" i="46" s="1"/>
  <c r="E829" i="46"/>
  <c r="F829" i="46" s="1"/>
  <c r="E507" i="46"/>
  <c r="F507" i="46" s="1"/>
  <c r="E149" i="46"/>
  <c r="F149" i="46" s="1"/>
  <c r="E458" i="46"/>
  <c r="F458" i="46" s="1"/>
  <c r="E459" i="46"/>
  <c r="F459" i="46" s="1"/>
  <c r="E377" i="46"/>
  <c r="F377" i="46" s="1"/>
  <c r="E225" i="46"/>
  <c r="F225" i="46" s="1"/>
  <c r="E118" i="46"/>
  <c r="F118" i="46" s="1"/>
  <c r="E160" i="46"/>
  <c r="F160" i="46" s="1"/>
  <c r="E49" i="46"/>
  <c r="F49" i="46" s="1"/>
  <c r="E248" i="46"/>
  <c r="F248" i="46" s="1"/>
  <c r="E506" i="46"/>
  <c r="F506" i="46" s="1"/>
  <c r="E358" i="46"/>
  <c r="F358" i="46" s="1"/>
  <c r="E697" i="46"/>
  <c r="F697" i="46" s="1"/>
  <c r="E27" i="46"/>
  <c r="F27" i="46" s="1"/>
  <c r="E591" i="46"/>
  <c r="F591" i="46" s="1"/>
  <c r="E834" i="46"/>
  <c r="F834" i="46" s="1"/>
  <c r="E487" i="46"/>
  <c r="F487" i="46" s="1"/>
  <c r="E28" i="46"/>
  <c r="F28" i="46" s="1"/>
  <c r="E493" i="46"/>
  <c r="F493" i="46" s="1"/>
  <c r="E701" i="46"/>
  <c r="F701" i="46" s="1"/>
  <c r="E668" i="46"/>
  <c r="F668" i="46" s="1"/>
  <c r="E613" i="46"/>
  <c r="F613" i="46" s="1"/>
  <c r="E50" i="46"/>
  <c r="F50" i="46" s="1"/>
  <c r="E830" i="46"/>
  <c r="F830" i="46" s="1"/>
  <c r="E818" i="46"/>
  <c r="F818" i="46" s="1"/>
  <c r="E662" i="46"/>
  <c r="F662" i="46" s="1"/>
  <c r="E833" i="46"/>
  <c r="F833" i="46" s="1"/>
  <c r="E739" i="46"/>
  <c r="F739" i="46" s="1"/>
  <c r="E104" i="46"/>
  <c r="F104" i="46" s="1"/>
  <c r="E363" i="46"/>
  <c r="F363" i="46" s="1"/>
  <c r="E348" i="46"/>
  <c r="F348" i="46" s="1"/>
  <c r="E53" i="46"/>
  <c r="F53" i="46" s="1"/>
  <c r="E92" i="46"/>
  <c r="F92" i="46" s="1"/>
  <c r="E175" i="46"/>
  <c r="F175" i="46" s="1"/>
  <c r="E783" i="46"/>
  <c r="F783" i="46" s="1"/>
  <c r="E419" i="46"/>
  <c r="F419" i="46" s="1"/>
  <c r="E812" i="46"/>
  <c r="F812" i="46" s="1"/>
  <c r="E504" i="46"/>
  <c r="F504" i="46" s="1"/>
  <c r="E85" i="46"/>
  <c r="F85" i="46" s="1"/>
  <c r="E347" i="46"/>
  <c r="F347" i="46" s="1"/>
  <c r="E693" i="46"/>
  <c r="F693" i="46" s="1"/>
  <c r="E723" i="46"/>
  <c r="F723" i="46" s="1"/>
  <c r="E68" i="46"/>
  <c r="F68" i="46" s="1"/>
  <c r="E264" i="46"/>
  <c r="F264" i="46" s="1"/>
  <c r="E267" i="46"/>
  <c r="F267" i="46" s="1"/>
  <c r="E522" i="46"/>
  <c r="F522" i="46" s="1"/>
  <c r="E74" i="46"/>
  <c r="F74" i="46" s="1"/>
  <c r="E611" i="46"/>
  <c r="F611" i="46" s="1"/>
  <c r="E824" i="46"/>
  <c r="F824" i="46" s="1"/>
  <c r="E329" i="46"/>
  <c r="F329" i="46" s="1"/>
  <c r="E803" i="46"/>
  <c r="F803" i="46" s="1"/>
  <c r="E707" i="46"/>
  <c r="F707" i="46" s="1"/>
  <c r="E742" i="46"/>
  <c r="F742" i="46" s="1"/>
  <c r="E236" i="46"/>
  <c r="F236" i="46" s="1"/>
  <c r="E338" i="46"/>
  <c r="F338" i="46" s="1"/>
  <c r="E398" i="46"/>
  <c r="F398" i="46" s="1"/>
  <c r="E199" i="46"/>
  <c r="F199" i="46" s="1"/>
  <c r="E588" i="46"/>
  <c r="F588" i="46" s="1"/>
  <c r="E214" i="46"/>
  <c r="F214" i="46" s="1"/>
  <c r="E46" i="46"/>
  <c r="F46" i="46" s="1"/>
  <c r="E256" i="46"/>
  <c r="F256" i="46" s="1"/>
  <c r="E203" i="46"/>
  <c r="F203" i="46" s="1"/>
  <c r="E328" i="46"/>
  <c r="F328" i="46" s="1"/>
  <c r="E635" i="46"/>
  <c r="F635" i="46" s="1"/>
  <c r="E500" i="46"/>
  <c r="F500" i="46" s="1"/>
  <c r="E526" i="46"/>
  <c r="F526" i="46" s="1"/>
  <c r="E176" i="46"/>
  <c r="F176" i="46" s="1"/>
  <c r="E234" i="46"/>
  <c r="F234" i="46" s="1"/>
  <c r="E543" i="46"/>
  <c r="F543" i="46" s="1"/>
  <c r="E372" i="46"/>
  <c r="F372" i="46" s="1"/>
  <c r="E453" i="46"/>
  <c r="F453" i="46" s="1"/>
  <c r="E389" i="46"/>
  <c r="F389" i="46" s="1"/>
  <c r="E198" i="46"/>
  <c r="F198" i="46" s="1"/>
  <c r="E224" i="46"/>
  <c r="F224" i="46" s="1"/>
  <c r="E423" i="46"/>
  <c r="F423" i="46" s="1"/>
  <c r="E751" i="46"/>
  <c r="F751" i="46" s="1"/>
  <c r="E125" i="46"/>
  <c r="F125" i="46" s="1"/>
  <c r="E671" i="46"/>
  <c r="F671" i="46" s="1"/>
  <c r="E314" i="46"/>
  <c r="F314" i="46" s="1"/>
  <c r="E228" i="46"/>
  <c r="F228" i="46" s="1"/>
  <c r="E821" i="46"/>
  <c r="F821" i="46" s="1"/>
  <c r="E291" i="46"/>
  <c r="F291" i="46" s="1"/>
  <c r="E400" i="46"/>
  <c r="F400" i="46" s="1"/>
  <c r="E802" i="46"/>
  <c r="F802" i="46" s="1"/>
  <c r="E544" i="46"/>
  <c r="F544" i="46" s="1"/>
  <c r="E640" i="46"/>
  <c r="F640" i="46" s="1"/>
  <c r="E134" i="46"/>
  <c r="F134" i="46" s="1"/>
  <c r="E583" i="46"/>
  <c r="F583" i="46" s="1"/>
  <c r="E731" i="46"/>
  <c r="F731" i="46" s="1"/>
  <c r="E675" i="46"/>
  <c r="F675" i="46" s="1"/>
  <c r="E268" i="46"/>
  <c r="F268" i="46" s="1"/>
  <c r="E499" i="46"/>
  <c r="F499" i="46" s="1"/>
  <c r="E192" i="46"/>
  <c r="F192" i="46" s="1"/>
  <c r="E356" i="46"/>
  <c r="F356" i="46" s="1"/>
  <c r="E263" i="46"/>
  <c r="F263" i="46" s="1"/>
  <c r="E156" i="46"/>
  <c r="F156" i="46" s="1"/>
  <c r="E822" i="46"/>
  <c r="F822" i="46" s="1"/>
  <c r="E757" i="46"/>
  <c r="F757" i="46" s="1"/>
  <c r="E382" i="46"/>
  <c r="F382" i="46" s="1"/>
  <c r="E756" i="46"/>
  <c r="F756" i="46" s="1"/>
  <c r="E491" i="46"/>
  <c r="F491" i="46" s="1"/>
  <c r="E70" i="46"/>
  <c r="F70" i="46" s="1"/>
  <c r="E547" i="46"/>
  <c r="F547" i="46" s="1"/>
  <c r="E373" i="46"/>
  <c r="F373" i="46" s="1"/>
  <c r="E235" i="46"/>
  <c r="F235" i="46" s="1"/>
  <c r="E454" i="46"/>
  <c r="F454" i="46" s="1"/>
  <c r="E247" i="46"/>
  <c r="F247" i="46" s="1"/>
  <c r="E617" i="46"/>
  <c r="F617" i="46" s="1"/>
  <c r="E370" i="46"/>
  <c r="F370" i="46" s="1"/>
  <c r="E473" i="46"/>
  <c r="F473" i="46" s="1"/>
  <c r="E162" i="46"/>
  <c r="F162" i="46" s="1"/>
  <c r="E29" i="46"/>
  <c r="F29" i="46" s="1"/>
  <c r="E658" i="46"/>
  <c r="F658" i="46" s="1"/>
  <c r="E290" i="46"/>
  <c r="F290" i="46" s="1"/>
  <c r="E295" i="46"/>
  <c r="F295" i="46" s="1"/>
  <c r="E647" i="46"/>
  <c r="F647" i="46" s="1"/>
  <c r="E817" i="46"/>
  <c r="F817" i="46" s="1"/>
  <c r="E700" i="46"/>
  <c r="F700" i="46" s="1"/>
  <c r="E516" i="46"/>
  <c r="F516" i="46" s="1"/>
  <c r="E813" i="46"/>
  <c r="F813" i="46" s="1"/>
  <c r="E537" i="46"/>
  <c r="F537" i="46" s="1"/>
  <c r="E168" i="46"/>
  <c r="F168" i="46" s="1"/>
  <c r="E729" i="46"/>
  <c r="F729" i="46" s="1"/>
  <c r="E449" i="46"/>
  <c r="F449" i="46" s="1"/>
  <c r="E129" i="46"/>
  <c r="F129" i="46" s="1"/>
  <c r="E215" i="46"/>
  <c r="F215" i="46" s="1"/>
  <c r="E533" i="46"/>
  <c r="F533" i="46" s="1"/>
  <c r="E384" i="46"/>
  <c r="F384" i="46" s="1"/>
  <c r="E335" i="46"/>
  <c r="F335" i="46" s="1"/>
  <c r="E130" i="46"/>
  <c r="F130" i="46" s="1"/>
  <c r="E469" i="46"/>
  <c r="F469" i="46" s="1"/>
  <c r="E703" i="46"/>
  <c r="F703" i="46" s="1"/>
  <c r="E717" i="46"/>
  <c r="F717" i="46" s="1"/>
  <c r="E832" i="46"/>
  <c r="F832" i="46" s="1"/>
  <c r="E140" i="46"/>
  <c r="F140" i="46" s="1"/>
  <c r="E576" i="46"/>
  <c r="F576" i="46" s="1"/>
  <c r="E284" i="46"/>
  <c r="F284" i="46" s="1"/>
  <c r="E120" i="46"/>
  <c r="F120" i="46" s="1"/>
  <c r="E604" i="46"/>
  <c r="F604" i="46" s="1"/>
  <c r="E266" i="46"/>
  <c r="F266" i="46" s="1"/>
  <c r="E285" i="46"/>
  <c r="F285" i="46" s="1"/>
  <c r="E273" i="46"/>
  <c r="F273" i="46" s="1"/>
  <c r="E481" i="46"/>
  <c r="F481" i="46" s="1"/>
  <c r="E164" i="46"/>
  <c r="F164" i="46" s="1"/>
  <c r="E240" i="46"/>
  <c r="F240" i="46" s="1"/>
  <c r="E689" i="46"/>
  <c r="F689" i="46" s="1"/>
  <c r="E654" i="46"/>
  <c r="F654" i="46" s="1"/>
  <c r="E777" i="46"/>
  <c r="F777" i="46" s="1"/>
  <c r="E524" i="46"/>
  <c r="F524" i="46" s="1"/>
  <c r="E673" i="46"/>
  <c r="F673" i="46" s="1"/>
  <c r="E540" i="46"/>
  <c r="F540" i="46" s="1"/>
  <c r="E667" i="46"/>
  <c r="F667" i="46" s="1"/>
  <c r="E381" i="46"/>
  <c r="F381" i="46" s="1"/>
  <c r="E656" i="46"/>
  <c r="F656" i="46" s="1"/>
  <c r="E466" i="46"/>
  <c r="F466" i="46" s="1"/>
  <c r="E599" i="46"/>
  <c r="F599" i="46" s="1"/>
  <c r="E190" i="46"/>
  <c r="F190" i="46" s="1"/>
  <c r="E250" i="46"/>
  <c r="F250" i="46" s="1"/>
  <c r="E202" i="46"/>
  <c r="F202" i="46" s="1"/>
  <c r="E597" i="46"/>
  <c r="F597" i="46" s="1"/>
  <c r="E801" i="46"/>
  <c r="F801" i="46" s="1"/>
  <c r="E217" i="46"/>
  <c r="F217" i="46" s="1"/>
  <c r="E827" i="46"/>
  <c r="F827" i="46" s="1"/>
  <c r="E427" i="46"/>
  <c r="F427" i="46" s="1"/>
  <c r="E474" i="46"/>
  <c r="F474" i="46" s="1"/>
  <c r="E513" i="46"/>
  <c r="F513" i="46" s="1"/>
  <c r="E709" i="46"/>
  <c r="F709" i="46" s="1"/>
  <c r="E269" i="46"/>
  <c r="F269" i="46" s="1"/>
  <c r="E179" i="46"/>
  <c r="F179" i="46" s="1"/>
  <c r="E772" i="46"/>
  <c r="F772" i="46" s="1"/>
  <c r="E545" i="46"/>
  <c r="F545" i="46" s="1"/>
  <c r="E465" i="46"/>
  <c r="F465" i="46" s="1"/>
  <c r="E601" i="46"/>
  <c r="F601" i="46" s="1"/>
  <c r="E567" i="46"/>
  <c r="F567" i="46" s="1"/>
  <c r="E144" i="46"/>
  <c r="F144" i="46" s="1"/>
  <c r="E369" i="46"/>
  <c r="F369" i="46" s="1"/>
  <c r="E814" i="46"/>
  <c r="F814" i="46" s="1"/>
  <c r="E735" i="46"/>
  <c r="F735" i="46" s="1"/>
  <c r="E432" i="46"/>
  <c r="F432" i="46" s="1"/>
  <c r="E301" i="46"/>
  <c r="F301" i="46" s="1"/>
  <c r="E795" i="46"/>
  <c r="F795" i="46" s="1"/>
  <c r="E237" i="46"/>
  <c r="F237" i="46" s="1"/>
  <c r="E578" i="46"/>
  <c r="F578" i="46" s="1"/>
  <c r="E810" i="46"/>
  <c r="F810" i="46" s="1"/>
  <c r="E64" i="46"/>
  <c r="F64" i="46" s="1"/>
  <c r="E511" i="46"/>
  <c r="F511" i="46" s="1"/>
  <c r="E22" i="46"/>
  <c r="F22" i="46" s="1"/>
  <c r="E620" i="46"/>
  <c r="F620" i="46" s="1"/>
  <c r="E589" i="46"/>
  <c r="F589" i="46" s="1"/>
  <c r="E275" i="46"/>
  <c r="F275" i="46" s="1"/>
  <c r="E392" i="46"/>
  <c r="F392" i="46" s="1"/>
  <c r="E554" i="46"/>
  <c r="F554" i="46" s="1"/>
  <c r="E157" i="46"/>
  <c r="F157" i="46" s="1"/>
  <c r="E688" i="46"/>
  <c r="F688" i="46" s="1"/>
  <c r="E600" i="46"/>
  <c r="F600" i="46" s="1"/>
  <c r="E390" i="46"/>
  <c r="F390" i="46" s="1"/>
  <c r="E679" i="46"/>
  <c r="F679" i="46" s="1"/>
  <c r="E553" i="46"/>
  <c r="F553" i="46" s="1"/>
  <c r="E391" i="46"/>
  <c r="F391" i="46" s="1"/>
  <c r="E271" i="46"/>
  <c r="F271" i="46" s="1"/>
  <c r="E470" i="46"/>
  <c r="F470" i="46" s="1"/>
  <c r="E639" i="46"/>
  <c r="F639" i="46" s="1"/>
  <c r="E344" i="46"/>
  <c r="F344" i="46" s="1"/>
  <c r="E69" i="46"/>
  <c r="F69" i="46" s="1"/>
  <c r="E100" i="46"/>
  <c r="F100" i="46" s="1"/>
  <c r="E636" i="46"/>
  <c r="F636" i="46" s="1"/>
  <c r="E627" i="46"/>
  <c r="F627" i="46" s="1"/>
  <c r="E443" i="46"/>
  <c r="F443" i="46" s="1"/>
  <c r="E364" i="46"/>
  <c r="F364" i="46" s="1"/>
  <c r="E614" i="46"/>
  <c r="F614" i="46" s="1"/>
  <c r="E86" i="46"/>
  <c r="F86" i="46" s="1"/>
  <c r="E763" i="46"/>
  <c r="F763" i="46" s="1"/>
  <c r="E685" i="46"/>
  <c r="F685" i="46" s="1"/>
  <c r="E102" i="46"/>
  <c r="F102" i="46" s="1"/>
  <c r="E716" i="46"/>
  <c r="F716" i="46" s="1"/>
  <c r="E324" i="46"/>
  <c r="F324" i="46" s="1"/>
  <c r="E401" i="46"/>
  <c r="F401" i="46" s="1"/>
  <c r="E397" i="46"/>
  <c r="F397" i="46" s="1"/>
  <c r="E196" i="46"/>
  <c r="F196" i="46" s="1"/>
  <c r="E94" i="46"/>
  <c r="F94" i="46" s="1"/>
  <c r="E680" i="46"/>
  <c r="F680" i="46" s="1"/>
  <c r="E690" i="46"/>
  <c r="F690" i="46" s="1"/>
  <c r="E514" i="46"/>
  <c r="F514" i="46" s="1"/>
  <c r="E425" i="46"/>
  <c r="F425" i="46" s="1"/>
  <c r="E93" i="46"/>
  <c r="F93" i="46" s="1"/>
  <c r="E483" i="46"/>
  <c r="F483" i="46" s="1"/>
  <c r="E231" i="46"/>
  <c r="F231" i="46" s="1"/>
  <c r="E60" i="46"/>
  <c r="F60" i="46" s="1"/>
  <c r="E811" i="46"/>
  <c r="F811" i="46" s="1"/>
  <c r="E439" i="46"/>
  <c r="F439" i="46" s="1"/>
  <c r="E409" i="46"/>
  <c r="F409" i="46" s="1"/>
  <c r="E727" i="46"/>
  <c r="F727" i="46" s="1"/>
  <c r="E594" i="46"/>
  <c r="F594" i="46" s="1"/>
  <c r="E452" i="46"/>
  <c r="F452" i="46" s="1"/>
  <c r="E15" i="46"/>
  <c r="F15" i="46" s="1"/>
  <c r="E741" i="46"/>
  <c r="F741" i="46" s="1"/>
  <c r="E713" i="46"/>
  <c r="F713" i="46" s="1"/>
  <c r="E799" i="46"/>
  <c r="F799" i="46" s="1"/>
  <c r="E532" i="46"/>
  <c r="F532" i="46" s="1"/>
  <c r="E681" i="46"/>
  <c r="F681" i="46" s="1"/>
  <c r="E786" i="46"/>
  <c r="F786" i="46" s="1"/>
  <c r="E141" i="46"/>
  <c r="F141" i="46" s="1"/>
  <c r="E211" i="46"/>
  <c r="F211" i="46" s="1"/>
  <c r="E167" i="46"/>
  <c r="F167" i="46" s="1"/>
  <c r="E306" i="46"/>
  <c r="F306" i="46" s="1"/>
  <c r="E704" i="46"/>
  <c r="F704" i="46" s="1"/>
  <c r="E20" i="46"/>
  <c r="F20" i="46" s="1"/>
  <c r="E520" i="46"/>
  <c r="F520" i="46" s="1"/>
  <c r="E385" i="46"/>
  <c r="F385" i="46" s="1"/>
  <c r="E313" i="46"/>
  <c r="F313" i="46" s="1"/>
  <c r="E721" i="46"/>
  <c r="F721" i="46" s="1"/>
  <c r="E840" i="46"/>
  <c r="F840" i="46" s="1"/>
  <c r="E536" i="46"/>
  <c r="F536" i="46" s="1"/>
  <c r="E23" i="46"/>
  <c r="F23" i="46" s="1"/>
  <c r="E177" i="46"/>
  <c r="F177" i="46" s="1"/>
  <c r="E323" i="46"/>
  <c r="F323" i="46" s="1"/>
  <c r="E570" i="46"/>
  <c r="F570" i="46" s="1"/>
  <c r="E485" i="46"/>
  <c r="F485" i="46" s="1"/>
  <c r="E793" i="46"/>
  <c r="F793" i="46" s="1"/>
  <c r="E242" i="46"/>
  <c r="F242" i="46" s="1"/>
  <c r="E399" i="46"/>
  <c r="F399" i="46" s="1"/>
  <c r="E676" i="46"/>
  <c r="F676" i="46" s="1"/>
  <c r="E622" i="46"/>
  <c r="F622" i="46" s="1"/>
  <c r="E185" i="46"/>
  <c r="F185" i="46" s="1"/>
  <c r="E782" i="46"/>
  <c r="F782" i="46" s="1"/>
  <c r="E436" i="46"/>
  <c r="F436" i="46" s="1"/>
  <c r="E495" i="46"/>
  <c r="F495" i="46" s="1"/>
  <c r="E131" i="46"/>
  <c r="F131" i="46" s="1"/>
  <c r="E229" i="46"/>
  <c r="F229" i="46" s="1"/>
  <c r="E12" i="46"/>
  <c r="F12" i="46" s="1"/>
  <c r="E807" i="46"/>
  <c r="F807" i="46" s="1"/>
  <c r="E497" i="46"/>
  <c r="F497" i="46" s="1"/>
  <c r="E386" i="46"/>
  <c r="F386" i="46" s="1"/>
  <c r="E105" i="46"/>
  <c r="F105" i="46" s="1"/>
  <c r="E839" i="46"/>
  <c r="F839" i="46" s="1"/>
  <c r="E494" i="46"/>
  <c r="F494" i="46" s="1"/>
  <c r="E618" i="46"/>
  <c r="F618" i="46" s="1"/>
  <c r="E737" i="46"/>
  <c r="F737" i="46" s="1"/>
  <c r="E10" i="46"/>
  <c r="F10" i="46" s="1"/>
  <c r="E606" i="46"/>
  <c r="F606" i="46" s="1"/>
  <c r="E180" i="46"/>
  <c r="F180" i="46" s="1"/>
  <c r="E527" i="46"/>
  <c r="F527" i="46" s="1"/>
  <c r="E472" i="46"/>
  <c r="F472" i="46" s="1"/>
  <c r="E521" i="46"/>
  <c r="F521" i="46" s="1"/>
  <c r="E362" i="46"/>
  <c r="F362" i="46" s="1"/>
  <c r="E395" i="46"/>
  <c r="F395" i="46" s="1"/>
  <c r="E546" i="46"/>
  <c r="F546" i="46" s="1"/>
  <c r="E603" i="46"/>
  <c r="F603" i="46" s="1"/>
  <c r="E87" i="46"/>
  <c r="F87" i="46" s="1"/>
  <c r="E63" i="46"/>
  <c r="F63" i="46" s="1"/>
  <c r="E653" i="46"/>
  <c r="F653" i="46" s="1"/>
  <c r="E714" i="46"/>
  <c r="F714" i="46" s="1"/>
  <c r="E112" i="46"/>
  <c r="F112" i="46" s="1"/>
  <c r="E124" i="46"/>
  <c r="F124" i="46" s="1"/>
  <c r="E496" i="46"/>
  <c r="F496" i="46" s="1"/>
  <c r="E80" i="46"/>
  <c r="F80" i="46" s="1"/>
  <c r="E478" i="46"/>
  <c r="F478" i="46" s="1"/>
  <c r="E308" i="46"/>
  <c r="F308" i="46" s="1"/>
  <c r="E794" i="46"/>
  <c r="F794" i="46" s="1"/>
  <c r="E71" i="46"/>
  <c r="F71" i="46" s="1"/>
  <c r="E816" i="46"/>
  <c r="F816" i="46" s="1"/>
  <c r="E332" i="46"/>
  <c r="F332" i="46" s="1"/>
  <c r="E25" i="46"/>
  <c r="F25" i="46" s="1"/>
  <c r="E205" i="46"/>
  <c r="F205" i="46" s="1"/>
  <c r="E173" i="46"/>
  <c r="F173" i="46" s="1"/>
  <c r="E296" i="46"/>
  <c r="F296" i="46" s="1"/>
  <c r="E446" i="46"/>
  <c r="F446" i="46" s="1"/>
  <c r="E152" i="46"/>
  <c r="F152" i="46" s="1"/>
  <c r="E530" i="46"/>
  <c r="F530" i="46" s="1"/>
  <c r="E596" i="46"/>
  <c r="F596" i="46" s="1"/>
  <c r="E84" i="46"/>
  <c r="F84" i="46" s="1"/>
  <c r="E595" i="46"/>
  <c r="F595" i="46" s="1"/>
  <c r="E696" i="46"/>
  <c r="F696" i="46" s="1"/>
  <c r="E165" i="46"/>
  <c r="F165" i="46" s="1"/>
  <c r="E476" i="46"/>
  <c r="F476" i="46" s="1"/>
  <c r="E341" i="46"/>
  <c r="F341" i="46" s="1"/>
  <c r="E752" i="46"/>
  <c r="F752" i="46" s="1"/>
  <c r="E559" i="46"/>
  <c r="F559" i="46" s="1"/>
  <c r="E410" i="46"/>
  <c r="F410" i="46" s="1"/>
  <c r="E383" i="46"/>
  <c r="F383" i="46" s="1"/>
  <c r="E182" i="46"/>
  <c r="F182" i="46" s="1"/>
  <c r="E665" i="46"/>
  <c r="F665" i="46" s="1"/>
  <c r="E587" i="46"/>
  <c r="F587" i="46" s="1"/>
  <c r="E379" i="46"/>
  <c r="F379" i="46" s="1"/>
  <c r="E126" i="46"/>
  <c r="F126" i="46" s="1"/>
  <c r="I4" i="46" l="1"/>
  <c r="G150" i="46"/>
  <c r="G694" i="46"/>
  <c r="H694" i="46" s="1"/>
  <c r="G876" i="46"/>
  <c r="G57" i="46"/>
  <c r="G253" i="46"/>
  <c r="G779" i="46"/>
  <c r="G708" i="46"/>
  <c r="G484" i="46"/>
  <c r="G380" i="46"/>
  <c r="G737" i="46"/>
  <c r="I737" i="46"/>
  <c r="I647" i="46"/>
  <c r="G647" i="46"/>
  <c r="I276" i="46"/>
  <c r="G276" i="46"/>
  <c r="G691" i="46"/>
  <c r="G450" i="46"/>
  <c r="I450" i="46"/>
  <c r="I270" i="46"/>
  <c r="G270" i="46"/>
  <c r="G581" i="46"/>
  <c r="I496" i="46"/>
  <c r="G496" i="46"/>
  <c r="I179" i="46"/>
  <c r="G179" i="46"/>
  <c r="I256" i="46"/>
  <c r="G256" i="46"/>
  <c r="G187" i="46"/>
  <c r="I187" i="46"/>
  <c r="G186" i="46"/>
  <c r="G931" i="46"/>
  <c r="I485" i="46"/>
  <c r="G485" i="46"/>
  <c r="I671" i="46"/>
  <c r="G671" i="46"/>
  <c r="H671" i="46" s="1"/>
  <c r="G566" i="46"/>
  <c r="H566" i="46" s="1"/>
  <c r="G108" i="46"/>
  <c r="G230" i="46"/>
  <c r="G913" i="46"/>
  <c r="G188" i="46"/>
  <c r="I112" i="46"/>
  <c r="G112" i="46"/>
  <c r="I532" i="46"/>
  <c r="G532" i="46"/>
  <c r="G709" i="46"/>
  <c r="I709" i="46"/>
  <c r="I263" i="46"/>
  <c r="G263" i="46"/>
  <c r="I50" i="46"/>
  <c r="G50" i="46"/>
  <c r="I109" i="46"/>
  <c r="G109" i="46"/>
  <c r="I534" i="46"/>
  <c r="G534" i="46"/>
  <c r="G106" i="46"/>
  <c r="G475" i="46"/>
  <c r="G65" i="46"/>
  <c r="G132" i="46"/>
  <c r="G924" i="46"/>
  <c r="G864" i="46"/>
  <c r="G965" i="46"/>
  <c r="H965" i="46" s="1"/>
  <c r="G941" i="46"/>
  <c r="G888" i="46"/>
  <c r="G943" i="46"/>
  <c r="G706" i="46"/>
  <c r="G705" i="46"/>
  <c r="G421" i="46"/>
  <c r="I596" i="46"/>
  <c r="G596" i="46"/>
  <c r="I714" i="46"/>
  <c r="G714" i="46"/>
  <c r="I105" i="46"/>
  <c r="G105" i="46"/>
  <c r="G323" i="46"/>
  <c r="I323" i="46"/>
  <c r="I799" i="46"/>
  <c r="G799" i="46"/>
  <c r="G94" i="46"/>
  <c r="I94" i="46"/>
  <c r="G639" i="46"/>
  <c r="H639" i="46" s="1"/>
  <c r="I639" i="46"/>
  <c r="I810" i="46"/>
  <c r="G810" i="46"/>
  <c r="I513" i="46"/>
  <c r="G513" i="46"/>
  <c r="G777" i="46"/>
  <c r="I777" i="46"/>
  <c r="I130" i="46"/>
  <c r="G130" i="46"/>
  <c r="I29" i="46"/>
  <c r="G29" i="46"/>
  <c r="I356" i="46"/>
  <c r="G356" i="46"/>
  <c r="I751" i="46"/>
  <c r="G751" i="46"/>
  <c r="I588" i="46"/>
  <c r="G588" i="46"/>
  <c r="I347" i="46"/>
  <c r="G347" i="46"/>
  <c r="I613" i="46"/>
  <c r="G613" i="46"/>
  <c r="I459" i="46"/>
  <c r="G459" i="46"/>
  <c r="I204" i="46"/>
  <c r="G204" i="46"/>
  <c r="I79" i="46"/>
  <c r="G79" i="46"/>
  <c r="I621" i="46"/>
  <c r="G621" i="46"/>
  <c r="H621" i="46" s="1"/>
  <c r="G189" i="46"/>
  <c r="I189" i="46"/>
  <c r="I632" i="46"/>
  <c r="G632" i="46"/>
  <c r="H632" i="46" s="1"/>
  <c r="I628" i="46"/>
  <c r="G628" i="46"/>
  <c r="H628" i="46" s="1"/>
  <c r="I103" i="46"/>
  <c r="G103" i="46"/>
  <c r="G686" i="46"/>
  <c r="H686" i="46" s="1"/>
  <c r="G510" i="46"/>
  <c r="G213" i="46"/>
  <c r="G579" i="46"/>
  <c r="G664" i="46"/>
  <c r="G33" i="46"/>
  <c r="G260" i="46"/>
  <c r="G208" i="46"/>
  <c r="G11" i="46"/>
  <c r="G249" i="46"/>
  <c r="G147" i="46"/>
  <c r="G246" i="46"/>
  <c r="G116" i="46"/>
  <c r="I116" i="46"/>
  <c r="G643" i="46"/>
  <c r="I791" i="46"/>
  <c r="G791" i="46"/>
  <c r="G107" i="46"/>
  <c r="G842" i="46"/>
  <c r="G310" i="46"/>
  <c r="I780" i="46"/>
  <c r="G780" i="46"/>
  <c r="G926" i="46"/>
  <c r="G906" i="46"/>
  <c r="G868" i="46"/>
  <c r="G862" i="46"/>
  <c r="G985" i="46"/>
  <c r="G884" i="46"/>
  <c r="G883" i="46"/>
  <c r="G997" i="46"/>
  <c r="G861" i="46"/>
  <c r="G463" i="46"/>
  <c r="G184" i="46"/>
  <c r="G669" i="46"/>
  <c r="H669" i="46" s="1"/>
  <c r="G444" i="46"/>
  <c r="G378" i="46"/>
  <c r="G404" i="46"/>
  <c r="G251" i="46"/>
  <c r="G590" i="46"/>
  <c r="I832" i="46"/>
  <c r="G832" i="46"/>
  <c r="I145" i="46"/>
  <c r="G145" i="46"/>
  <c r="G289" i="46"/>
  <c r="G793" i="46"/>
  <c r="I793" i="46"/>
  <c r="I200" i="46"/>
  <c r="G200" i="46"/>
  <c r="G337" i="46"/>
  <c r="H337" i="46" s="1"/>
  <c r="I337" i="46"/>
  <c r="I46" i="46"/>
  <c r="G46" i="46"/>
  <c r="G535" i="46"/>
  <c r="H535" i="46" s="1"/>
  <c r="I376" i="46"/>
  <c r="G376" i="46"/>
  <c r="G346" i="46"/>
  <c r="I680" i="46"/>
  <c r="G680" i="46"/>
  <c r="H680" i="46" s="1"/>
  <c r="G658" i="46"/>
  <c r="I658" i="46"/>
  <c r="I377" i="46"/>
  <c r="G377" i="46"/>
  <c r="I736" i="46"/>
  <c r="G736" i="46"/>
  <c r="G59" i="46"/>
  <c r="I355" i="46"/>
  <c r="G355" i="46"/>
  <c r="G934" i="46"/>
  <c r="I386" i="46"/>
  <c r="G386" i="46"/>
  <c r="I470" i="46"/>
  <c r="G470" i="46"/>
  <c r="I162" i="46"/>
  <c r="G162" i="46"/>
  <c r="I668" i="46"/>
  <c r="G668" i="46"/>
  <c r="H668" i="46" s="1"/>
  <c r="I16" i="46"/>
  <c r="G16" i="46"/>
  <c r="I746" i="46"/>
  <c r="G746" i="46"/>
  <c r="G462" i="46"/>
  <c r="G849" i="46"/>
  <c r="G995" i="46"/>
  <c r="G933" i="46"/>
  <c r="G850" i="46"/>
  <c r="G895" i="46"/>
  <c r="G991" i="46"/>
  <c r="H991" i="46" s="1"/>
  <c r="G955" i="46"/>
  <c r="G999" i="46"/>
  <c r="G515" i="46"/>
  <c r="G245" i="46"/>
  <c r="I636" i="46"/>
  <c r="G636" i="46"/>
  <c r="I160" i="46"/>
  <c r="G160" i="46"/>
  <c r="G648" i="46"/>
  <c r="G340" i="46"/>
  <c r="G357" i="46"/>
  <c r="I717" i="46"/>
  <c r="G717" i="46"/>
  <c r="I221" i="46"/>
  <c r="G221" i="46"/>
  <c r="G233" i="46"/>
  <c r="G62" i="46"/>
  <c r="G502" i="46"/>
  <c r="I690" i="46"/>
  <c r="G690" i="46"/>
  <c r="I225" i="46"/>
  <c r="G225" i="46"/>
  <c r="G710" i="46"/>
  <c r="G738" i="46"/>
  <c r="G845" i="46"/>
  <c r="H845" i="46" s="1"/>
  <c r="G121" i="46"/>
  <c r="G431" i="46"/>
  <c r="I839" i="46"/>
  <c r="G839" i="46"/>
  <c r="I64" i="46"/>
  <c r="G64" i="46"/>
  <c r="I469" i="46"/>
  <c r="G469" i="46"/>
  <c r="I214" i="46"/>
  <c r="G214" i="46"/>
  <c r="I81" i="46"/>
  <c r="G81" i="46"/>
  <c r="I825" i="46"/>
  <c r="G825" i="46"/>
  <c r="H825" i="46" s="1"/>
  <c r="I720" i="46"/>
  <c r="G720" i="46"/>
  <c r="G820" i="46"/>
  <c r="H820" i="46" s="1"/>
  <c r="G278" i="46"/>
  <c r="G759" i="46"/>
  <c r="G677" i="46"/>
  <c r="G857" i="46"/>
  <c r="I653" i="46"/>
  <c r="G653" i="46"/>
  <c r="I713" i="46"/>
  <c r="G713" i="46"/>
  <c r="I578" i="46"/>
  <c r="G578" i="46"/>
  <c r="I654" i="46"/>
  <c r="G654" i="46"/>
  <c r="I192" i="46"/>
  <c r="G192" i="46"/>
  <c r="I199" i="46"/>
  <c r="G199" i="46"/>
  <c r="I458" i="46"/>
  <c r="G458" i="46"/>
  <c r="I561" i="46"/>
  <c r="G561" i="46"/>
  <c r="G67" i="46"/>
  <c r="I67" i="46"/>
  <c r="I61" i="46"/>
  <c r="G61" i="46"/>
  <c r="G602" i="46"/>
  <c r="I195" i="46"/>
  <c r="G195" i="46"/>
  <c r="I361" i="46"/>
  <c r="G361" i="46"/>
  <c r="G127" i="46"/>
  <c r="G73" i="46"/>
  <c r="G992" i="46"/>
  <c r="I63" i="46"/>
  <c r="G63" i="46"/>
  <c r="G23" i="46"/>
  <c r="I23" i="46"/>
  <c r="I397" i="46"/>
  <c r="G397" i="46"/>
  <c r="G271" i="46"/>
  <c r="I271" i="46"/>
  <c r="I237" i="46"/>
  <c r="G237" i="46"/>
  <c r="I427" i="46"/>
  <c r="G427" i="46"/>
  <c r="I689" i="46"/>
  <c r="G689" i="46"/>
  <c r="G384" i="46"/>
  <c r="H384" i="46" s="1"/>
  <c r="I384" i="46"/>
  <c r="I473" i="46"/>
  <c r="G473" i="46"/>
  <c r="H473" i="46" s="1"/>
  <c r="I499" i="46"/>
  <c r="G499" i="46"/>
  <c r="I224" i="46"/>
  <c r="G224" i="46"/>
  <c r="I398" i="46"/>
  <c r="G398" i="46"/>
  <c r="I504" i="46"/>
  <c r="G504" i="46"/>
  <c r="I701" i="46"/>
  <c r="G701" i="46"/>
  <c r="G149" i="46"/>
  <c r="I149" i="46"/>
  <c r="G38" i="46"/>
  <c r="I38" i="46"/>
  <c r="I366" i="46"/>
  <c r="G366" i="46"/>
  <c r="I790" i="46"/>
  <c r="G790" i="46"/>
  <c r="H790" i="46" s="1"/>
  <c r="I76" i="46"/>
  <c r="G76" i="46"/>
  <c r="I719" i="46"/>
  <c r="G719" i="46"/>
  <c r="I280" i="46"/>
  <c r="G280" i="46"/>
  <c r="G503" i="46"/>
  <c r="G305" i="46"/>
  <c r="G32" i="46"/>
  <c r="G43" i="46"/>
  <c r="G255" i="46"/>
  <c r="G174" i="46"/>
  <c r="G433" i="46"/>
  <c r="H433" i="46" s="1"/>
  <c r="G776" i="46"/>
  <c r="G711" i="46"/>
  <c r="H711" i="46" s="1"/>
  <c r="G159" i="46"/>
  <c r="G223" i="46"/>
  <c r="I223" i="46"/>
  <c r="G206" i="46"/>
  <c r="I206" i="46"/>
  <c r="G388" i="46"/>
  <c r="G734" i="46"/>
  <c r="I644" i="46"/>
  <c r="G644" i="46"/>
  <c r="G98" i="46"/>
  <c r="G254" i="46"/>
  <c r="G468" i="46"/>
  <c r="I311" i="46"/>
  <c r="G311" i="46"/>
  <c r="G387" i="46"/>
  <c r="G916" i="46"/>
  <c r="G987" i="46"/>
  <c r="G988" i="46"/>
  <c r="G872" i="46"/>
  <c r="G1002" i="46"/>
  <c r="G910" i="46"/>
  <c r="G947" i="46"/>
  <c r="G989" i="46"/>
  <c r="G866" i="46"/>
  <c r="G629" i="46"/>
  <c r="H629" i="46" s="1"/>
  <c r="G730" i="46"/>
  <c r="G403" i="46"/>
  <c r="G282" i="46"/>
  <c r="G119" i="46"/>
  <c r="G142" i="46"/>
  <c r="G430" i="46"/>
  <c r="G952" i="46"/>
  <c r="I618" i="46"/>
  <c r="G618" i="46"/>
  <c r="I822" i="46"/>
  <c r="G822" i="46"/>
  <c r="I818" i="46"/>
  <c r="G818" i="46"/>
  <c r="I835" i="46"/>
  <c r="G835" i="46"/>
  <c r="G155" i="46"/>
  <c r="G903" i="46"/>
  <c r="I681" i="46"/>
  <c r="G681" i="46"/>
  <c r="I156" i="46"/>
  <c r="G156" i="46"/>
  <c r="I151" i="46"/>
  <c r="G151" i="46"/>
  <c r="I396" i="46"/>
  <c r="G396" i="46"/>
  <c r="G424" i="46"/>
  <c r="G977" i="46"/>
  <c r="G359" i="46"/>
  <c r="G44" i="46"/>
  <c r="G84" i="46"/>
  <c r="I84" i="46"/>
  <c r="I570" i="46"/>
  <c r="G570" i="46"/>
  <c r="I344" i="46"/>
  <c r="G344" i="46"/>
  <c r="I524" i="46"/>
  <c r="G524" i="46"/>
  <c r="I125" i="46"/>
  <c r="G125" i="46"/>
  <c r="I693" i="46"/>
  <c r="G693" i="46"/>
  <c r="H693" i="46" s="1"/>
  <c r="I281" i="46"/>
  <c r="G281" i="46"/>
  <c r="G58" i="46"/>
  <c r="I58" i="46"/>
  <c r="G171" i="46"/>
  <c r="H171" i="46" s="1"/>
  <c r="G326" i="46"/>
  <c r="G749" i="46"/>
  <c r="G642" i="46"/>
  <c r="G948" i="46"/>
  <c r="I530" i="46"/>
  <c r="G530" i="46"/>
  <c r="I177" i="46"/>
  <c r="G177" i="46"/>
  <c r="I196" i="46"/>
  <c r="G196" i="46"/>
  <c r="H196" i="46" s="1"/>
  <c r="G474" i="46"/>
  <c r="I474" i="46"/>
  <c r="G335" i="46"/>
  <c r="I335" i="46"/>
  <c r="I423" i="46"/>
  <c r="G423" i="46"/>
  <c r="G85" i="46"/>
  <c r="I85" i="46"/>
  <c r="I841" i="46"/>
  <c r="G841" i="46"/>
  <c r="I562" i="46"/>
  <c r="G562" i="46"/>
  <c r="I416" i="46"/>
  <c r="G416" i="46"/>
  <c r="G541" i="46"/>
  <c r="G319" i="46"/>
  <c r="G24" i="46"/>
  <c r="G973" i="46"/>
  <c r="I152" i="46"/>
  <c r="G152" i="46"/>
  <c r="I497" i="46"/>
  <c r="G497" i="46"/>
  <c r="I741" i="46"/>
  <c r="G741" i="46"/>
  <c r="H741" i="46" s="1"/>
  <c r="I126" i="46"/>
  <c r="G126" i="46"/>
  <c r="G446" i="46"/>
  <c r="I446" i="46"/>
  <c r="G87" i="46"/>
  <c r="I87" i="46"/>
  <c r="G807" i="46"/>
  <c r="I807" i="46"/>
  <c r="I536" i="46"/>
  <c r="G536" i="46"/>
  <c r="I15" i="46"/>
  <c r="G15" i="46"/>
  <c r="I401" i="46"/>
  <c r="G401" i="46"/>
  <c r="I391" i="46"/>
  <c r="G391" i="46"/>
  <c r="G795" i="46"/>
  <c r="I795" i="46"/>
  <c r="I827" i="46"/>
  <c r="G827" i="46"/>
  <c r="H827" i="46" s="1"/>
  <c r="I240" i="46"/>
  <c r="G240" i="46"/>
  <c r="I533" i="46"/>
  <c r="G533" i="46"/>
  <c r="H533" i="46" s="1"/>
  <c r="I370" i="46"/>
  <c r="G370" i="46"/>
  <c r="I268" i="46"/>
  <c r="G268" i="46"/>
  <c r="I198" i="46"/>
  <c r="G198" i="46"/>
  <c r="I338" i="46"/>
  <c r="G338" i="46"/>
  <c r="I812" i="46"/>
  <c r="G812" i="46"/>
  <c r="G493" i="46"/>
  <c r="I493" i="46"/>
  <c r="I507" i="46"/>
  <c r="G507" i="46"/>
  <c r="I279" i="46"/>
  <c r="G279" i="46"/>
  <c r="I649" i="46"/>
  <c r="G649" i="46"/>
  <c r="I732" i="46"/>
  <c r="G732" i="46"/>
  <c r="G775" i="46"/>
  <c r="I775" i="46"/>
  <c r="I18" i="46"/>
  <c r="G18" i="46"/>
  <c r="I722" i="46"/>
  <c r="G722" i="46"/>
  <c r="G718" i="46"/>
  <c r="G490" i="46"/>
  <c r="G19" i="46"/>
  <c r="G828" i="46"/>
  <c r="I548" i="46"/>
  <c r="G548" i="46"/>
  <c r="I292" i="46"/>
  <c r="G292" i="46"/>
  <c r="G608" i="46"/>
  <c r="G352" i="46"/>
  <c r="I593" i="46"/>
  <c r="G593" i="46"/>
  <c r="G169" i="46"/>
  <c r="I169" i="46"/>
  <c r="G517" i="46"/>
  <c r="G699" i="46"/>
  <c r="G183" i="46"/>
  <c r="G956" i="46"/>
  <c r="G971" i="46"/>
  <c r="G856" i="46"/>
  <c r="G954" i="46"/>
  <c r="G905" i="46"/>
  <c r="G938" i="46"/>
  <c r="G953" i="46"/>
  <c r="G854" i="46"/>
  <c r="G976" i="46"/>
  <c r="G568" i="46"/>
  <c r="G117" i="46"/>
  <c r="G13" i="46"/>
  <c r="G684" i="46"/>
  <c r="H684" i="46" s="1"/>
  <c r="G345" i="46"/>
  <c r="I165" i="46"/>
  <c r="G165" i="46"/>
  <c r="I203" i="46"/>
  <c r="G203" i="46"/>
  <c r="I455" i="46"/>
  <c r="G455" i="46"/>
  <c r="G405" i="46"/>
  <c r="I514" i="46"/>
  <c r="G514" i="46"/>
  <c r="G855" i="46"/>
  <c r="G773" i="46"/>
  <c r="G980" i="46"/>
  <c r="I553" i="46"/>
  <c r="G553" i="46"/>
  <c r="I419" i="46"/>
  <c r="G419" i="46"/>
  <c r="I624" i="46"/>
  <c r="G624" i="46"/>
  <c r="H624" i="46" s="1"/>
  <c r="G207" i="46"/>
  <c r="G422" i="46"/>
  <c r="G993" i="46"/>
  <c r="G209" i="46"/>
  <c r="I432" i="46"/>
  <c r="G432" i="46"/>
  <c r="I487" i="46"/>
  <c r="G487" i="46"/>
  <c r="I605" i="46"/>
  <c r="G605" i="46"/>
  <c r="G582" i="46"/>
  <c r="G170" i="46"/>
  <c r="I56" i="46"/>
  <c r="G56" i="46"/>
  <c r="G550" i="46"/>
  <c r="G26" i="46"/>
  <c r="G365" i="46"/>
  <c r="G609" i="46"/>
  <c r="G725" i="46"/>
  <c r="G871" i="46"/>
  <c r="G922" i="46"/>
  <c r="H922" i="46" s="1"/>
  <c r="G914" i="46"/>
  <c r="G927" i="46"/>
  <c r="G904" i="46"/>
  <c r="G886" i="46"/>
  <c r="G878" i="46"/>
  <c r="H878" i="46" s="1"/>
  <c r="G929" i="46"/>
  <c r="G915" i="46"/>
  <c r="G163" i="46"/>
  <c r="I620" i="46"/>
  <c r="G620" i="46"/>
  <c r="H620" i="46" s="1"/>
  <c r="G318" i="46"/>
  <c r="I318" i="46"/>
  <c r="G874" i="46"/>
  <c r="G819" i="46"/>
  <c r="I808" i="46"/>
  <c r="G808" i="46"/>
  <c r="G968" i="46"/>
  <c r="I12" i="46"/>
  <c r="G12" i="46"/>
  <c r="I675" i="46"/>
  <c r="G675" i="46"/>
  <c r="H675" i="46" s="1"/>
  <c r="G501" i="46"/>
  <c r="G91" i="46"/>
  <c r="G327" i="46"/>
  <c r="I327" i="46"/>
  <c r="G966" i="46"/>
  <c r="H966" i="46" s="1"/>
  <c r="G592" i="46"/>
  <c r="I679" i="46"/>
  <c r="G679" i="46"/>
  <c r="H679" i="46" s="1"/>
  <c r="G742" i="46"/>
  <c r="I742" i="46"/>
  <c r="G41" i="46"/>
  <c r="I41" i="46"/>
  <c r="I665" i="46"/>
  <c r="G665" i="46"/>
  <c r="I102" i="46"/>
  <c r="G102" i="46"/>
  <c r="I449" i="46"/>
  <c r="G449" i="46"/>
  <c r="I175" i="46"/>
  <c r="G175" i="46"/>
  <c r="I55" i="46"/>
  <c r="G55" i="46"/>
  <c r="I153" i="46"/>
  <c r="G153" i="46"/>
  <c r="H153" i="46" s="1"/>
  <c r="G138" i="46"/>
  <c r="H138" i="46" s="1"/>
  <c r="G146" i="46"/>
  <c r="G227" i="46"/>
  <c r="G212" i="46"/>
  <c r="G774" i="46"/>
  <c r="G77" i="46"/>
  <c r="G303" i="46"/>
  <c r="G766" i="46"/>
  <c r="H766" i="46" s="1"/>
  <c r="G585" i="46"/>
  <c r="I623" i="46"/>
  <c r="G623" i="46"/>
  <c r="H623" i="46" s="1"/>
  <c r="G512" i="46"/>
  <c r="G54" i="46"/>
  <c r="G154" i="46"/>
  <c r="G572" i="46"/>
  <c r="G111" i="46"/>
  <c r="I610" i="46"/>
  <c r="G610" i="46"/>
  <c r="G990" i="46"/>
  <c r="G969" i="46"/>
  <c r="G996" i="46"/>
  <c r="G852" i="46"/>
  <c r="G851" i="46"/>
  <c r="G967" i="46"/>
  <c r="G909" i="46"/>
  <c r="G911" i="46"/>
  <c r="G1000" i="46"/>
  <c r="G178" i="46"/>
  <c r="G740" i="46"/>
  <c r="G309" i="46"/>
  <c r="G312" i="46"/>
  <c r="G336" i="46"/>
  <c r="G343" i="46"/>
  <c r="H343" i="46" s="1"/>
  <c r="G745" i="46"/>
  <c r="I242" i="46"/>
  <c r="G242" i="46"/>
  <c r="I82" i="46"/>
  <c r="G82" i="46"/>
  <c r="G970" i="46"/>
  <c r="I660" i="46"/>
  <c r="G660" i="46"/>
  <c r="G957" i="46"/>
  <c r="G101" i="46"/>
  <c r="G932" i="46"/>
  <c r="I389" i="46"/>
  <c r="G389" i="46"/>
  <c r="G787" i="46"/>
  <c r="G286" i="46"/>
  <c r="G982" i="46"/>
  <c r="G451" i="46"/>
  <c r="I546" i="46"/>
  <c r="G546" i="46"/>
  <c r="I129" i="46"/>
  <c r="G129" i="46"/>
  <c r="G626" i="46"/>
  <c r="I131" i="46"/>
  <c r="G131" i="46"/>
  <c r="G735" i="46"/>
  <c r="I735" i="46"/>
  <c r="I273" i="46"/>
  <c r="G273" i="46"/>
  <c r="I372" i="46"/>
  <c r="G372" i="46"/>
  <c r="I637" i="46"/>
  <c r="G637" i="46"/>
  <c r="H637" i="46" s="1"/>
  <c r="I25" i="46"/>
  <c r="G25" i="46"/>
  <c r="I409" i="46"/>
  <c r="G409" i="46"/>
  <c r="I202" i="46"/>
  <c r="G202" i="46"/>
  <c r="I134" i="46"/>
  <c r="G134" i="46"/>
  <c r="I591" i="46"/>
  <c r="G591" i="46"/>
  <c r="I549" i="46"/>
  <c r="G549" i="46"/>
  <c r="G657" i="46"/>
  <c r="I657" i="46"/>
  <c r="G607" i="46"/>
  <c r="I607" i="46"/>
  <c r="I661" i="46"/>
  <c r="G661" i="46"/>
  <c r="H661" i="46" s="1"/>
  <c r="G768" i="46"/>
  <c r="G14" i="46"/>
  <c r="G771" i="46"/>
  <c r="H771" i="46" s="1"/>
  <c r="I426" i="46"/>
  <c r="G426" i="46"/>
  <c r="G83" i="46"/>
  <c r="G51" i="46"/>
  <c r="G778" i="46"/>
  <c r="I258" i="46"/>
  <c r="G258" i="46"/>
  <c r="G645" i="46"/>
  <c r="G789" i="46"/>
  <c r="G983" i="46"/>
  <c r="G848" i="46"/>
  <c r="G920" i="46"/>
  <c r="G918" i="46"/>
  <c r="G944" i="46"/>
  <c r="G881" i="46"/>
  <c r="H881" i="46" s="1"/>
  <c r="G865" i="46"/>
  <c r="G847" i="46"/>
  <c r="G935" i="46"/>
  <c r="G498" i="46"/>
  <c r="G724" i="46"/>
  <c r="G823" i="46"/>
  <c r="G39" i="46"/>
  <c r="G141" i="46"/>
  <c r="I141" i="46"/>
  <c r="G772" i="46"/>
  <c r="I772" i="46"/>
  <c r="I757" i="46"/>
  <c r="G757" i="46"/>
  <c r="H757" i="46" s="1"/>
  <c r="I264" i="46"/>
  <c r="G264" i="46"/>
  <c r="I95" i="46"/>
  <c r="G95" i="46"/>
  <c r="I420" i="46"/>
  <c r="G420" i="46"/>
  <c r="G339" i="46"/>
  <c r="I788" i="46"/>
  <c r="G788" i="46"/>
  <c r="I683" i="46"/>
  <c r="G683" i="46"/>
  <c r="H683" i="46" s="1"/>
  <c r="G917" i="46"/>
  <c r="G464" i="46"/>
  <c r="I786" i="46"/>
  <c r="G786" i="46"/>
  <c r="G68" i="46"/>
  <c r="I68" i="46"/>
  <c r="G128" i="46"/>
  <c r="G402" i="46"/>
  <c r="G78" i="46"/>
  <c r="G949" i="46"/>
  <c r="G124" i="46"/>
  <c r="I124" i="46"/>
  <c r="I673" i="46"/>
  <c r="G673" i="46"/>
  <c r="H673" i="46" s="1"/>
  <c r="I723" i="46"/>
  <c r="G723" i="46"/>
  <c r="I288" i="46"/>
  <c r="G288" i="46"/>
  <c r="G769" i="46"/>
  <c r="G52" i="46"/>
  <c r="G781" i="46"/>
  <c r="I603" i="46"/>
  <c r="G603" i="46"/>
  <c r="I840" i="46"/>
  <c r="G840" i="46"/>
  <c r="G217" i="46"/>
  <c r="I217" i="46"/>
  <c r="I215" i="46"/>
  <c r="G215" i="46"/>
  <c r="G236" i="46"/>
  <c r="I236" i="46"/>
  <c r="I829" i="46"/>
  <c r="G829" i="46"/>
  <c r="I36" i="46"/>
  <c r="G36" i="46"/>
  <c r="I659" i="46"/>
  <c r="G659" i="46"/>
  <c r="H659" i="46" s="1"/>
  <c r="G577" i="46"/>
  <c r="G75" i="46"/>
  <c r="G216" i="46"/>
  <c r="H216" i="46" s="1"/>
  <c r="I216" i="46"/>
  <c r="G316" i="46"/>
  <c r="G959" i="46"/>
  <c r="G962" i="46"/>
  <c r="G331" i="46"/>
  <c r="G368" i="46"/>
  <c r="I587" i="46"/>
  <c r="G587" i="46"/>
  <c r="I229" i="46"/>
  <c r="G229" i="46"/>
  <c r="I716" i="46"/>
  <c r="G716" i="46"/>
  <c r="I801" i="46"/>
  <c r="G801" i="46"/>
  <c r="G247" i="46"/>
  <c r="I247" i="46"/>
  <c r="I783" i="46"/>
  <c r="G783" i="46"/>
  <c r="I753" i="46"/>
  <c r="G753" i="46"/>
  <c r="G360" i="46"/>
  <c r="I360" i="46"/>
  <c r="G519" i="46"/>
  <c r="I395" i="46"/>
  <c r="G395" i="46"/>
  <c r="G727" i="46"/>
  <c r="I727" i="46"/>
  <c r="I390" i="46"/>
  <c r="G390" i="46"/>
  <c r="I597" i="46"/>
  <c r="G597" i="46"/>
  <c r="G454" i="46"/>
  <c r="I454" i="46"/>
  <c r="G583" i="46"/>
  <c r="I583" i="46"/>
  <c r="I707" i="46"/>
  <c r="G707" i="46"/>
  <c r="I834" i="46"/>
  <c r="G834" i="46"/>
  <c r="G232" i="46"/>
  <c r="I232" i="46"/>
  <c r="G123" i="46"/>
  <c r="I123" i="46"/>
  <c r="I815" i="46"/>
  <c r="G815" i="46"/>
  <c r="I414" i="46"/>
  <c r="G414" i="46"/>
  <c r="G631" i="46"/>
  <c r="I182" i="46"/>
  <c r="G182" i="46"/>
  <c r="I362" i="46"/>
  <c r="G362" i="46"/>
  <c r="I495" i="46"/>
  <c r="G495" i="46"/>
  <c r="I385" i="46"/>
  <c r="G385" i="46"/>
  <c r="I685" i="46"/>
  <c r="G685" i="46"/>
  <c r="H685" i="46" s="1"/>
  <c r="I600" i="46"/>
  <c r="G600" i="46"/>
  <c r="I814" i="46"/>
  <c r="G814" i="46"/>
  <c r="I285" i="46"/>
  <c r="G285" i="46"/>
  <c r="I729" i="46"/>
  <c r="G729" i="46"/>
  <c r="I235" i="46"/>
  <c r="G235" i="46"/>
  <c r="I543" i="46"/>
  <c r="G543" i="46"/>
  <c r="I803" i="46"/>
  <c r="G803" i="46"/>
  <c r="I92" i="46"/>
  <c r="G92" i="46"/>
  <c r="I330" i="46"/>
  <c r="G330" i="46"/>
  <c r="I139" i="46"/>
  <c r="G139" i="46"/>
  <c r="I307" i="46"/>
  <c r="G307" i="46"/>
  <c r="I8" i="46"/>
  <c r="G8" i="46"/>
  <c r="I383" i="46"/>
  <c r="G383" i="46"/>
  <c r="H383" i="46" s="1"/>
  <c r="I332" i="46"/>
  <c r="G332" i="46"/>
  <c r="I521" i="46"/>
  <c r="G521" i="46"/>
  <c r="I436" i="46"/>
  <c r="G436" i="46"/>
  <c r="G520" i="46"/>
  <c r="H520" i="46" s="1"/>
  <c r="I520" i="46"/>
  <c r="I439" i="46"/>
  <c r="G439" i="46"/>
  <c r="I763" i="46"/>
  <c r="G763" i="46"/>
  <c r="I688" i="46"/>
  <c r="G688" i="46"/>
  <c r="I369" i="46"/>
  <c r="G369" i="46"/>
  <c r="I250" i="46"/>
  <c r="G250" i="46"/>
  <c r="I266" i="46"/>
  <c r="G266" i="46"/>
  <c r="I168" i="46"/>
  <c r="G168" i="46"/>
  <c r="G373" i="46"/>
  <c r="I373" i="46"/>
  <c r="I640" i="46"/>
  <c r="G640" i="46"/>
  <c r="G234" i="46"/>
  <c r="I234" i="46"/>
  <c r="I329" i="46"/>
  <c r="G329" i="46"/>
  <c r="I53" i="46"/>
  <c r="G53" i="46"/>
  <c r="I27" i="46"/>
  <c r="G27" i="46"/>
  <c r="I238" i="46"/>
  <c r="G238" i="46"/>
  <c r="G761" i="46"/>
  <c r="I761" i="46"/>
  <c r="G89" i="46"/>
  <c r="I89" i="46"/>
  <c r="G770" i="46"/>
  <c r="H770" i="46" s="1"/>
  <c r="I770" i="46"/>
  <c r="I565" i="46"/>
  <c r="G565" i="46"/>
  <c r="G805" i="46"/>
  <c r="I805" i="46"/>
  <c r="G692" i="46"/>
  <c r="H692" i="46" s="1"/>
  <c r="I692" i="46"/>
  <c r="I133" i="46"/>
  <c r="G133" i="46"/>
  <c r="G678" i="46"/>
  <c r="G836" i="46"/>
  <c r="G560" i="46"/>
  <c r="H560" i="46" s="1"/>
  <c r="G375" i="46"/>
  <c r="G564" i="46"/>
  <c r="G113" i="46"/>
  <c r="G831" i="46"/>
  <c r="G754" i="46"/>
  <c r="G110" i="46"/>
  <c r="G625" i="46"/>
  <c r="G321" i="46"/>
  <c r="G239" i="46"/>
  <c r="I277" i="46"/>
  <c r="G277" i="46"/>
  <c r="G806" i="46"/>
  <c r="G750" i="46"/>
  <c r="G320" i="46"/>
  <c r="G428" i="46"/>
  <c r="G265" i="46"/>
  <c r="G262" i="46"/>
  <c r="I262" i="46"/>
  <c r="G45" i="46"/>
  <c r="G435" i="46"/>
  <c r="G900" i="46"/>
  <c r="G942" i="46"/>
  <c r="G859" i="46"/>
  <c r="G964" i="46"/>
  <c r="G986" i="46"/>
  <c r="G858" i="46"/>
  <c r="G892" i="46"/>
  <c r="G972" i="46"/>
  <c r="G958" i="46"/>
  <c r="G115" i="46"/>
  <c r="G480" i="46"/>
  <c r="G191" i="46"/>
  <c r="G505" i="46"/>
  <c r="G201" i="46"/>
  <c r="G744" i="46"/>
  <c r="G461" i="46"/>
  <c r="G302" i="46"/>
  <c r="G161" i="46"/>
  <c r="G287" i="46"/>
  <c r="I726" i="46"/>
  <c r="G726" i="46"/>
  <c r="G898" i="46"/>
  <c r="G695" i="46"/>
  <c r="H695" i="46" s="1"/>
  <c r="G950" i="46"/>
  <c r="G301" i="46"/>
  <c r="I301" i="46"/>
  <c r="I17" i="46"/>
  <c r="G17" i="46"/>
  <c r="G334" i="46"/>
  <c r="G445" i="46"/>
  <c r="G945" i="46"/>
  <c r="G457" i="46"/>
  <c r="G721" i="46"/>
  <c r="I721" i="46"/>
  <c r="G731" i="46"/>
  <c r="I731" i="46"/>
  <c r="G350" i="46"/>
  <c r="I350" i="46"/>
  <c r="I555" i="46"/>
  <c r="G555" i="46"/>
  <c r="I410" i="46"/>
  <c r="G410" i="46"/>
  <c r="I472" i="46"/>
  <c r="G472" i="46"/>
  <c r="H472" i="46" s="1"/>
  <c r="I811" i="46"/>
  <c r="G811" i="46"/>
  <c r="G604" i="46"/>
  <c r="I604" i="46"/>
  <c r="I438" i="46"/>
  <c r="G438" i="46"/>
  <c r="G762" i="46"/>
  <c r="G90" i="46"/>
  <c r="G796" i="46"/>
  <c r="H796" i="46" s="1"/>
  <c r="G912" i="46"/>
  <c r="G899" i="46"/>
  <c r="G901" i="46"/>
  <c r="G897" i="46"/>
  <c r="G853" i="46"/>
  <c r="G963" i="46"/>
  <c r="G879" i="46"/>
  <c r="G869" i="46"/>
  <c r="G998" i="46"/>
  <c r="G172" i="46"/>
  <c r="I425" i="46"/>
  <c r="G425" i="46"/>
  <c r="I667" i="46"/>
  <c r="G667" i="46"/>
  <c r="H667" i="46" s="1"/>
  <c r="G228" i="46"/>
  <c r="I228" i="46"/>
  <c r="I662" i="46"/>
  <c r="G662" i="46"/>
  <c r="H662" i="46" s="1"/>
  <c r="G34" i="46"/>
  <c r="I34" i="46"/>
  <c r="G467" i="46"/>
  <c r="G638" i="46"/>
  <c r="H638" i="46" s="1"/>
  <c r="G939" i="46"/>
  <c r="G946" i="46"/>
  <c r="I100" i="46"/>
  <c r="G100" i="46"/>
  <c r="I314" i="46"/>
  <c r="G314" i="46"/>
  <c r="G650" i="46"/>
  <c r="I650" i="46"/>
  <c r="G634" i="46"/>
  <c r="H634" i="46" s="1"/>
  <c r="G798" i="46"/>
  <c r="I798" i="46"/>
  <c r="I575" i="46"/>
  <c r="G575" i="46"/>
  <c r="G1001" i="46"/>
  <c r="G477" i="46"/>
  <c r="I494" i="46"/>
  <c r="G494" i="46"/>
  <c r="I269" i="46"/>
  <c r="G269" i="46"/>
  <c r="I290" i="46"/>
  <c r="G290" i="46"/>
  <c r="G830" i="46"/>
  <c r="I830" i="46"/>
  <c r="I471" i="46"/>
  <c r="G471" i="46"/>
  <c r="G317" i="46"/>
  <c r="G219" i="46"/>
  <c r="G928" i="46"/>
  <c r="I296" i="46"/>
  <c r="G296" i="46"/>
  <c r="I452" i="46"/>
  <c r="G452" i="46"/>
  <c r="I164" i="46"/>
  <c r="G164" i="46"/>
  <c r="I28" i="46"/>
  <c r="G28" i="46"/>
  <c r="I243" i="46"/>
  <c r="G243" i="46"/>
  <c r="I488" i="46"/>
  <c r="G488" i="46"/>
  <c r="G72" i="46"/>
  <c r="G558" i="46"/>
  <c r="G374" i="46"/>
  <c r="I244" i="46"/>
  <c r="G244" i="46"/>
  <c r="G440" i="46"/>
  <c r="G728" i="46"/>
  <c r="G844" i="46"/>
  <c r="G489" i="46"/>
  <c r="G797" i="46"/>
  <c r="H797" i="46" s="1"/>
  <c r="G144" i="46"/>
  <c r="I144" i="46"/>
  <c r="I537" i="46"/>
  <c r="G537" i="46"/>
  <c r="I547" i="46"/>
  <c r="G547" i="46"/>
  <c r="I176" i="46"/>
  <c r="G176" i="46"/>
  <c r="I348" i="46"/>
  <c r="G348" i="46"/>
  <c r="G697" i="46"/>
  <c r="I697" i="46"/>
  <c r="I809" i="46"/>
  <c r="G809" i="46"/>
  <c r="I283" i="46"/>
  <c r="G283" i="46"/>
  <c r="I529" i="46"/>
  <c r="G529" i="46"/>
  <c r="G47" i="46"/>
  <c r="I418" i="46"/>
  <c r="G418" i="46"/>
  <c r="G584" i="46"/>
  <c r="I193" i="46"/>
  <c r="G193" i="46"/>
  <c r="G525" i="46"/>
  <c r="I559" i="46"/>
  <c r="G559" i="46"/>
  <c r="I527" i="46"/>
  <c r="G527" i="46"/>
  <c r="I704" i="46"/>
  <c r="G704" i="46"/>
  <c r="H704" i="46" s="1"/>
  <c r="I614" i="46"/>
  <c r="G614" i="46"/>
  <c r="I554" i="46"/>
  <c r="G554" i="46"/>
  <c r="H554" i="46" s="1"/>
  <c r="G599" i="46"/>
  <c r="I599" i="46"/>
  <c r="I120" i="46"/>
  <c r="G120" i="46"/>
  <c r="I813" i="46"/>
  <c r="G813" i="46"/>
  <c r="I70" i="46"/>
  <c r="G70" i="46"/>
  <c r="I802" i="46"/>
  <c r="G802" i="46"/>
  <c r="I526" i="46"/>
  <c r="G526" i="46"/>
  <c r="I611" i="46"/>
  <c r="G611" i="46"/>
  <c r="I363" i="46"/>
  <c r="G363" i="46"/>
  <c r="I358" i="46"/>
  <c r="G358" i="46"/>
  <c r="I755" i="46"/>
  <c r="G755" i="46"/>
  <c r="I531" i="46"/>
  <c r="G531" i="46"/>
  <c r="H531" i="46" s="1"/>
  <c r="I698" i="46"/>
  <c r="G698" i="46"/>
  <c r="I712" i="46"/>
  <c r="G712" i="46"/>
  <c r="G136" i="46"/>
  <c r="I136" i="46"/>
  <c r="I615" i="46"/>
  <c r="G615" i="46"/>
  <c r="H615" i="46" s="1"/>
  <c r="G612" i="46"/>
  <c r="I612" i="46"/>
  <c r="G429" i="46"/>
  <c r="I429" i="46"/>
  <c r="G563" i="46"/>
  <c r="G748" i="46"/>
  <c r="G298" i="46"/>
  <c r="G442" i="46"/>
  <c r="G482" i="46"/>
  <c r="G371" i="46"/>
  <c r="G792" i="46"/>
  <c r="G651" i="46"/>
  <c r="G687" i="46"/>
  <c r="G552" i="46"/>
  <c r="G417" i="46"/>
  <c r="G800" i="46"/>
  <c r="I672" i="46"/>
  <c r="G672" i="46"/>
  <c r="G66" i="46"/>
  <c r="G315" i="46"/>
  <c r="G158" i="46"/>
  <c r="I158" i="46"/>
  <c r="G630" i="46"/>
  <c r="H630" i="46" s="1"/>
  <c r="I6" i="46"/>
  <c r="G6" i="46"/>
  <c r="G574" i="46"/>
  <c r="G908" i="46"/>
  <c r="L4" i="46"/>
  <c r="G863" i="46"/>
  <c r="G907" i="46"/>
  <c r="G979" i="46"/>
  <c r="G940" i="46"/>
  <c r="G981" i="46"/>
  <c r="G880" i="46"/>
  <c r="H880" i="46" s="1"/>
  <c r="G877" i="46"/>
  <c r="H877" i="46" s="1"/>
  <c r="G682" i="46"/>
  <c r="H682" i="46" s="1"/>
  <c r="G655" i="46"/>
  <c r="H655" i="46" s="1"/>
  <c r="G31" i="46"/>
  <c r="G406" i="46"/>
  <c r="G40" i="46"/>
  <c r="G353" i="46"/>
  <c r="G194" i="46"/>
  <c r="G702" i="46"/>
  <c r="G293" i="46"/>
  <c r="I80" i="46"/>
  <c r="G80" i="46"/>
  <c r="G122" i="46"/>
  <c r="G893" i="46"/>
  <c r="G539" i="46"/>
  <c r="I696" i="46"/>
  <c r="G696" i="46"/>
  <c r="H696" i="46" s="1"/>
  <c r="I540" i="46"/>
  <c r="G540" i="46"/>
  <c r="I118" i="46"/>
  <c r="G118" i="46"/>
  <c r="G569" i="46"/>
  <c r="G274" i="46"/>
  <c r="G961" i="46"/>
  <c r="G595" i="46"/>
  <c r="I595" i="46"/>
  <c r="I703" i="46"/>
  <c r="G703" i="46"/>
  <c r="I641" i="46"/>
  <c r="G641" i="46"/>
  <c r="G670" i="46"/>
  <c r="H670" i="46" s="1"/>
  <c r="I492" i="46"/>
  <c r="G492" i="46"/>
  <c r="G889" i="46"/>
  <c r="I379" i="46"/>
  <c r="G379" i="46"/>
  <c r="G324" i="46"/>
  <c r="I324" i="46"/>
  <c r="G617" i="46"/>
  <c r="H617" i="46" s="1"/>
  <c r="I617" i="46"/>
  <c r="G784" i="46"/>
  <c r="I784" i="46"/>
  <c r="G437" i="46"/>
  <c r="G137" i="46"/>
  <c r="G30" i="46"/>
  <c r="G984" i="46"/>
  <c r="G921" i="46"/>
  <c r="G586" i="46"/>
  <c r="G21" i="46"/>
  <c r="I173" i="46"/>
  <c r="G173" i="46"/>
  <c r="I594" i="46"/>
  <c r="G594" i="46"/>
  <c r="I481" i="46"/>
  <c r="G481" i="46"/>
  <c r="I453" i="46"/>
  <c r="G453" i="46"/>
  <c r="I838" i="46"/>
  <c r="G838" i="46"/>
  <c r="I434" i="46"/>
  <c r="G434" i="46"/>
  <c r="G393" i="46"/>
  <c r="I205" i="46"/>
  <c r="G205" i="46"/>
  <c r="G313" i="46"/>
  <c r="I313" i="46"/>
  <c r="I816" i="46"/>
  <c r="G816" i="46"/>
  <c r="G782" i="46"/>
  <c r="H782" i="46" s="1"/>
  <c r="I782" i="46"/>
  <c r="I20" i="46"/>
  <c r="G20" i="46"/>
  <c r="G86" i="46"/>
  <c r="I86" i="46"/>
  <c r="I157" i="46"/>
  <c r="G157" i="46"/>
  <c r="I190" i="46"/>
  <c r="G190" i="46"/>
  <c r="I544" i="46"/>
  <c r="G544" i="46"/>
  <c r="G824" i="46"/>
  <c r="H824" i="46" s="1"/>
  <c r="I824" i="46"/>
  <c r="I299" i="46"/>
  <c r="G299" i="46"/>
  <c r="I349" i="46"/>
  <c r="G349" i="46"/>
  <c r="I37" i="46"/>
  <c r="G37" i="46"/>
  <c r="I261" i="46"/>
  <c r="G261" i="46"/>
  <c r="G411" i="46"/>
  <c r="G758" i="46"/>
  <c r="I71" i="46"/>
  <c r="G71" i="46"/>
  <c r="I185" i="46"/>
  <c r="G185" i="46"/>
  <c r="I60" i="46"/>
  <c r="G60" i="46"/>
  <c r="I567" i="46"/>
  <c r="G567" i="46"/>
  <c r="I752" i="46"/>
  <c r="G752" i="46"/>
  <c r="I794" i="46"/>
  <c r="G794" i="46"/>
  <c r="I180" i="46"/>
  <c r="G180" i="46"/>
  <c r="I622" i="46"/>
  <c r="G622" i="46"/>
  <c r="H622" i="46" s="1"/>
  <c r="I306" i="46"/>
  <c r="G306" i="46"/>
  <c r="I231" i="46"/>
  <c r="G231" i="46"/>
  <c r="I364" i="46"/>
  <c r="G364" i="46"/>
  <c r="I392" i="46"/>
  <c r="G392" i="46"/>
  <c r="G601" i="46"/>
  <c r="I601" i="46"/>
  <c r="I466" i="46"/>
  <c r="G466" i="46"/>
  <c r="I284" i="46"/>
  <c r="G284" i="46"/>
  <c r="G516" i="46"/>
  <c r="I516" i="46"/>
  <c r="I491" i="46"/>
  <c r="G491" i="46"/>
  <c r="I400" i="46"/>
  <c r="G400" i="46"/>
  <c r="G500" i="46"/>
  <c r="I500" i="46"/>
  <c r="I74" i="46"/>
  <c r="G74" i="46"/>
  <c r="I104" i="46"/>
  <c r="G104" i="46"/>
  <c r="I506" i="46"/>
  <c r="G506" i="46"/>
  <c r="I448" i="46"/>
  <c r="G448" i="46"/>
  <c r="I652" i="46"/>
  <c r="G652" i="46"/>
  <c r="I518" i="46"/>
  <c r="G518" i="46"/>
  <c r="I304" i="46"/>
  <c r="G304" i="46"/>
  <c r="I765" i="46"/>
  <c r="G765" i="46"/>
  <c r="I486" i="46"/>
  <c r="G486" i="46"/>
  <c r="G48" i="46"/>
  <c r="I48" i="46"/>
  <c r="I412" i="46"/>
  <c r="G412" i="46"/>
  <c r="G222" i="46"/>
  <c r="I5" i="46"/>
  <c r="G5" i="46"/>
  <c r="G226" i="46"/>
  <c r="I367" i="46"/>
  <c r="G367" i="46"/>
  <c r="I394" i="46"/>
  <c r="G394" i="46"/>
  <c r="G479" i="46"/>
  <c r="I479" i="46"/>
  <c r="G460" i="46"/>
  <c r="G760" i="46"/>
  <c r="G7" i="46"/>
  <c r="G148" i="46"/>
  <c r="G88" i="46"/>
  <c r="G441" i="46"/>
  <c r="G764" i="46"/>
  <c r="G902" i="46"/>
  <c r="G919" i="46"/>
  <c r="G923" i="46"/>
  <c r="G894" i="46"/>
  <c r="G1003" i="46"/>
  <c r="G974" i="46"/>
  <c r="G890" i="46"/>
  <c r="G870" i="46"/>
  <c r="G846" i="46"/>
  <c r="G300" i="46"/>
  <c r="G873" i="46"/>
  <c r="H873" i="46" s="1"/>
  <c r="I22" i="46"/>
  <c r="G22" i="46"/>
  <c r="G598" i="46"/>
  <c r="I511" i="46"/>
  <c r="G511" i="46"/>
  <c r="I528" i="46"/>
  <c r="G528" i="46"/>
  <c r="I308" i="46"/>
  <c r="G308" i="46"/>
  <c r="G676" i="46"/>
  <c r="I676" i="46"/>
  <c r="I483" i="46"/>
  <c r="G483" i="46"/>
  <c r="I275" i="46"/>
  <c r="G275" i="46"/>
  <c r="I656" i="46"/>
  <c r="G656" i="46"/>
  <c r="G700" i="46"/>
  <c r="I700" i="46"/>
  <c r="I291" i="46"/>
  <c r="G291" i="46"/>
  <c r="H291" i="46" s="1"/>
  <c r="I522" i="46"/>
  <c r="G522" i="46"/>
  <c r="I248" i="46"/>
  <c r="G248" i="46"/>
  <c r="I210" i="46"/>
  <c r="G210" i="46"/>
  <c r="I557" i="46"/>
  <c r="G557" i="46"/>
  <c r="I351" i="46"/>
  <c r="G351" i="46"/>
  <c r="I333" i="46"/>
  <c r="G333" i="46"/>
  <c r="I294" i="46"/>
  <c r="G294" i="46"/>
  <c r="G135" i="46"/>
  <c r="G538" i="46"/>
  <c r="G456" i="46"/>
  <c r="G616" i="46"/>
  <c r="G408" i="46"/>
  <c r="G297" i="46"/>
  <c r="I96" i="46"/>
  <c r="G96" i="46"/>
  <c r="I646" i="46"/>
  <c r="G646" i="46"/>
  <c r="I508" i="46"/>
  <c r="G508" i="46"/>
  <c r="G407" i="46"/>
  <c r="I354" i="46"/>
  <c r="G354" i="46"/>
  <c r="G674" i="46"/>
  <c r="H674" i="46" s="1"/>
  <c r="G936" i="46"/>
  <c r="G843" i="46"/>
  <c r="G994" i="46"/>
  <c r="G978" i="46"/>
  <c r="G975" i="46"/>
  <c r="G885" i="46"/>
  <c r="G925" i="46"/>
  <c r="G875" i="46"/>
  <c r="H875" i="46" s="1"/>
  <c r="G342" i="46"/>
  <c r="G99" i="46"/>
  <c r="G663" i="46"/>
  <c r="H663" i="46" s="1"/>
  <c r="G97" i="46"/>
  <c r="G197" i="46"/>
  <c r="G241" i="46"/>
  <c r="G415" i="46"/>
  <c r="G413" i="46"/>
  <c r="G252" i="46"/>
  <c r="G882" i="46"/>
  <c r="I295" i="46"/>
  <c r="G295" i="46"/>
  <c r="I9" i="46"/>
  <c r="G9" i="46"/>
  <c r="I837" i="46"/>
  <c r="G837" i="46"/>
  <c r="G69" i="46"/>
  <c r="I69" i="46"/>
  <c r="I447" i="46"/>
  <c r="G447" i="46"/>
  <c r="G341" i="46"/>
  <c r="I341" i="46"/>
  <c r="I606" i="46"/>
  <c r="G606" i="46"/>
  <c r="G167" i="46"/>
  <c r="I167" i="46"/>
  <c r="G443" i="46"/>
  <c r="I443" i="46"/>
  <c r="I465" i="46"/>
  <c r="G465" i="46"/>
  <c r="I576" i="46"/>
  <c r="G576" i="46"/>
  <c r="I756" i="46"/>
  <c r="G756" i="46"/>
  <c r="I635" i="46"/>
  <c r="G635" i="46"/>
  <c r="H635" i="46" s="1"/>
  <c r="I739" i="46"/>
  <c r="G739" i="46"/>
  <c r="I218" i="46"/>
  <c r="G218" i="46"/>
  <c r="I571" i="46"/>
  <c r="G571" i="46"/>
  <c r="I573" i="46"/>
  <c r="G573" i="46"/>
  <c r="G666" i="46"/>
  <c r="H666" i="46" s="1"/>
  <c r="G747" i="46"/>
  <c r="G181" i="46"/>
  <c r="G733" i="46"/>
  <c r="H733" i="46" s="1"/>
  <c r="G143" i="46"/>
  <c r="G42" i="46"/>
  <c r="G826" i="46"/>
  <c r="G542" i="46"/>
  <c r="I476" i="46"/>
  <c r="G476" i="46"/>
  <c r="G478" i="46"/>
  <c r="I478" i="46"/>
  <c r="I10" i="46"/>
  <c r="G10" i="46"/>
  <c r="G399" i="46"/>
  <c r="I399" i="46"/>
  <c r="I211" i="46"/>
  <c r="G211" i="46"/>
  <c r="I93" i="46"/>
  <c r="G93" i="46"/>
  <c r="I627" i="46"/>
  <c r="G627" i="46"/>
  <c r="H627" i="46" s="1"/>
  <c r="I589" i="46"/>
  <c r="G589" i="46"/>
  <c r="I545" i="46"/>
  <c r="G545" i="46"/>
  <c r="I381" i="46"/>
  <c r="G381" i="46"/>
  <c r="G140" i="46"/>
  <c r="I140" i="46"/>
  <c r="I817" i="46"/>
  <c r="G817" i="46"/>
  <c r="I382" i="46"/>
  <c r="G382" i="46"/>
  <c r="H382" i="46" s="1"/>
  <c r="I821" i="46"/>
  <c r="G821" i="46"/>
  <c r="I328" i="46"/>
  <c r="G328" i="46"/>
  <c r="G267" i="46"/>
  <c r="I267" i="46"/>
  <c r="I833" i="46"/>
  <c r="G833" i="46"/>
  <c r="I49" i="46"/>
  <c r="G49" i="46"/>
  <c r="I580" i="46"/>
  <c r="G580" i="46"/>
  <c r="I166" i="46"/>
  <c r="G166" i="46"/>
  <c r="I804" i="46"/>
  <c r="G804" i="46"/>
  <c r="I257" i="46"/>
  <c r="G257" i="46"/>
  <c r="I619" i="46"/>
  <c r="G619" i="46"/>
  <c r="H619" i="46" s="1"/>
  <c r="I220" i="46"/>
  <c r="G220" i="46"/>
  <c r="I785" i="46"/>
  <c r="G785" i="46"/>
  <c r="I767" i="46"/>
  <c r="G767" i="46"/>
  <c r="I551" i="46"/>
  <c r="G551" i="46"/>
  <c r="G272" i="46"/>
  <c r="I325" i="46"/>
  <c r="G325" i="46"/>
  <c r="G322" i="46"/>
  <c r="I322" i="46"/>
  <c r="I259" i="46"/>
  <c r="G259" i="46"/>
  <c r="G35" i="46"/>
  <c r="G743" i="46"/>
  <c r="G509" i="46"/>
  <c r="G715" i="46"/>
  <c r="G114" i="46"/>
  <c r="G523" i="46"/>
  <c r="G860" i="46"/>
  <c r="G937" i="46"/>
  <c r="G951" i="46"/>
  <c r="G896" i="46"/>
  <c r="G891" i="46"/>
  <c r="H891" i="46" s="1"/>
  <c r="G887" i="46"/>
  <c r="G960" i="46"/>
  <c r="G867" i="46"/>
  <c r="G930" i="46"/>
  <c r="G633" i="46"/>
  <c r="G556" i="46"/>
  <c r="H6" i="46" l="1"/>
  <c r="H7" i="46"/>
  <c r="H942" i="46"/>
  <c r="H831" i="46"/>
  <c r="H89" i="46"/>
  <c r="H769" i="46"/>
  <c r="H39" i="46"/>
  <c r="H129" i="46"/>
  <c r="H908" i="46"/>
  <c r="H482" i="46"/>
  <c r="H164" i="46"/>
  <c r="H350" i="46"/>
  <c r="H150" i="46"/>
  <c r="H500" i="46"/>
  <c r="H529" i="46"/>
  <c r="H523" i="46"/>
  <c r="H328" i="46"/>
  <c r="H516" i="46"/>
  <c r="H354" i="46"/>
  <c r="H349" i="46"/>
  <c r="H917" i="46"/>
  <c r="H453" i="46"/>
  <c r="H298" i="46"/>
  <c r="H435" i="46"/>
  <c r="H181" i="46"/>
  <c r="H220" i="46"/>
  <c r="H333" i="46"/>
  <c r="H652" i="46"/>
  <c r="H816" i="46"/>
  <c r="H687" i="46"/>
  <c r="H899" i="46"/>
  <c r="H826" i="46"/>
  <c r="H761" i="46"/>
  <c r="H724" i="46"/>
  <c r="H748" i="46"/>
  <c r="H1001" i="46"/>
  <c r="H564" i="46"/>
  <c r="H597" i="46"/>
  <c r="H36" i="46"/>
  <c r="H426" i="46"/>
  <c r="H51" i="46"/>
  <c r="H170" i="46"/>
  <c r="H980" i="46"/>
  <c r="H118" i="46"/>
  <c r="H479" i="46"/>
  <c r="H594" i="46"/>
  <c r="H981" i="46"/>
  <c r="H574" i="46"/>
  <c r="H731" i="46"/>
  <c r="H267" i="46"/>
  <c r="H518" i="46"/>
  <c r="H180" i="46"/>
  <c r="H37" i="46"/>
  <c r="H889" i="46"/>
  <c r="H940" i="46"/>
  <c r="H242" i="46"/>
  <c r="H860" i="46"/>
  <c r="H492" i="46"/>
  <c r="H539" i="46"/>
  <c r="H979" i="46"/>
  <c r="H599" i="46"/>
  <c r="H846" i="46"/>
  <c r="H114" i="46"/>
  <c r="H715" i="46"/>
  <c r="H252" i="46"/>
  <c r="H284" i="46"/>
  <c r="H907" i="46"/>
  <c r="H896" i="46"/>
  <c r="H452" i="46"/>
  <c r="H300" i="46"/>
  <c r="H870" i="46"/>
  <c r="H509" i="46"/>
  <c r="H592" i="46"/>
  <c r="H161" i="46"/>
  <c r="H747" i="46"/>
  <c r="H275" i="46"/>
  <c r="H173" i="46"/>
  <c r="H367" i="46"/>
  <c r="H573" i="46"/>
  <c r="H610" i="46"/>
  <c r="H456" i="46"/>
  <c r="H394" i="46"/>
  <c r="H93" i="46"/>
  <c r="H890" i="46"/>
  <c r="H794" i="46"/>
  <c r="H893" i="46"/>
  <c r="H413" i="46"/>
  <c r="H247" i="46"/>
  <c r="H975" i="46"/>
  <c r="H785" i="46"/>
  <c r="H882" i="46"/>
  <c r="H821" i="46"/>
  <c r="H483" i="46"/>
  <c r="H22" i="46"/>
  <c r="H936" i="46"/>
  <c r="H443" i="46"/>
  <c r="H211" i="46"/>
  <c r="H351" i="46"/>
  <c r="H57" i="46"/>
  <c r="H193" i="46"/>
  <c r="H243" i="46"/>
  <c r="H963" i="46"/>
  <c r="H707" i="46"/>
  <c r="H767" i="46"/>
  <c r="H576" i="46"/>
  <c r="H9" i="46"/>
  <c r="H978" i="46"/>
  <c r="H538" i="46"/>
  <c r="H760" i="46"/>
  <c r="H765" i="46"/>
  <c r="H400" i="46"/>
  <c r="H306" i="46"/>
  <c r="H758" i="46"/>
  <c r="H547" i="46"/>
  <c r="H946" i="46"/>
  <c r="H858" i="46"/>
  <c r="H321" i="46"/>
  <c r="H951" i="46"/>
  <c r="H833" i="46"/>
  <c r="H589" i="46"/>
  <c r="H42" i="46"/>
  <c r="H937" i="46"/>
  <c r="H143" i="46"/>
  <c r="H994" i="46"/>
  <c r="H135" i="46"/>
  <c r="H700" i="46"/>
  <c r="H460" i="46"/>
  <c r="H411" i="46"/>
  <c r="H86" i="46"/>
  <c r="H481" i="46"/>
  <c r="H324" i="46"/>
  <c r="H540" i="46"/>
  <c r="H465" i="46"/>
  <c r="H295" i="46"/>
  <c r="H843" i="46"/>
  <c r="H294" i="46"/>
  <c r="H656" i="46"/>
  <c r="H304" i="46"/>
  <c r="H491" i="46"/>
  <c r="H261" i="46"/>
  <c r="H20" i="46"/>
  <c r="H379" i="46"/>
  <c r="P4" i="46"/>
  <c r="M4" i="46"/>
  <c r="N4" i="46"/>
  <c r="O4" i="46"/>
  <c r="H371" i="46"/>
  <c r="H120" i="46"/>
  <c r="H418" i="46"/>
  <c r="H494" i="46"/>
  <c r="H467" i="46"/>
  <c r="H901" i="46"/>
  <c r="H859" i="46"/>
  <c r="H754" i="46"/>
  <c r="H168" i="46"/>
  <c r="H521" i="46"/>
  <c r="H543" i="46"/>
  <c r="H362" i="46"/>
  <c r="H583" i="46"/>
  <c r="H577" i="46"/>
  <c r="H52" i="46"/>
  <c r="H464" i="46"/>
  <c r="H141" i="46"/>
  <c r="H442" i="46"/>
  <c r="H755" i="46"/>
  <c r="H47" i="46"/>
  <c r="H144" i="46"/>
  <c r="H477" i="46"/>
  <c r="H34" i="46"/>
  <c r="H912" i="46"/>
  <c r="H287" i="46"/>
  <c r="H900" i="46"/>
  <c r="H113" i="46"/>
  <c r="H266" i="46"/>
  <c r="H332" i="46"/>
  <c r="H235" i="46"/>
  <c r="H182" i="46"/>
  <c r="H454" i="46"/>
  <c r="H801" i="46"/>
  <c r="H288" i="46"/>
  <c r="H823" i="46"/>
  <c r="H546" i="46"/>
  <c r="H745" i="46"/>
  <c r="H111" i="46"/>
  <c r="H55" i="46"/>
  <c r="H915" i="46"/>
  <c r="H605" i="46"/>
  <c r="H855" i="46"/>
  <c r="H938" i="46"/>
  <c r="H85" i="46"/>
  <c r="H977" i="46"/>
  <c r="H618" i="46"/>
  <c r="H916" i="46"/>
  <c r="H38" i="46"/>
  <c r="H195" i="46"/>
  <c r="H469" i="46"/>
  <c r="H221" i="46"/>
  <c r="H933" i="46"/>
  <c r="H200" i="46"/>
  <c r="H997" i="46"/>
  <c r="H246" i="46"/>
  <c r="H356" i="46"/>
  <c r="H65" i="46"/>
  <c r="H913" i="46"/>
  <c r="H581" i="46"/>
  <c r="H716" i="46"/>
  <c r="H929" i="46"/>
  <c r="H514" i="46"/>
  <c r="H905" i="46"/>
  <c r="H828" i="46"/>
  <c r="H423" i="46"/>
  <c r="H58" i="46"/>
  <c r="H424" i="46"/>
  <c r="H387" i="46"/>
  <c r="H174" i="46"/>
  <c r="H427" i="46"/>
  <c r="H713" i="46"/>
  <c r="H995" i="46"/>
  <c r="H59" i="46"/>
  <c r="H883" i="46"/>
  <c r="H147" i="46"/>
  <c r="H189" i="46"/>
  <c r="H323" i="46"/>
  <c r="H475" i="46"/>
  <c r="H230" i="46"/>
  <c r="H270" i="46"/>
  <c r="H375" i="46"/>
  <c r="H974" i="46"/>
  <c r="H21" i="46"/>
  <c r="H122" i="46"/>
  <c r="H863" i="46"/>
  <c r="H563" i="46"/>
  <c r="H283" i="46"/>
  <c r="H844" i="46"/>
  <c r="H296" i="46"/>
  <c r="H762" i="46"/>
  <c r="H721" i="46"/>
  <c r="H461" i="46"/>
  <c r="H414" i="46"/>
  <c r="H390" i="46"/>
  <c r="H829" i="46"/>
  <c r="H935" i="46"/>
  <c r="H451" i="46"/>
  <c r="H336" i="46"/>
  <c r="H154" i="46"/>
  <c r="H175" i="46"/>
  <c r="H91" i="46"/>
  <c r="H487" i="46"/>
  <c r="H954" i="46"/>
  <c r="H19" i="46"/>
  <c r="H493" i="46"/>
  <c r="H795" i="46"/>
  <c r="H281" i="46"/>
  <c r="H729" i="46"/>
  <c r="H409" i="46"/>
  <c r="H167" i="46"/>
  <c r="H257" i="46"/>
  <c r="H241" i="46"/>
  <c r="H466" i="46"/>
  <c r="H752" i="46"/>
  <c r="H299" i="46"/>
  <c r="H586" i="46"/>
  <c r="H641" i="46"/>
  <c r="H80" i="46"/>
  <c r="H363" i="46"/>
  <c r="H614" i="46"/>
  <c r="H728" i="46"/>
  <c r="H228" i="46"/>
  <c r="H438" i="46"/>
  <c r="H457" i="46"/>
  <c r="H744" i="46"/>
  <c r="H262" i="46"/>
  <c r="H836" i="46"/>
  <c r="H27" i="46"/>
  <c r="H369" i="46"/>
  <c r="H8" i="46"/>
  <c r="H285" i="46"/>
  <c r="H229" i="46"/>
  <c r="H339" i="46"/>
  <c r="H158" i="46"/>
  <c r="H429" i="46"/>
  <c r="H809" i="46"/>
  <c r="H440" i="46"/>
  <c r="H928" i="46"/>
  <c r="H798" i="46"/>
  <c r="H945" i="46"/>
  <c r="H201" i="46"/>
  <c r="H265" i="46"/>
  <c r="H678" i="46"/>
  <c r="H815" i="46"/>
  <c r="H420" i="46"/>
  <c r="H865" i="46"/>
  <c r="H768" i="46"/>
  <c r="H286" i="46"/>
  <c r="H309" i="46"/>
  <c r="H512" i="46"/>
  <c r="H449" i="46"/>
  <c r="H358" i="46"/>
  <c r="H90" i="46"/>
  <c r="H238" i="46"/>
  <c r="H572" i="46"/>
  <c r="H1003" i="46"/>
  <c r="H676" i="46"/>
  <c r="H556" i="46"/>
  <c r="H97" i="46"/>
  <c r="H567" i="46"/>
  <c r="H205" i="46"/>
  <c r="H984" i="46"/>
  <c r="H703" i="46"/>
  <c r="H293" i="46"/>
  <c r="H315" i="46"/>
  <c r="H611" i="46"/>
  <c r="H244" i="46"/>
  <c r="H219" i="46"/>
  <c r="H445" i="46"/>
  <c r="H505" i="46"/>
  <c r="H428" i="46"/>
  <c r="H133" i="46"/>
  <c r="H53" i="46"/>
  <c r="H688" i="46"/>
  <c r="H307" i="46"/>
  <c r="H814" i="46"/>
  <c r="H727" i="46"/>
  <c r="H587" i="46"/>
  <c r="H236" i="46"/>
  <c r="H787" i="46"/>
  <c r="H740" i="46"/>
  <c r="H927" i="46"/>
  <c r="H956" i="46"/>
  <c r="H722" i="46"/>
  <c r="H338" i="46"/>
  <c r="H401" i="46"/>
  <c r="H152" i="46"/>
  <c r="H119" i="46"/>
  <c r="H254" i="46"/>
  <c r="H305" i="46"/>
  <c r="H504" i="46"/>
  <c r="H857" i="46"/>
  <c r="H340" i="46"/>
  <c r="H145" i="46"/>
  <c r="H868" i="46"/>
  <c r="H260" i="46"/>
  <c r="H109" i="46"/>
  <c r="H691" i="46"/>
  <c r="H612" i="46"/>
  <c r="H317" i="46"/>
  <c r="H425" i="46"/>
  <c r="H604" i="46"/>
  <c r="H334" i="46"/>
  <c r="H191" i="46"/>
  <c r="H320" i="46"/>
  <c r="H395" i="46"/>
  <c r="H215" i="46"/>
  <c r="H124" i="46"/>
  <c r="H95" i="46"/>
  <c r="H944" i="46"/>
  <c r="H389" i="46"/>
  <c r="H178" i="46"/>
  <c r="H102" i="46"/>
  <c r="H12" i="46"/>
  <c r="H914" i="46"/>
  <c r="H209" i="46"/>
  <c r="H203" i="46"/>
  <c r="H183" i="46"/>
  <c r="H474" i="46"/>
  <c r="H125" i="46"/>
  <c r="H156" i="46"/>
  <c r="H282" i="46"/>
  <c r="H98" i="46"/>
  <c r="H503" i="46"/>
  <c r="H271" i="46"/>
  <c r="H67" i="46"/>
  <c r="H677" i="46"/>
  <c r="H431" i="46"/>
  <c r="H648" i="46"/>
  <c r="H16" i="46"/>
  <c r="H906" i="46"/>
  <c r="H33" i="46"/>
  <c r="H204" i="46"/>
  <c r="H596" i="46"/>
  <c r="H485" i="46"/>
  <c r="H276" i="46"/>
  <c r="H302" i="46"/>
  <c r="H723" i="46"/>
  <c r="H407" i="46"/>
  <c r="H557" i="46"/>
  <c r="H399" i="46"/>
  <c r="H817" i="46"/>
  <c r="H10" i="46"/>
  <c r="H308" i="46"/>
  <c r="H222" i="46"/>
  <c r="H30" i="46"/>
  <c r="H322" i="46"/>
  <c r="H902" i="46"/>
  <c r="H392" i="46"/>
  <c r="H393" i="46"/>
  <c r="H137" i="46"/>
  <c r="H697" i="46"/>
  <c r="H811" i="46"/>
  <c r="H17" i="46"/>
  <c r="H329" i="46"/>
  <c r="H763" i="46"/>
  <c r="H139" i="46"/>
  <c r="H600" i="46"/>
  <c r="H123" i="46"/>
  <c r="H368" i="46"/>
  <c r="H949" i="46"/>
  <c r="H918" i="46"/>
  <c r="H372" i="46"/>
  <c r="H1000" i="46"/>
  <c r="H585" i="46"/>
  <c r="H993" i="46"/>
  <c r="H699" i="46"/>
  <c r="H18" i="46"/>
  <c r="H198" i="46"/>
  <c r="H15" i="46"/>
  <c r="H973" i="46"/>
  <c r="H403" i="46"/>
  <c r="H644" i="46"/>
  <c r="H280" i="46"/>
  <c r="H398" i="46"/>
  <c r="H397" i="46"/>
  <c r="H561" i="46"/>
  <c r="H759" i="46"/>
  <c r="H121" i="46"/>
  <c r="H160" i="46"/>
  <c r="H658" i="46"/>
  <c r="H832" i="46"/>
  <c r="H926" i="46"/>
  <c r="H664" i="46"/>
  <c r="H777" i="46"/>
  <c r="H50" i="46"/>
  <c r="H575" i="46"/>
  <c r="H45" i="46"/>
  <c r="H743" i="46"/>
  <c r="H226" i="46"/>
  <c r="H259" i="46"/>
  <c r="H804" i="46"/>
  <c r="H506" i="46"/>
  <c r="H66" i="46"/>
  <c r="H166" i="46"/>
  <c r="H248" i="46"/>
  <c r="H519" i="46"/>
  <c r="H331" i="46"/>
  <c r="H78" i="46"/>
  <c r="H264" i="46"/>
  <c r="H920" i="46"/>
  <c r="H607" i="46"/>
  <c r="H932" i="46"/>
  <c r="H911" i="46"/>
  <c r="H665" i="46"/>
  <c r="H489" i="46"/>
  <c r="H250" i="46"/>
  <c r="H498" i="46"/>
  <c r="H415" i="46"/>
  <c r="H35" i="46"/>
  <c r="H508" i="46"/>
  <c r="H921" i="46"/>
  <c r="H646" i="46"/>
  <c r="H210" i="46"/>
  <c r="H919" i="46"/>
  <c r="H930" i="46"/>
  <c r="H447" i="46"/>
  <c r="H528" i="46"/>
  <c r="H544" i="46"/>
  <c r="H527" i="46"/>
  <c r="H650" i="46"/>
  <c r="H480" i="46"/>
  <c r="H325" i="46"/>
  <c r="H140" i="46"/>
  <c r="H342" i="46"/>
  <c r="H595" i="46"/>
  <c r="H558" i="46"/>
  <c r="H172" i="46"/>
  <c r="H115" i="46"/>
  <c r="H381" i="46"/>
  <c r="H297" i="46"/>
  <c r="H441" i="46"/>
  <c r="H364" i="46"/>
  <c r="H185" i="46"/>
  <c r="H190" i="46"/>
  <c r="H800" i="46"/>
  <c r="H998" i="46"/>
  <c r="H958" i="46"/>
  <c r="H277" i="46"/>
  <c r="H962" i="46"/>
  <c r="H217" i="46"/>
  <c r="H848" i="46"/>
  <c r="H101" i="46"/>
  <c r="H909" i="46"/>
  <c r="H303" i="46"/>
  <c r="H725" i="46"/>
  <c r="H207" i="46"/>
  <c r="H268" i="46"/>
  <c r="H319" i="46"/>
  <c r="H177" i="46"/>
  <c r="H734" i="46"/>
  <c r="H224" i="46"/>
  <c r="H458" i="46"/>
  <c r="H738" i="46"/>
  <c r="H788" i="46"/>
  <c r="H606" i="46"/>
  <c r="H894" i="46"/>
  <c r="H5" i="46"/>
  <c r="H380" i="46"/>
  <c r="H484" i="46"/>
  <c r="H253" i="46"/>
  <c r="H779" i="46"/>
  <c r="H876" i="46"/>
  <c r="H708" i="46"/>
  <c r="H218" i="46"/>
  <c r="H633" i="46"/>
  <c r="H601" i="46"/>
  <c r="H374" i="46"/>
  <c r="H867" i="46"/>
  <c r="H478" i="46"/>
  <c r="H434" i="46"/>
  <c r="H353" i="46"/>
  <c r="H314" i="46"/>
  <c r="H960" i="46"/>
  <c r="H522" i="46"/>
  <c r="H74" i="46"/>
  <c r="H802" i="46"/>
  <c r="H439" i="46"/>
  <c r="H330" i="46"/>
  <c r="H232" i="46"/>
  <c r="H402" i="46"/>
  <c r="H273" i="46"/>
  <c r="H808" i="46"/>
  <c r="H536" i="46"/>
  <c r="H719" i="46"/>
  <c r="H631" i="46"/>
  <c r="H327" i="46"/>
  <c r="H571" i="46"/>
  <c r="H448" i="46"/>
  <c r="H197" i="46"/>
  <c r="H313" i="46"/>
  <c r="H923" i="46"/>
  <c r="H341" i="46"/>
  <c r="H702" i="46"/>
  <c r="H739" i="46"/>
  <c r="H99" i="46"/>
  <c r="H96" i="46"/>
  <c r="H412" i="46"/>
  <c r="H104" i="46"/>
  <c r="H60" i="46"/>
  <c r="H672" i="46"/>
  <c r="H526" i="46"/>
  <c r="H471" i="46"/>
  <c r="H750" i="46"/>
  <c r="H764" i="46"/>
  <c r="H437" i="46"/>
  <c r="H348" i="46"/>
  <c r="H806" i="46"/>
  <c r="H580" i="46"/>
  <c r="H476" i="46"/>
  <c r="H511" i="46"/>
  <c r="H961" i="46"/>
  <c r="H559" i="46"/>
  <c r="H72" i="46"/>
  <c r="H551" i="46"/>
  <c r="H49" i="46"/>
  <c r="H545" i="46"/>
  <c r="H542" i="46"/>
  <c r="H756" i="46"/>
  <c r="H837" i="46"/>
  <c r="H885" i="46"/>
  <c r="H616" i="46"/>
  <c r="H598" i="46"/>
  <c r="H148" i="46"/>
  <c r="H486" i="46"/>
  <c r="H231" i="46"/>
  <c r="H71" i="46"/>
  <c r="H157" i="46"/>
  <c r="H569" i="46"/>
  <c r="H31" i="46"/>
  <c r="H396" i="46"/>
  <c r="H952" i="46"/>
  <c r="H311" i="46"/>
  <c r="H255" i="46"/>
  <c r="H149" i="46"/>
  <c r="H602" i="46"/>
  <c r="H64" i="46"/>
  <c r="H717" i="46"/>
  <c r="H849" i="46"/>
  <c r="H736" i="46"/>
  <c r="H884" i="46"/>
  <c r="H249" i="46"/>
  <c r="H29" i="46"/>
  <c r="H105" i="46"/>
  <c r="H106" i="46"/>
  <c r="H108" i="46"/>
  <c r="H847" i="46"/>
  <c r="H14" i="46"/>
  <c r="H25" i="46"/>
  <c r="H982" i="46"/>
  <c r="H312" i="46"/>
  <c r="H54" i="46"/>
  <c r="H501" i="46"/>
  <c r="H886" i="46"/>
  <c r="H405" i="46"/>
  <c r="H856" i="46"/>
  <c r="H490" i="46"/>
  <c r="H812" i="46"/>
  <c r="H391" i="46"/>
  <c r="H497" i="46"/>
  <c r="H430" i="46"/>
  <c r="H43" i="46"/>
  <c r="H701" i="46"/>
  <c r="H237" i="46"/>
  <c r="H61" i="46"/>
  <c r="H653" i="46"/>
  <c r="H462" i="46"/>
  <c r="H793" i="46"/>
  <c r="H985" i="46"/>
  <c r="H11" i="46"/>
  <c r="H534" i="46"/>
  <c r="H904" i="46"/>
  <c r="H432" i="46"/>
  <c r="H455" i="46"/>
  <c r="H971" i="46"/>
  <c r="H718" i="46"/>
  <c r="H335" i="46"/>
  <c r="H151" i="46"/>
  <c r="H142" i="46"/>
  <c r="H468" i="46"/>
  <c r="H32" i="46"/>
  <c r="H839" i="46"/>
  <c r="H357" i="46"/>
  <c r="H746" i="46"/>
  <c r="H377" i="46"/>
  <c r="H289" i="46"/>
  <c r="H862" i="46"/>
  <c r="H208" i="46"/>
  <c r="H79" i="46"/>
  <c r="H130" i="46"/>
  <c r="H714" i="46"/>
  <c r="H450" i="46"/>
  <c r="H968" i="46"/>
  <c r="H871" i="46"/>
  <c r="H422" i="46"/>
  <c r="H165" i="46"/>
  <c r="H517" i="46"/>
  <c r="H24" i="46"/>
  <c r="H524" i="46"/>
  <c r="H681" i="46"/>
  <c r="H730" i="46"/>
  <c r="H278" i="46"/>
  <c r="H780" i="46"/>
  <c r="H579" i="46"/>
  <c r="H459" i="46"/>
  <c r="H513" i="46"/>
  <c r="H421" i="46"/>
  <c r="H931" i="46"/>
  <c r="H647" i="46"/>
  <c r="H636" i="46"/>
  <c r="H590" i="46"/>
  <c r="H213" i="46"/>
  <c r="H705" i="46"/>
  <c r="H263" i="46"/>
  <c r="H186" i="46"/>
  <c r="H417" i="46"/>
  <c r="H136" i="46"/>
  <c r="H176" i="46"/>
  <c r="H488" i="46"/>
  <c r="H830" i="46"/>
  <c r="H100" i="46"/>
  <c r="H869" i="46"/>
  <c r="H301" i="46"/>
  <c r="H972" i="46"/>
  <c r="H805" i="46"/>
  <c r="H234" i="46"/>
  <c r="H834" i="46"/>
  <c r="H360" i="46"/>
  <c r="H959" i="46"/>
  <c r="H840" i="46"/>
  <c r="H128" i="46"/>
  <c r="H983" i="46"/>
  <c r="H657" i="46"/>
  <c r="H957" i="46"/>
  <c r="H967" i="46"/>
  <c r="H77" i="46"/>
  <c r="H609" i="46"/>
  <c r="H345" i="46"/>
  <c r="H169" i="46"/>
  <c r="H775" i="46"/>
  <c r="H541" i="46"/>
  <c r="H344" i="46"/>
  <c r="H903" i="46"/>
  <c r="H866" i="46"/>
  <c r="H388" i="46"/>
  <c r="H23" i="46"/>
  <c r="H720" i="46"/>
  <c r="H710" i="46"/>
  <c r="H162" i="46"/>
  <c r="H346" i="46"/>
  <c r="H251" i="46"/>
  <c r="H310" i="46"/>
  <c r="H510" i="46"/>
  <c r="H613" i="46"/>
  <c r="H810" i="46"/>
  <c r="H706" i="46"/>
  <c r="H194" i="46"/>
  <c r="H552" i="46"/>
  <c r="H712" i="46"/>
  <c r="H70" i="46"/>
  <c r="H525" i="46"/>
  <c r="H290" i="46"/>
  <c r="H879" i="46"/>
  <c r="H410" i="46"/>
  <c r="H950" i="46"/>
  <c r="H892" i="46"/>
  <c r="H239" i="46"/>
  <c r="H565" i="46"/>
  <c r="H640" i="46"/>
  <c r="H92" i="46"/>
  <c r="H385" i="46"/>
  <c r="H753" i="46"/>
  <c r="H316" i="46"/>
  <c r="H789" i="46"/>
  <c r="H549" i="46"/>
  <c r="H660" i="46"/>
  <c r="H851" i="46"/>
  <c r="H774" i="46"/>
  <c r="H41" i="46"/>
  <c r="H819" i="46"/>
  <c r="H365" i="46"/>
  <c r="H593" i="46"/>
  <c r="H732" i="46"/>
  <c r="H370" i="46"/>
  <c r="H416" i="46"/>
  <c r="H530" i="46"/>
  <c r="H155" i="46"/>
  <c r="H989" i="46"/>
  <c r="H76" i="46"/>
  <c r="H499" i="46"/>
  <c r="H63" i="46"/>
  <c r="H199" i="46"/>
  <c r="H225" i="46"/>
  <c r="H245" i="46"/>
  <c r="H376" i="46"/>
  <c r="H404" i="46"/>
  <c r="H842" i="46"/>
  <c r="H943" i="46"/>
  <c r="H187" i="46"/>
  <c r="H737" i="46"/>
  <c r="H603" i="46"/>
  <c r="H68" i="46"/>
  <c r="H645" i="46"/>
  <c r="H735" i="46"/>
  <c r="H852" i="46"/>
  <c r="H212" i="46"/>
  <c r="H874" i="46"/>
  <c r="H26" i="46"/>
  <c r="H419" i="46"/>
  <c r="H13" i="46"/>
  <c r="H807" i="46"/>
  <c r="H570" i="46"/>
  <c r="H835" i="46"/>
  <c r="H947" i="46"/>
  <c r="H206" i="46"/>
  <c r="H515" i="46"/>
  <c r="H470" i="46"/>
  <c r="H378" i="46"/>
  <c r="H107" i="46"/>
  <c r="H103" i="46"/>
  <c r="H347" i="46"/>
  <c r="H888" i="46"/>
  <c r="H709" i="46"/>
  <c r="H256" i="46"/>
  <c r="H651" i="46"/>
  <c r="H813" i="46"/>
  <c r="H939" i="46"/>
  <c r="H853" i="46"/>
  <c r="H555" i="46"/>
  <c r="H898" i="46"/>
  <c r="H986" i="46"/>
  <c r="H625" i="46"/>
  <c r="H436" i="46"/>
  <c r="H803" i="46"/>
  <c r="H495" i="46"/>
  <c r="H783" i="46"/>
  <c r="H786" i="46"/>
  <c r="H772" i="46"/>
  <c r="H258" i="46"/>
  <c r="H591" i="46"/>
  <c r="H131" i="46"/>
  <c r="H970" i="46"/>
  <c r="H996" i="46"/>
  <c r="H227" i="46"/>
  <c r="H742" i="46"/>
  <c r="H550" i="46"/>
  <c r="H117" i="46"/>
  <c r="H352" i="46"/>
  <c r="H649" i="46"/>
  <c r="H562" i="46"/>
  <c r="H948" i="46"/>
  <c r="H910" i="46"/>
  <c r="H992" i="46"/>
  <c r="H192" i="46"/>
  <c r="H690" i="46"/>
  <c r="H999" i="46"/>
  <c r="H444" i="46"/>
  <c r="H791" i="46"/>
  <c r="H941" i="46"/>
  <c r="H532" i="46"/>
  <c r="H40" i="46"/>
  <c r="H698" i="46"/>
  <c r="H269" i="46"/>
  <c r="H887" i="46"/>
  <c r="H272" i="46"/>
  <c r="H69" i="46"/>
  <c r="H925" i="46"/>
  <c r="H408" i="46"/>
  <c r="H88" i="46"/>
  <c r="H48" i="46"/>
  <c r="H838" i="46"/>
  <c r="H784" i="46"/>
  <c r="H274" i="46"/>
  <c r="H406" i="46"/>
  <c r="H792" i="46"/>
  <c r="H584" i="46"/>
  <c r="H537" i="46"/>
  <c r="H28" i="46"/>
  <c r="H897" i="46"/>
  <c r="H726" i="46"/>
  <c r="H964" i="46"/>
  <c r="H110" i="46"/>
  <c r="H373" i="46"/>
  <c r="H75" i="46"/>
  <c r="H781" i="46"/>
  <c r="H82" i="46"/>
  <c r="H969" i="46"/>
  <c r="H146" i="46"/>
  <c r="H318" i="46"/>
  <c r="H56" i="46"/>
  <c r="H553" i="46"/>
  <c r="H568" i="46"/>
  <c r="H608" i="46"/>
  <c r="H87" i="46"/>
  <c r="H642" i="46"/>
  <c r="H818" i="46"/>
  <c r="H1002" i="46"/>
  <c r="H223" i="46"/>
  <c r="H73" i="46"/>
  <c r="H81" i="46"/>
  <c r="H955" i="46"/>
  <c r="H386" i="46"/>
  <c r="H46" i="46"/>
  <c r="H588" i="46"/>
  <c r="H179" i="46"/>
  <c r="H778" i="46"/>
  <c r="H134" i="46"/>
  <c r="H626" i="46"/>
  <c r="H990" i="46"/>
  <c r="H976" i="46"/>
  <c r="H292" i="46"/>
  <c r="H279" i="46"/>
  <c r="H240" i="46"/>
  <c r="H841" i="46"/>
  <c r="H749" i="46"/>
  <c r="H84" i="46"/>
  <c r="H872" i="46"/>
  <c r="H159" i="46"/>
  <c r="H366" i="46"/>
  <c r="H127" i="46"/>
  <c r="H654" i="46"/>
  <c r="H502" i="46"/>
  <c r="H184" i="46"/>
  <c r="H643" i="46"/>
  <c r="H94" i="46"/>
  <c r="H864" i="46"/>
  <c r="H112" i="46"/>
  <c r="H854" i="46"/>
  <c r="H446" i="46"/>
  <c r="H326" i="46"/>
  <c r="H44" i="46"/>
  <c r="H822" i="46"/>
  <c r="H988" i="46"/>
  <c r="H361" i="46"/>
  <c r="H214" i="46"/>
  <c r="H62" i="46"/>
  <c r="H895" i="46"/>
  <c r="H934" i="46"/>
  <c r="H463" i="46"/>
  <c r="H751" i="46"/>
  <c r="H799" i="46"/>
  <c r="H924" i="46"/>
  <c r="H496" i="46"/>
  <c r="H83" i="46"/>
  <c r="H202" i="46"/>
  <c r="H163" i="46"/>
  <c r="H582" i="46"/>
  <c r="H773" i="46"/>
  <c r="H953" i="46"/>
  <c r="H548" i="46"/>
  <c r="H507" i="46"/>
  <c r="H126" i="46"/>
  <c r="H359" i="46"/>
  <c r="H987" i="46"/>
  <c r="H776" i="46"/>
  <c r="H689" i="46"/>
  <c r="H578" i="46"/>
  <c r="H233" i="46"/>
  <c r="H850" i="46"/>
  <c r="H355" i="46"/>
  <c r="H861" i="46"/>
  <c r="H116" i="46"/>
  <c r="H132" i="46"/>
  <c r="H188" i="46"/>
  <c r="L5" i="46" l="1"/>
  <c r="L18" i="46"/>
  <c r="L729" i="46"/>
  <c r="L323" i="46"/>
  <c r="L898" i="46"/>
  <c r="L995" i="46"/>
  <c r="L699" i="46"/>
  <c r="L401" i="46"/>
  <c r="L35" i="46"/>
  <c r="L15" i="46"/>
  <c r="L30" i="46"/>
  <c r="L211" i="46"/>
  <c r="L617" i="46"/>
  <c r="L490" i="46"/>
  <c r="L432" i="46"/>
  <c r="L996" i="46"/>
  <c r="L613" i="46"/>
  <c r="L420" i="46"/>
  <c r="L986" i="46"/>
  <c r="L716" i="46"/>
  <c r="L964" i="46"/>
  <c r="L81" i="46"/>
  <c r="L856" i="46"/>
  <c r="L929" i="46"/>
  <c r="L337" i="46"/>
  <c r="L343" i="46"/>
  <c r="L376" i="46"/>
  <c r="L899" i="46"/>
  <c r="L429" i="46"/>
  <c r="L290" i="46"/>
  <c r="L177" i="46"/>
  <c r="L447" i="46"/>
  <c r="L681" i="46"/>
  <c r="L387" i="46"/>
  <c r="L550" i="46"/>
  <c r="L271" i="46"/>
  <c r="L22" i="46"/>
  <c r="L44" i="46"/>
  <c r="L863" i="46"/>
  <c r="L269" i="46"/>
  <c r="L175" i="46"/>
  <c r="L848" i="46"/>
  <c r="L713" i="46"/>
  <c r="L332" i="46"/>
  <c r="L607" i="46"/>
  <c r="L125" i="46"/>
  <c r="L55" i="46"/>
  <c r="L952" i="46"/>
  <c r="L458" i="46"/>
  <c r="L930" i="46"/>
  <c r="L534" i="46"/>
  <c r="L731" i="46"/>
  <c r="L974" i="46"/>
  <c r="L459" i="46"/>
  <c r="L219" i="46"/>
  <c r="L84" i="46"/>
  <c r="L301" i="46"/>
  <c r="L445" i="46"/>
  <c r="L46" i="46"/>
  <c r="L421" i="46"/>
  <c r="L819" i="46"/>
  <c r="L879" i="46"/>
  <c r="L990" i="46"/>
  <c r="L59" i="46"/>
  <c r="L836" i="46"/>
  <c r="L945" i="46"/>
  <c r="L118" i="46"/>
  <c r="L596" i="46"/>
  <c r="L58" i="46"/>
  <c r="L297" i="46"/>
  <c r="L157" i="46"/>
  <c r="L129" i="46"/>
  <c r="L822" i="46"/>
  <c r="L855" i="46"/>
  <c r="L109" i="46"/>
  <c r="L876" i="46"/>
  <c r="L835" i="46"/>
  <c r="L227" i="46"/>
  <c r="L779" i="46"/>
  <c r="L648" i="46"/>
  <c r="L491" i="46"/>
  <c r="L934" i="46"/>
  <c r="L746" i="46"/>
  <c r="L456" i="46"/>
  <c r="L65" i="46"/>
  <c r="L824" i="46"/>
  <c r="L246" i="46"/>
  <c r="L264" i="46"/>
  <c r="L720" i="46"/>
  <c r="L121" i="46"/>
  <c r="L693" i="46"/>
  <c r="L925" i="46"/>
  <c r="L686" i="46"/>
  <c r="L51" i="46"/>
  <c r="L940" i="46"/>
  <c r="L176" i="46"/>
  <c r="L943" i="46"/>
  <c r="L561" i="46"/>
  <c r="L537" i="46"/>
  <c r="L913" i="46"/>
  <c r="L826" i="46"/>
  <c r="L124" i="46"/>
  <c r="L941" i="46"/>
  <c r="L793" i="46"/>
  <c r="L319" i="46"/>
  <c r="L673" i="46"/>
  <c r="L527" i="46"/>
  <c r="L858" i="46"/>
  <c r="L193" i="46"/>
  <c r="L313" i="46"/>
  <c r="L804" i="46"/>
  <c r="L88" i="46"/>
  <c r="L267" i="46"/>
  <c r="L296" i="46"/>
  <c r="L796" i="46"/>
  <c r="L151" i="46"/>
  <c r="L743" i="46"/>
  <c r="L912" i="46"/>
  <c r="L773" i="46"/>
  <c r="L888" i="46"/>
  <c r="L619" i="46"/>
  <c r="L735" i="46"/>
  <c r="L149" i="46"/>
  <c r="L849" i="46"/>
  <c r="L329" i="46"/>
  <c r="L723" i="46"/>
  <c r="L751" i="46"/>
  <c r="L747" i="46"/>
  <c r="L690" i="46"/>
  <c r="L563" i="46"/>
  <c r="L167" i="46"/>
  <c r="L470" i="46"/>
  <c r="L591" i="46"/>
  <c r="L272" i="46"/>
  <c r="L311" i="46"/>
  <c r="L76" i="46"/>
  <c r="L23" i="46"/>
  <c r="L379" i="46"/>
  <c r="L383" i="46"/>
  <c r="L160" i="46"/>
  <c r="L92" i="46"/>
  <c r="L704" i="46"/>
  <c r="L255" i="46"/>
  <c r="L464" i="46"/>
  <c r="L795" i="46"/>
  <c r="L745" i="46"/>
  <c r="L324" i="46"/>
  <c r="L627" i="46"/>
  <c r="L766" i="46"/>
  <c r="L106" i="46"/>
  <c r="L827" i="46"/>
  <c r="L63" i="46"/>
  <c r="L137" i="46"/>
  <c r="L330" i="46"/>
  <c r="L201" i="46"/>
  <c r="L286" i="46"/>
  <c r="L944" i="46"/>
  <c r="L427" i="46"/>
  <c r="L348" i="46"/>
  <c r="L302" i="46"/>
  <c r="L810" i="46"/>
  <c r="L451" i="46"/>
  <c r="L710" i="46"/>
  <c r="L709" i="46"/>
  <c r="L660" i="46"/>
  <c r="L105" i="46"/>
  <c r="L517" i="46"/>
  <c r="L853" i="46"/>
  <c r="L865" i="46"/>
  <c r="L292" i="46"/>
  <c r="L52" i="46"/>
  <c r="L815" i="46"/>
  <c r="L907" i="46"/>
  <c r="L360" i="46"/>
  <c r="L715" i="46"/>
  <c r="L67" i="46"/>
  <c r="L399" i="46"/>
  <c r="L814" i="46"/>
  <c r="L623" i="46"/>
  <c r="L147" i="46"/>
  <c r="L742" i="46"/>
  <c r="L829" i="46"/>
  <c r="L872" i="46"/>
  <c r="L984" i="46"/>
  <c r="L130" i="46"/>
  <c r="L692" i="46"/>
  <c r="L392" i="46"/>
  <c r="L777" i="46"/>
  <c r="L910" i="46"/>
  <c r="L375" i="46"/>
  <c r="L816" i="46"/>
  <c r="L82" i="46"/>
  <c r="L260" i="46"/>
  <c r="L26" i="46"/>
  <c r="L452" i="46"/>
  <c r="L20" i="46"/>
  <c r="L1000" i="46"/>
  <c r="L892" i="46"/>
  <c r="L696" i="46"/>
  <c r="L308" i="46"/>
  <c r="L803" i="46"/>
  <c r="L553" i="46"/>
  <c r="L327" i="46"/>
  <c r="L119" i="46"/>
  <c r="L973" i="46"/>
  <c r="L249" i="46"/>
  <c r="L455" i="46"/>
  <c r="L605" i="46"/>
  <c r="L304" i="46"/>
  <c r="L985" i="46"/>
  <c r="L567" i="46"/>
  <c r="L999" i="46"/>
  <c r="L555" i="46"/>
  <c r="L740" i="46"/>
  <c r="L36" i="46"/>
  <c r="L326" i="46"/>
  <c r="L864" i="46"/>
  <c r="L145" i="46"/>
  <c r="L154" i="46"/>
  <c r="L664" i="46"/>
  <c r="L131" i="46"/>
  <c r="L339" i="46"/>
  <c r="L682" i="46"/>
  <c r="L667" i="46"/>
  <c r="L143" i="46"/>
  <c r="L241" i="46"/>
  <c r="L668" i="46"/>
  <c r="L679" i="46"/>
  <c r="L674" i="46"/>
  <c r="L688" i="46"/>
  <c r="L1001" i="46"/>
  <c r="L334" i="46"/>
  <c r="L13" i="46"/>
  <c r="L963" i="46"/>
  <c r="L233" i="46"/>
  <c r="L670" i="46"/>
  <c r="L344" i="46"/>
  <c r="L752" i="46"/>
  <c r="L164" i="46"/>
  <c r="L500" i="46"/>
  <c r="L469" i="46"/>
  <c r="L180" i="46"/>
  <c r="L933" i="46"/>
  <c r="L975" i="46"/>
  <c r="L397" i="46"/>
  <c r="L921" i="46"/>
  <c r="L737" i="46"/>
  <c r="L100" i="46"/>
  <c r="L970" i="46"/>
  <c r="L196" i="46"/>
  <c r="L288" i="46"/>
  <c r="L923" i="46"/>
  <c r="L601" i="46"/>
  <c r="L253" i="46"/>
  <c r="L438" i="46"/>
  <c r="L502" i="46"/>
  <c r="L705" i="46"/>
  <c r="L676" i="46"/>
  <c r="L478" i="46"/>
  <c r="L355" i="46"/>
  <c r="L638" i="46"/>
  <c r="L322" i="46"/>
  <c r="L437" i="46"/>
  <c r="L236" i="46"/>
  <c r="L247" i="46"/>
  <c r="L226" i="46"/>
  <c r="L17" i="46"/>
  <c r="L424" i="46"/>
  <c r="L979" i="46"/>
  <c r="L551" i="46"/>
  <c r="L179" i="46"/>
  <c r="L139" i="46"/>
  <c r="L830" i="46"/>
  <c r="L767" i="46"/>
  <c r="L70" i="46"/>
  <c r="L831" i="46"/>
  <c r="L757" i="46"/>
  <c r="L116" i="46"/>
  <c r="L225" i="46"/>
  <c r="L132" i="46"/>
  <c r="L532" i="46"/>
  <c r="L823" i="46"/>
  <c r="L646" i="46"/>
  <c r="L962" i="46"/>
  <c r="L593" i="46"/>
  <c r="L190" i="46"/>
  <c r="L609" i="46"/>
  <c r="L924" i="46"/>
  <c r="L938" i="46"/>
  <c r="L511" i="46"/>
  <c r="L677" i="46"/>
  <c r="L50" i="46"/>
  <c r="L901" i="46"/>
  <c r="L575" i="46"/>
  <c r="L450" i="46"/>
  <c r="L641" i="46"/>
  <c r="L331" i="46"/>
  <c r="L891" i="46"/>
  <c r="L112" i="46"/>
  <c r="L300" i="46"/>
  <c r="L433" i="46"/>
  <c r="L562" i="46"/>
  <c r="L415" i="46"/>
  <c r="L43" i="46"/>
  <c r="L987" i="46"/>
  <c r="L114" i="46"/>
  <c r="L359" i="46"/>
  <c r="L62" i="46"/>
  <c r="L542" i="46"/>
  <c r="L988" i="46"/>
  <c r="L194" i="46"/>
  <c r="L287" i="46"/>
  <c r="L122" i="46"/>
  <c r="L306" i="46"/>
  <c r="L763" i="46"/>
  <c r="L634" i="46"/>
  <c r="L354" i="46"/>
  <c r="L40" i="46"/>
  <c r="L475" i="46"/>
  <c r="L579" i="46"/>
  <c r="L971" i="46"/>
  <c r="L653" i="46"/>
  <c r="L568" i="46"/>
  <c r="L786" i="46"/>
  <c r="L595" i="46"/>
  <c r="L340" i="46"/>
  <c r="L11" i="46"/>
  <c r="L90" i="46"/>
  <c r="L192" i="46"/>
  <c r="L545" i="46"/>
  <c r="L834" i="46"/>
  <c r="L21" i="46"/>
  <c r="L259" i="46"/>
  <c r="L657" i="46"/>
  <c r="L622" i="46"/>
  <c r="L604" i="46"/>
  <c r="L997" i="46"/>
  <c r="L405" i="46"/>
  <c r="L57" i="46"/>
  <c r="L19" i="46"/>
  <c r="L873" i="46"/>
  <c r="L411" i="46"/>
  <c r="L748" i="46"/>
  <c r="L228" i="46"/>
  <c r="L501" i="46"/>
  <c r="L569" i="46"/>
  <c r="L314" i="46"/>
  <c r="L540" i="46"/>
  <c r="L34" i="46"/>
  <c r="L97" i="46"/>
  <c r="L647" i="46"/>
  <c r="L446" i="46"/>
  <c r="L166" i="46"/>
  <c r="L184" i="46"/>
  <c r="L926" i="46"/>
  <c r="L552" i="46"/>
  <c r="L560" i="46"/>
  <c r="L349" i="46"/>
  <c r="L536" i="46"/>
  <c r="L885" i="46"/>
  <c r="L838" i="46"/>
  <c r="L436" i="46"/>
  <c r="L74" i="46"/>
  <c r="L712" i="46"/>
  <c r="L599" i="46"/>
  <c r="L150" i="46"/>
  <c r="L903" i="46"/>
  <c r="L868" i="46"/>
  <c r="L504" i="46"/>
  <c r="L931" i="46"/>
  <c r="L68" i="46"/>
  <c r="L628" i="46"/>
  <c r="L6" i="46"/>
  <c r="L770" i="46"/>
  <c r="L554" i="46"/>
  <c r="L832" i="46"/>
  <c r="L187" i="46"/>
  <c r="L173" i="46"/>
  <c r="L775" i="46"/>
  <c r="L389" i="46"/>
  <c r="L936" i="46"/>
  <c r="L708" i="46"/>
  <c r="L485" i="46"/>
  <c r="L600" i="46"/>
  <c r="L453" i="46"/>
  <c r="L163" i="46"/>
  <c r="L273" i="46"/>
  <c r="L460" i="46"/>
  <c r="L115" i="46"/>
  <c r="L142" i="46"/>
  <c r="L611" i="46"/>
  <c r="L909" i="46"/>
  <c r="L138" i="46"/>
  <c r="L991" i="46"/>
  <c r="L170" i="46"/>
  <c r="L506" i="46"/>
  <c r="L857" i="46"/>
  <c r="L362" i="46"/>
  <c r="L39" i="46"/>
  <c r="L417" i="46"/>
  <c r="L378" i="46"/>
  <c r="L347" i="46"/>
  <c r="L98" i="46"/>
  <c r="L41" i="46"/>
  <c r="L64" i="46"/>
  <c r="L734" i="46"/>
  <c r="L209" i="46"/>
  <c r="L556" i="46"/>
  <c r="L29" i="46"/>
  <c r="L957" i="46"/>
  <c r="L833" i="46"/>
  <c r="L982" i="46"/>
  <c r="L200" i="46"/>
  <c r="L412" i="46"/>
  <c r="L309" i="46"/>
  <c r="L336" i="46"/>
  <c r="L861" i="46"/>
  <c r="L277" i="46"/>
  <c r="L852" i="46"/>
  <c r="L425" i="46"/>
  <c r="L614" i="46"/>
  <c r="L377" i="46"/>
  <c r="L637" i="46"/>
  <c r="L381" i="46"/>
  <c r="L134" i="46"/>
  <c r="L774" i="46"/>
  <c r="L258" i="46"/>
  <c r="L548" i="46"/>
  <c r="L214" i="46"/>
  <c r="L89" i="46"/>
  <c r="L983" i="46"/>
  <c r="L939" i="46"/>
  <c r="L1003" i="46"/>
  <c r="L182" i="46"/>
  <c r="L466" i="46"/>
  <c r="L406" i="46"/>
  <c r="L133" i="46"/>
  <c r="L549" i="46"/>
  <c r="L205" i="46"/>
  <c r="L528" i="46"/>
  <c r="L523" i="46"/>
  <c r="L161" i="46"/>
  <c r="L967" i="46"/>
  <c r="L382" i="46"/>
  <c r="L126" i="46"/>
  <c r="L419" i="46"/>
  <c r="L725" i="46"/>
  <c r="L533" i="46"/>
  <c r="L181" i="46"/>
  <c r="L289" i="46"/>
  <c r="L69" i="46"/>
  <c r="L183" i="46"/>
  <c r="L393" i="46"/>
  <c r="L42" i="46"/>
  <c r="L215" i="46"/>
  <c r="L807" i="46"/>
  <c r="L802" i="46"/>
  <c r="L884" i="46"/>
  <c r="L651" i="46"/>
  <c r="L629" i="46"/>
  <c r="L365" i="46"/>
  <c r="L499" i="46"/>
  <c r="L484" i="46"/>
  <c r="L266" i="46"/>
  <c r="L279" i="46"/>
  <c r="L9" i="46"/>
  <c r="L765" i="46"/>
  <c r="L108" i="46"/>
  <c r="L937" i="46"/>
  <c r="L761" i="46"/>
  <c r="L54" i="46"/>
  <c r="L678" i="46"/>
  <c r="L769" i="46"/>
  <c r="L526" i="46"/>
  <c r="L268" i="46"/>
  <c r="L883" i="46"/>
  <c r="L513" i="46"/>
  <c r="L588" i="46"/>
  <c r="L780" i="46"/>
  <c r="L998" i="46"/>
  <c r="L586" i="46"/>
  <c r="L110" i="46"/>
  <c r="L582" i="46"/>
  <c r="L380" i="46"/>
  <c r="L172" i="46"/>
  <c r="L169" i="46"/>
  <c r="L107" i="46"/>
  <c r="L894" i="46"/>
  <c r="L486" i="46"/>
  <c r="L519" i="46"/>
  <c r="L94" i="46"/>
  <c r="L954" i="46"/>
  <c r="L1002" i="46"/>
  <c r="L146" i="46"/>
  <c r="L717" i="46"/>
  <c r="L684" i="46"/>
  <c r="L471" i="46"/>
  <c r="L250" i="46"/>
  <c r="L507" i="46"/>
  <c r="L805" i="46"/>
  <c r="L636" i="46"/>
  <c r="L798" i="46"/>
  <c r="L621" i="46"/>
  <c r="L242" i="46"/>
  <c r="L159" i="46"/>
  <c r="L263" i="46"/>
  <c r="L127" i="46"/>
  <c r="L541" i="46"/>
  <c r="L760" i="46"/>
  <c r="L240" i="46"/>
  <c r="L652" i="46"/>
  <c r="L698" i="46"/>
  <c r="L813" i="46"/>
  <c r="L724" i="46"/>
  <c r="L262" i="46"/>
  <c r="L800" i="46"/>
  <c r="L689" i="46"/>
  <c r="L721" i="46"/>
  <c r="L631" i="46"/>
  <c r="L352" i="46"/>
  <c r="L496" i="46"/>
  <c r="L942" i="46"/>
  <c r="L495" i="46"/>
  <c r="L174" i="46"/>
  <c r="L972" i="46"/>
  <c r="L539" i="46"/>
  <c r="L635" i="46"/>
  <c r="L358" i="46"/>
  <c r="L512" i="46"/>
  <c r="L87" i="46"/>
  <c r="L961" i="46"/>
  <c r="L661" i="46"/>
  <c r="L237" i="46"/>
  <c r="L291" i="46"/>
  <c r="L338" i="46"/>
  <c r="L656" i="46"/>
  <c r="L101" i="46"/>
  <c r="L543" i="46"/>
  <c r="L874" i="46"/>
  <c r="L918" i="46"/>
  <c r="L801" i="46"/>
  <c r="L917" i="46"/>
  <c r="L254" i="46"/>
  <c r="L305" i="46"/>
  <c r="L73" i="46"/>
  <c r="L520" i="46"/>
  <c r="L977" i="46"/>
  <c r="L461" i="46"/>
  <c r="L643" i="46"/>
  <c r="L465" i="46"/>
  <c r="L789" i="46"/>
  <c r="L231" i="46"/>
  <c r="L615" i="46"/>
  <c r="L158" i="46"/>
  <c r="L198" i="46"/>
  <c r="L956" i="46"/>
  <c r="L374" i="46"/>
  <c r="L371" i="46"/>
  <c r="L440" i="46"/>
  <c r="L727" i="46"/>
  <c r="L811" i="46"/>
  <c r="L312" i="46"/>
  <c r="L66" i="46"/>
  <c r="L191" i="46"/>
  <c r="L576" i="46"/>
  <c r="L869" i="46"/>
  <c r="L797" i="46"/>
  <c r="L762" i="46"/>
  <c r="L229" i="46"/>
  <c r="L503" i="46"/>
  <c r="L791" i="46"/>
  <c r="L818" i="46"/>
  <c r="L932" i="46"/>
  <c r="L295" i="46"/>
  <c r="L771" i="46"/>
  <c r="L522" i="46"/>
  <c r="L758" i="46"/>
  <c r="L840" i="46"/>
  <c r="L414" i="46"/>
  <c r="L871" i="46"/>
  <c r="L639" i="46"/>
  <c r="L976" i="46"/>
  <c r="L736" i="46"/>
  <c r="L443" i="46"/>
  <c r="L812" i="46"/>
  <c r="L663" i="46"/>
  <c r="L994" i="46"/>
  <c r="L186" i="46"/>
  <c r="L911" i="46"/>
  <c r="L683" i="46"/>
  <c r="L252" i="46"/>
  <c r="L953" i="46"/>
  <c r="L602" i="46"/>
  <c r="L960" i="46"/>
  <c r="L156" i="46"/>
  <c r="L837" i="46"/>
  <c r="L423" i="46"/>
  <c r="L992" i="46"/>
  <c r="L719" i="46"/>
  <c r="L483" i="46"/>
  <c r="L755" i="46"/>
  <c r="L790" i="46"/>
  <c r="L573" i="46"/>
  <c r="L544" i="46"/>
  <c r="L620" i="46"/>
  <c r="L597" i="46"/>
  <c r="L325" i="46"/>
  <c r="L626" i="46"/>
  <c r="L91" i="46"/>
  <c r="L897" i="46"/>
  <c r="L728" i="46"/>
  <c r="L178" i="46"/>
  <c r="L441" i="46"/>
  <c r="L606" i="46"/>
  <c r="L199" i="46"/>
  <c r="L47" i="46"/>
  <c r="L787" i="46"/>
  <c r="L202" i="46"/>
  <c r="L844" i="46"/>
  <c r="L788" i="46"/>
  <c r="L99" i="46"/>
  <c r="L33" i="46"/>
  <c r="L756" i="46"/>
  <c r="L722" i="46"/>
  <c r="L546" i="46"/>
  <c r="L776" i="46"/>
  <c r="L841" i="46"/>
  <c r="L557" i="46"/>
  <c r="L135" i="46"/>
  <c r="L473" i="46"/>
  <c r="L817" i="46"/>
  <c r="L350" i="46"/>
  <c r="L111" i="46"/>
  <c r="L276" i="46"/>
  <c r="L610" i="46"/>
  <c r="L584" i="46"/>
  <c r="L56" i="46"/>
  <c r="L195" i="46"/>
  <c r="L585" i="46"/>
  <c r="L320" i="46"/>
  <c r="L48" i="46"/>
  <c r="L402" i="46"/>
  <c r="L408" i="46"/>
  <c r="L603" i="46"/>
  <c r="L672" i="46"/>
  <c r="L809" i="46"/>
  <c r="L969" i="46"/>
  <c r="L859" i="46"/>
  <c r="L821" i="46"/>
  <c r="L482" i="46"/>
  <c r="L706" i="46"/>
  <c r="L477" i="46"/>
  <c r="L718" i="46"/>
  <c r="L232" i="46"/>
  <c r="L498" i="46"/>
  <c r="L136" i="46"/>
  <c r="L608" i="46"/>
  <c r="L61" i="46"/>
  <c r="L685" i="46"/>
  <c r="L315" i="46"/>
  <c r="L965" i="46"/>
  <c r="L103" i="46"/>
  <c r="L45" i="46"/>
  <c r="L384" i="46"/>
  <c r="L701" i="46"/>
  <c r="L518" i="46"/>
  <c r="L316" i="46"/>
  <c r="L547" i="46"/>
  <c r="L680" i="46"/>
  <c r="L189" i="46"/>
  <c r="L391" i="46"/>
  <c r="L845" i="46"/>
  <c r="L843" i="46"/>
  <c r="L24" i="46"/>
  <c r="L356" i="46"/>
  <c r="L244" i="46"/>
  <c r="L948" i="46"/>
  <c r="L707" i="46"/>
  <c r="L662" i="46"/>
  <c r="L457" i="46"/>
  <c r="L581" i="46"/>
  <c r="L12" i="46"/>
  <c r="L583" i="46"/>
  <c r="L733" i="46"/>
  <c r="L571" i="46"/>
  <c r="L86" i="46"/>
  <c r="L318" i="46"/>
  <c r="L782" i="46"/>
  <c r="L265" i="46"/>
  <c r="L83" i="46"/>
  <c r="L398" i="46"/>
  <c r="L444" i="46"/>
  <c r="L700" i="46"/>
  <c r="L422" i="46"/>
  <c r="L366" i="46"/>
  <c r="L140" i="46"/>
  <c r="L949" i="46"/>
  <c r="L564" i="46"/>
  <c r="L665" i="46"/>
  <c r="L578" i="46"/>
  <c r="L574" i="46"/>
  <c r="L697" i="46"/>
  <c r="L434" i="46"/>
  <c r="L208" i="46"/>
  <c r="L875" i="46"/>
  <c r="L860" i="46"/>
  <c r="L492" i="46"/>
  <c r="L448" i="46"/>
  <c r="L806" i="46"/>
  <c r="L739" i="46"/>
  <c r="L904" i="46"/>
  <c r="L691" i="46"/>
  <c r="L152" i="46"/>
  <c r="L754" i="46"/>
  <c r="L509" i="46"/>
  <c r="L968" i="46"/>
  <c r="L650" i="46"/>
  <c r="L612" i="46"/>
  <c r="L922" i="46"/>
  <c r="L370" i="46"/>
  <c r="L695" i="46"/>
  <c r="L759" i="46"/>
  <c r="L404" i="46"/>
  <c r="L238" i="46"/>
  <c r="L342" i="46"/>
  <c r="L361" i="46"/>
  <c r="L394" i="46"/>
  <c r="L185" i="46"/>
  <c r="L488" i="46"/>
  <c r="L980" i="46"/>
  <c r="L416" i="46"/>
  <c r="L505" i="46"/>
  <c r="L535" i="46"/>
  <c r="L303" i="46"/>
  <c r="L632" i="46"/>
  <c r="L642" i="46"/>
  <c r="L828" i="46"/>
  <c r="L426" i="46"/>
  <c r="L658" i="46"/>
  <c r="L738" i="46"/>
  <c r="L618" i="46"/>
  <c r="L37" i="46"/>
  <c r="L396" i="46"/>
  <c r="L516" i="46"/>
  <c r="L207" i="46"/>
  <c r="L60" i="46"/>
  <c r="L880" i="46"/>
  <c r="L251" i="46"/>
  <c r="L79" i="46"/>
  <c r="L96" i="46"/>
  <c r="L744" i="46"/>
  <c r="L862" i="46"/>
  <c r="L959" i="46"/>
  <c r="L580" i="46"/>
  <c r="L846" i="46"/>
  <c r="L521" i="46"/>
  <c r="L570" i="46"/>
  <c r="L825" i="46"/>
  <c r="L223" i="46"/>
  <c r="L947" i="46"/>
  <c r="L372" i="46"/>
  <c r="L188" i="46"/>
  <c r="L75" i="46"/>
  <c r="L368" i="46"/>
  <c r="L981" i="46"/>
  <c r="L80" i="46"/>
  <c r="L538" i="46"/>
  <c r="L887" i="46"/>
  <c r="L283" i="46"/>
  <c r="L764" i="46"/>
  <c r="L14" i="46"/>
  <c r="L165" i="46"/>
  <c r="L310" i="46"/>
  <c r="L218" i="46"/>
  <c r="L529" i="46"/>
  <c r="L886" i="46"/>
  <c r="L141" i="46"/>
  <c r="L203" i="46"/>
  <c r="L278" i="46"/>
  <c r="L625" i="46"/>
  <c r="L294" i="46"/>
  <c r="L881" i="46"/>
  <c r="L217" i="46"/>
  <c r="L467" i="46"/>
  <c r="L820" i="46"/>
  <c r="L645" i="46"/>
  <c r="L649" i="46"/>
  <c r="L71" i="46"/>
  <c r="L592" i="46"/>
  <c r="L778" i="46"/>
  <c r="L431" i="46"/>
  <c r="L210" i="46"/>
  <c r="L274" i="46"/>
  <c r="L950" i="46"/>
  <c r="L72" i="46"/>
  <c r="L221" i="46"/>
  <c r="L927" i="46"/>
  <c r="L148" i="46"/>
  <c r="L524" i="46"/>
  <c r="L367" i="46"/>
  <c r="L390" i="46"/>
  <c r="L487" i="46"/>
  <c r="L958" i="46"/>
  <c r="L792" i="46"/>
  <c r="L785" i="46"/>
  <c r="L711" i="46"/>
  <c r="L659" i="46"/>
  <c r="L388" i="46"/>
  <c r="L935" i="46"/>
  <c r="L197" i="46"/>
  <c r="L732" i="46"/>
  <c r="L418" i="46"/>
  <c r="L946" i="46"/>
  <c r="L590" i="46"/>
  <c r="L493" i="46"/>
  <c r="L317" i="46"/>
  <c r="L216" i="46"/>
  <c r="L270" i="46"/>
  <c r="L113" i="46"/>
  <c r="L357" i="46"/>
  <c r="L213" i="46"/>
  <c r="L7" i="46"/>
  <c r="L808" i="46"/>
  <c r="L799" i="46"/>
  <c r="L589" i="46"/>
  <c r="L280" i="46"/>
  <c r="L120" i="46"/>
  <c r="L726" i="46"/>
  <c r="L598" i="46"/>
  <c r="L395" i="46"/>
  <c r="L594" i="46"/>
  <c r="L966" i="46"/>
  <c r="L714" i="46"/>
  <c r="L144" i="46"/>
  <c r="L951" i="46"/>
  <c r="L407" i="46"/>
  <c r="L28" i="46"/>
  <c r="L222" i="46"/>
  <c r="L463" i="46"/>
  <c r="L694" i="46"/>
  <c r="L410" i="46"/>
  <c r="L128" i="46"/>
  <c r="L413" i="46"/>
  <c r="L102" i="46"/>
  <c r="L245" i="46"/>
  <c r="L749" i="46"/>
  <c r="L889" i="46"/>
  <c r="L850" i="46"/>
  <c r="L275" i="46"/>
  <c r="L449" i="46"/>
  <c r="L155" i="46"/>
  <c r="L204" i="46"/>
  <c r="L78" i="46"/>
  <c r="L566" i="46"/>
  <c r="L364" i="46"/>
  <c r="L559" i="46"/>
  <c r="L299" i="46"/>
  <c r="L902" i="46"/>
  <c r="L351" i="46"/>
  <c r="L878" i="46"/>
  <c r="L916" i="46"/>
  <c r="L239" i="46"/>
  <c r="L16" i="46"/>
  <c r="L472" i="46"/>
  <c r="L474" i="46"/>
  <c r="L882" i="46"/>
  <c r="L867" i="46"/>
  <c r="L328" i="46"/>
  <c r="L373" i="46"/>
  <c r="L341" i="46"/>
  <c r="L525" i="46"/>
  <c r="L640" i="46"/>
  <c r="L669" i="46"/>
  <c r="L435" i="46"/>
  <c r="L346" i="46"/>
  <c r="L104" i="46"/>
  <c r="L261" i="46"/>
  <c r="L479" i="46"/>
  <c r="L123" i="46"/>
  <c r="L671" i="46"/>
  <c r="L442" i="46"/>
  <c r="L38" i="46"/>
  <c r="L768" i="46"/>
  <c r="L256" i="46"/>
  <c r="L162" i="46"/>
  <c r="L494" i="46"/>
  <c r="L989" i="46"/>
  <c r="L895" i="46"/>
  <c r="L914" i="46"/>
  <c r="L497" i="46"/>
  <c r="L741" i="46"/>
  <c r="L839" i="46"/>
  <c r="L784" i="46"/>
  <c r="L117" i="46"/>
  <c r="L234" i="46"/>
  <c r="L25" i="46"/>
  <c r="L428" i="46"/>
  <c r="L77" i="46"/>
  <c r="L281" i="46"/>
  <c r="L293" i="46"/>
  <c r="L400" i="46"/>
  <c r="L224" i="46"/>
  <c r="L565" i="46"/>
  <c r="L703" i="46"/>
  <c r="L847" i="46"/>
  <c r="L893" i="46"/>
  <c r="L630" i="46"/>
  <c r="L510" i="46"/>
  <c r="L284" i="46"/>
  <c r="L31" i="46"/>
  <c r="L386" i="46"/>
  <c r="L530" i="46"/>
  <c r="L866" i="46"/>
  <c r="L890" i="46"/>
  <c r="L403" i="46"/>
  <c r="L666" i="46"/>
  <c r="L476" i="46"/>
  <c r="L321" i="46"/>
  <c r="L753" i="46"/>
  <c r="L243" i="46"/>
  <c r="L385" i="46"/>
  <c r="L508" i="46"/>
  <c r="L978" i="46"/>
  <c r="L369" i="46"/>
  <c r="L235" i="46"/>
  <c r="L454" i="46"/>
  <c r="L439" i="46"/>
  <c r="L345" i="46"/>
  <c r="L655" i="46"/>
  <c r="L8" i="46"/>
  <c r="L430" i="46"/>
  <c r="L572" i="46"/>
  <c r="L49" i="46"/>
  <c r="L783" i="46"/>
  <c r="L168" i="46"/>
  <c r="L558" i="46"/>
  <c r="L515" i="46"/>
  <c r="L171" i="46"/>
  <c r="L654" i="46"/>
  <c r="L282" i="46"/>
  <c r="L870" i="46"/>
  <c r="L730" i="46"/>
  <c r="L851" i="46"/>
  <c r="L514" i="46"/>
  <c r="L363" i="46"/>
  <c r="L781" i="46"/>
  <c r="L750" i="46"/>
  <c r="L85" i="46"/>
  <c r="L468" i="46"/>
  <c r="L955" i="46"/>
  <c r="L53" i="46"/>
  <c r="L633" i="46"/>
  <c r="L908" i="46"/>
  <c r="L335" i="46"/>
  <c r="L10" i="46"/>
  <c r="L993" i="46"/>
  <c r="L409" i="46"/>
  <c r="L489" i="46"/>
  <c r="L915" i="46"/>
  <c r="L353" i="46"/>
  <c r="L212" i="46"/>
  <c r="L920" i="46"/>
  <c r="L842" i="46"/>
  <c r="L93" i="46"/>
  <c r="L624" i="46"/>
  <c r="L95" i="46"/>
  <c r="L577" i="46"/>
  <c r="L307" i="46"/>
  <c r="L531" i="46"/>
  <c r="L587" i="46"/>
  <c r="L480" i="46"/>
  <c r="L644" i="46"/>
  <c r="L928" i="46"/>
  <c r="L702" i="46"/>
  <c r="L206" i="46"/>
  <c r="L772" i="46"/>
  <c r="L854" i="46"/>
  <c r="L906" i="46"/>
  <c r="L896" i="46"/>
  <c r="L900" i="46"/>
  <c r="L877" i="46"/>
  <c r="L687" i="46"/>
  <c r="L675" i="46"/>
  <c r="L905" i="46"/>
  <c r="L248" i="46"/>
  <c r="L32" i="46"/>
  <c r="L919" i="46"/>
  <c r="L285" i="46"/>
  <c r="L220" i="46"/>
  <c r="L230" i="46"/>
  <c r="L298" i="46"/>
  <c r="L27" i="46"/>
  <c r="L462" i="46"/>
  <c r="L616" i="46"/>
  <c r="L333" i="46"/>
  <c r="L153" i="46"/>
  <c r="L257" i="46"/>
  <c r="L481" i="46"/>
  <c r="L794" i="46"/>
  <c r="P121" i="46" l="1"/>
  <c r="N121" i="46"/>
  <c r="O121" i="46"/>
  <c r="M121" i="46"/>
  <c r="P464" i="46"/>
  <c r="M464" i="46"/>
  <c r="O464" i="46"/>
  <c r="N464" i="46"/>
  <c r="M345" i="46"/>
  <c r="N345" i="46"/>
  <c r="P345" i="46"/>
  <c r="O345" i="46"/>
  <c r="P691" i="46"/>
  <c r="O691" i="46"/>
  <c r="N691" i="46"/>
  <c r="M691" i="46"/>
  <c r="O465" i="46"/>
  <c r="N465" i="46"/>
  <c r="M465" i="46"/>
  <c r="P465" i="46"/>
  <c r="O381" i="46"/>
  <c r="M381" i="46"/>
  <c r="N381" i="46"/>
  <c r="P381" i="46"/>
  <c r="O741" i="46"/>
  <c r="P741" i="46"/>
  <c r="N741" i="46"/>
  <c r="M741" i="46"/>
  <c r="O390" i="46"/>
  <c r="N390" i="46"/>
  <c r="M390" i="46"/>
  <c r="P390" i="46"/>
  <c r="O488" i="46"/>
  <c r="P488" i="46"/>
  <c r="M488" i="46"/>
  <c r="N488" i="46"/>
  <c r="N851" i="46"/>
  <c r="M851" i="46"/>
  <c r="P851" i="46"/>
  <c r="O851" i="46"/>
  <c r="M75" i="46"/>
  <c r="O75" i="46"/>
  <c r="P75" i="46"/>
  <c r="N75" i="46"/>
  <c r="P576" i="46"/>
  <c r="O576" i="46"/>
  <c r="M576" i="46"/>
  <c r="N576" i="46"/>
  <c r="O341" i="46"/>
  <c r="P341" i="46"/>
  <c r="N341" i="46"/>
  <c r="M341" i="46"/>
  <c r="N516" i="46"/>
  <c r="O516" i="46"/>
  <c r="M516" i="46"/>
  <c r="P516" i="46"/>
  <c r="P976" i="46"/>
  <c r="N976" i="46"/>
  <c r="M976" i="46"/>
  <c r="O976" i="46"/>
  <c r="P540" i="46"/>
  <c r="M540" i="46"/>
  <c r="N540" i="46"/>
  <c r="O540" i="46"/>
  <c r="N373" i="46"/>
  <c r="P373" i="46"/>
  <c r="O373" i="46"/>
  <c r="M373" i="46"/>
  <c r="N265" i="46"/>
  <c r="O265" i="46"/>
  <c r="M265" i="46"/>
  <c r="P265" i="46"/>
  <c r="N215" i="46"/>
  <c r="M215" i="46"/>
  <c r="O215" i="46"/>
  <c r="P215" i="46"/>
  <c r="M703" i="46"/>
  <c r="P703" i="46"/>
  <c r="N703" i="46"/>
  <c r="O703" i="46"/>
  <c r="P203" i="46"/>
  <c r="O203" i="46"/>
  <c r="M203" i="46"/>
  <c r="N203" i="46"/>
  <c r="N477" i="46"/>
  <c r="M477" i="46"/>
  <c r="O477" i="46"/>
  <c r="P477" i="46"/>
  <c r="M541" i="46"/>
  <c r="O541" i="46"/>
  <c r="P541" i="46"/>
  <c r="N541" i="46"/>
  <c r="O277" i="46"/>
  <c r="M277" i="46"/>
  <c r="N277" i="46"/>
  <c r="P277" i="46"/>
  <c r="O206" i="46"/>
  <c r="M206" i="46"/>
  <c r="N206" i="46"/>
  <c r="P206" i="46"/>
  <c r="P162" i="46"/>
  <c r="N162" i="46"/>
  <c r="M162" i="46"/>
  <c r="O162" i="46"/>
  <c r="O515" i="46"/>
  <c r="N515" i="46"/>
  <c r="M515" i="46"/>
  <c r="P515" i="46"/>
  <c r="P732" i="46"/>
  <c r="N732" i="46"/>
  <c r="O732" i="46"/>
  <c r="M732" i="46"/>
  <c r="O558" i="46"/>
  <c r="P558" i="46"/>
  <c r="M558" i="46"/>
  <c r="N558" i="46"/>
  <c r="M749" i="46"/>
  <c r="O749" i="46"/>
  <c r="N749" i="46"/>
  <c r="P749" i="46"/>
  <c r="N218" i="46"/>
  <c r="M218" i="46"/>
  <c r="P218" i="46"/>
  <c r="O218" i="46"/>
  <c r="P733" i="46"/>
  <c r="N733" i="46"/>
  <c r="O733" i="46"/>
  <c r="M733" i="46"/>
  <c r="M178" i="46"/>
  <c r="O178" i="46"/>
  <c r="P178" i="46"/>
  <c r="N178" i="46"/>
  <c r="M918" i="46"/>
  <c r="P918" i="46"/>
  <c r="N918" i="46"/>
  <c r="O918" i="46"/>
  <c r="M169" i="46"/>
  <c r="O169" i="46"/>
  <c r="P169" i="46"/>
  <c r="N169" i="46"/>
  <c r="O412" i="46"/>
  <c r="N412" i="46"/>
  <c r="M412" i="46"/>
  <c r="P412" i="46"/>
  <c r="O411" i="46"/>
  <c r="M411" i="46"/>
  <c r="P411" i="46"/>
  <c r="N411" i="46"/>
  <c r="N924" i="46"/>
  <c r="M924" i="46"/>
  <c r="O924" i="46"/>
  <c r="P924" i="46"/>
  <c r="M963" i="46"/>
  <c r="O963" i="46"/>
  <c r="P963" i="46"/>
  <c r="N963" i="46"/>
  <c r="M723" i="46"/>
  <c r="O723" i="46"/>
  <c r="N723" i="46"/>
  <c r="P723" i="46"/>
  <c r="N222" i="46"/>
  <c r="O222" i="46"/>
  <c r="P222" i="46"/>
  <c r="M222" i="46"/>
  <c r="N446" i="46"/>
  <c r="P446" i="46"/>
  <c r="O446" i="46"/>
  <c r="M446" i="46"/>
  <c r="M794" i="46"/>
  <c r="P794" i="46"/>
  <c r="N794" i="46"/>
  <c r="O794" i="46"/>
  <c r="P906" i="46"/>
  <c r="N906" i="46"/>
  <c r="M906" i="46"/>
  <c r="O906" i="46"/>
  <c r="P287" i="46"/>
  <c r="M287" i="46"/>
  <c r="O287" i="46"/>
  <c r="N287" i="46"/>
  <c r="P42" i="46"/>
  <c r="N42" i="46"/>
  <c r="M42" i="46"/>
  <c r="O42" i="46"/>
  <c r="P521" i="46"/>
  <c r="O521" i="46"/>
  <c r="N521" i="46"/>
  <c r="M521" i="46"/>
  <c r="O173" i="46"/>
  <c r="M173" i="46"/>
  <c r="P173" i="46"/>
  <c r="N173" i="46"/>
  <c r="N147" i="46"/>
  <c r="P147" i="46"/>
  <c r="M147" i="46"/>
  <c r="O147" i="46"/>
  <c r="N839" i="46"/>
  <c r="P839" i="46"/>
  <c r="O839" i="46"/>
  <c r="M839" i="46"/>
  <c r="P980" i="46"/>
  <c r="M980" i="46"/>
  <c r="O980" i="46"/>
  <c r="N980" i="46"/>
  <c r="P544" i="46"/>
  <c r="M544" i="46"/>
  <c r="N544" i="46"/>
  <c r="O544" i="46"/>
  <c r="M734" i="46"/>
  <c r="O734" i="46"/>
  <c r="P734" i="46"/>
  <c r="N734" i="46"/>
  <c r="O364" i="46"/>
  <c r="N364" i="46"/>
  <c r="P364" i="46"/>
  <c r="M364" i="46"/>
  <c r="N700" i="46"/>
  <c r="O700" i="46"/>
  <c r="P700" i="46"/>
  <c r="M700" i="46"/>
  <c r="P630" i="46"/>
  <c r="N630" i="46"/>
  <c r="M630" i="46"/>
  <c r="O630" i="46"/>
  <c r="O524" i="46"/>
  <c r="M524" i="46"/>
  <c r="P524" i="46"/>
  <c r="N524" i="46"/>
  <c r="P398" i="46"/>
  <c r="O398" i="46"/>
  <c r="N398" i="46"/>
  <c r="M398" i="46"/>
  <c r="N153" i="46"/>
  <c r="P153" i="46"/>
  <c r="M153" i="46"/>
  <c r="O153" i="46"/>
  <c r="P625" i="46"/>
  <c r="M625" i="46"/>
  <c r="N625" i="46"/>
  <c r="O625" i="46"/>
  <c r="M584" i="46"/>
  <c r="N584" i="46"/>
  <c r="P584" i="46"/>
  <c r="O584" i="46"/>
  <c r="N954" i="46"/>
  <c r="O954" i="46"/>
  <c r="P954" i="46"/>
  <c r="M954" i="46"/>
  <c r="P549" i="46"/>
  <c r="M549" i="46"/>
  <c r="O549" i="46"/>
  <c r="N549" i="46"/>
  <c r="M847" i="46"/>
  <c r="P847" i="46"/>
  <c r="O847" i="46"/>
  <c r="N847" i="46"/>
  <c r="N396" i="46"/>
  <c r="M396" i="46"/>
  <c r="P396" i="46"/>
  <c r="O396" i="46"/>
  <c r="N719" i="46"/>
  <c r="P719" i="46"/>
  <c r="M719" i="46"/>
  <c r="O719" i="46"/>
  <c r="N616" i="46"/>
  <c r="O616" i="46"/>
  <c r="M616" i="46"/>
  <c r="P616" i="46"/>
  <c r="P494" i="46"/>
  <c r="N494" i="46"/>
  <c r="O494" i="46"/>
  <c r="M494" i="46"/>
  <c r="N221" i="46"/>
  <c r="O221" i="46"/>
  <c r="P221" i="46"/>
  <c r="M221" i="46"/>
  <c r="M189" i="46"/>
  <c r="O189" i="46"/>
  <c r="P189" i="46"/>
  <c r="N189" i="46"/>
  <c r="M539" i="46"/>
  <c r="O539" i="46"/>
  <c r="P539" i="46"/>
  <c r="N539" i="46"/>
  <c r="P708" i="46"/>
  <c r="M708" i="46"/>
  <c r="O708" i="46"/>
  <c r="N708" i="46"/>
  <c r="O409" i="46"/>
  <c r="P409" i="46"/>
  <c r="M409" i="46"/>
  <c r="N409" i="46"/>
  <c r="N565" i="46"/>
  <c r="P565" i="46"/>
  <c r="M565" i="46"/>
  <c r="O565" i="46"/>
  <c r="M753" i="46"/>
  <c r="P753" i="46"/>
  <c r="N753" i="46"/>
  <c r="O753" i="46"/>
  <c r="P598" i="46"/>
  <c r="M598" i="46"/>
  <c r="O598" i="46"/>
  <c r="N598" i="46"/>
  <c r="M335" i="46"/>
  <c r="O335" i="46"/>
  <c r="N335" i="46"/>
  <c r="P335" i="46"/>
  <c r="P38" i="46"/>
  <c r="M38" i="46"/>
  <c r="O38" i="46"/>
  <c r="N38" i="46"/>
  <c r="M726" i="46"/>
  <c r="P726" i="46"/>
  <c r="O726" i="46"/>
  <c r="N726" i="46"/>
  <c r="O370" i="46"/>
  <c r="P370" i="46"/>
  <c r="M370" i="46"/>
  <c r="N370" i="46"/>
  <c r="N518" i="46"/>
  <c r="P518" i="46"/>
  <c r="O518" i="46"/>
  <c r="M518" i="46"/>
  <c r="O522" i="46"/>
  <c r="M522" i="46"/>
  <c r="N522" i="46"/>
  <c r="P522" i="46"/>
  <c r="N242" i="46"/>
  <c r="O242" i="46"/>
  <c r="P242" i="46"/>
  <c r="M242" i="46"/>
  <c r="M939" i="46"/>
  <c r="N939" i="46"/>
  <c r="P939" i="46"/>
  <c r="O939" i="46"/>
  <c r="O885" i="46"/>
  <c r="M885" i="46"/>
  <c r="N885" i="46"/>
  <c r="P885" i="46"/>
  <c r="P551" i="46"/>
  <c r="N551" i="46"/>
  <c r="O551" i="46"/>
  <c r="M551" i="46"/>
  <c r="M451" i="46"/>
  <c r="O451" i="46"/>
  <c r="N451" i="46"/>
  <c r="P451" i="46"/>
  <c r="O435" i="46"/>
  <c r="N435" i="46"/>
  <c r="P435" i="46"/>
  <c r="M435" i="46"/>
  <c r="O61" i="46"/>
  <c r="M61" i="46"/>
  <c r="P61" i="46"/>
  <c r="N61" i="46"/>
  <c r="M634" i="46"/>
  <c r="N634" i="46"/>
  <c r="P634" i="46"/>
  <c r="O634" i="46"/>
  <c r="P877" i="46"/>
  <c r="M877" i="46"/>
  <c r="O877" i="46"/>
  <c r="N877" i="46"/>
  <c r="M896" i="46"/>
  <c r="O896" i="46"/>
  <c r="N896" i="46"/>
  <c r="P896" i="46"/>
  <c r="M294" i="46"/>
  <c r="N294" i="46"/>
  <c r="P294" i="46"/>
  <c r="O294" i="46"/>
  <c r="M755" i="46"/>
  <c r="O755" i="46"/>
  <c r="N755" i="46"/>
  <c r="P755" i="46"/>
  <c r="O895" i="46"/>
  <c r="P895" i="46"/>
  <c r="N895" i="46"/>
  <c r="M895" i="46"/>
  <c r="N188" i="46"/>
  <c r="O188" i="46"/>
  <c r="P188" i="46"/>
  <c r="M188" i="46"/>
  <c r="O483" i="46"/>
  <c r="M483" i="46"/>
  <c r="N483" i="46"/>
  <c r="P483" i="46"/>
  <c r="O545" i="46"/>
  <c r="P545" i="46"/>
  <c r="M545" i="46"/>
  <c r="N545" i="46"/>
  <c r="O870" i="46"/>
  <c r="M870" i="46"/>
  <c r="P870" i="46"/>
  <c r="N870" i="46"/>
  <c r="O493" i="46"/>
  <c r="P493" i="46"/>
  <c r="N493" i="46"/>
  <c r="M493" i="46"/>
  <c r="O492" i="46"/>
  <c r="M492" i="46"/>
  <c r="P492" i="46"/>
  <c r="N492" i="46"/>
  <c r="M635" i="46"/>
  <c r="O635" i="46"/>
  <c r="P635" i="46"/>
  <c r="N635" i="46"/>
  <c r="O282" i="46"/>
  <c r="N282" i="46"/>
  <c r="P282" i="46"/>
  <c r="M282" i="46"/>
  <c r="N37" i="46"/>
  <c r="O37" i="46"/>
  <c r="M37" i="46"/>
  <c r="P37" i="46"/>
  <c r="O276" i="46"/>
  <c r="M276" i="46"/>
  <c r="N276" i="46"/>
  <c r="P276" i="46"/>
  <c r="O519" i="46"/>
  <c r="M519" i="46"/>
  <c r="N519" i="46"/>
  <c r="P519" i="46"/>
  <c r="O417" i="46"/>
  <c r="N417" i="46"/>
  <c r="P417" i="46"/>
  <c r="M417" i="46"/>
  <c r="O594" i="46"/>
  <c r="N594" i="46"/>
  <c r="P594" i="46"/>
  <c r="M594" i="46"/>
  <c r="P768" i="46"/>
  <c r="N768" i="46"/>
  <c r="M768" i="46"/>
  <c r="O768" i="46"/>
  <c r="M230" i="46"/>
  <c r="O230" i="46"/>
  <c r="P230" i="46"/>
  <c r="N230" i="46"/>
  <c r="O321" i="46"/>
  <c r="N321" i="46"/>
  <c r="P321" i="46"/>
  <c r="M321" i="46"/>
  <c r="M472" i="46"/>
  <c r="N472" i="46"/>
  <c r="O472" i="46"/>
  <c r="P472" i="46"/>
  <c r="M210" i="46"/>
  <c r="P210" i="46"/>
  <c r="O210" i="46"/>
  <c r="N210" i="46"/>
  <c r="O426" i="46"/>
  <c r="N426" i="46"/>
  <c r="M426" i="46"/>
  <c r="P426" i="46"/>
  <c r="O859" i="46"/>
  <c r="M859" i="46"/>
  <c r="P859" i="46"/>
  <c r="N859" i="46"/>
  <c r="N371" i="46"/>
  <c r="P371" i="46"/>
  <c r="O371" i="46"/>
  <c r="M371" i="46"/>
  <c r="P108" i="46"/>
  <c r="N108" i="46"/>
  <c r="O108" i="46"/>
  <c r="M108" i="46"/>
  <c r="O506" i="46"/>
  <c r="P506" i="46"/>
  <c r="M506" i="46"/>
  <c r="N506" i="46"/>
  <c r="N114" i="46"/>
  <c r="M114" i="46"/>
  <c r="P114" i="46"/>
  <c r="O114" i="46"/>
  <c r="O326" i="46"/>
  <c r="P326" i="46"/>
  <c r="M326" i="46"/>
  <c r="N326" i="46"/>
  <c r="O858" i="46"/>
  <c r="P858" i="46"/>
  <c r="N858" i="46"/>
  <c r="M858" i="46"/>
  <c r="N687" i="46"/>
  <c r="M687" i="46"/>
  <c r="O687" i="46"/>
  <c r="P687" i="46"/>
  <c r="M467" i="46"/>
  <c r="N467" i="46"/>
  <c r="P467" i="46"/>
  <c r="O467" i="46"/>
  <c r="N33" i="46"/>
  <c r="O33" i="46"/>
  <c r="P33" i="46"/>
  <c r="M33" i="46"/>
  <c r="O588" i="46"/>
  <c r="M588" i="46"/>
  <c r="P588" i="46"/>
  <c r="N588" i="46"/>
  <c r="P842" i="46"/>
  <c r="M842" i="46"/>
  <c r="O842" i="46"/>
  <c r="N842" i="46"/>
  <c r="M99" i="46"/>
  <c r="O99" i="46"/>
  <c r="P99" i="46"/>
  <c r="N99" i="46"/>
  <c r="P914" i="46"/>
  <c r="M914" i="46"/>
  <c r="N914" i="46"/>
  <c r="O914" i="46"/>
  <c r="P207" i="46"/>
  <c r="M207" i="46"/>
  <c r="N207" i="46"/>
  <c r="O207" i="46"/>
  <c r="O843" i="46"/>
  <c r="N843" i="46"/>
  <c r="P843" i="46"/>
  <c r="M843" i="46"/>
  <c r="P369" i="46"/>
  <c r="M369" i="46"/>
  <c r="O369" i="46"/>
  <c r="N369" i="46"/>
  <c r="N317" i="46"/>
  <c r="O317" i="46"/>
  <c r="P317" i="46"/>
  <c r="M317" i="46"/>
  <c r="N845" i="46"/>
  <c r="P845" i="46"/>
  <c r="O845" i="46"/>
  <c r="M845" i="46"/>
  <c r="M240" i="46"/>
  <c r="O240" i="46"/>
  <c r="N240" i="46"/>
  <c r="P240" i="46"/>
  <c r="M425" i="46"/>
  <c r="P425" i="46"/>
  <c r="O425" i="46"/>
  <c r="N425" i="46"/>
  <c r="O978" i="46"/>
  <c r="M978" i="46"/>
  <c r="P978" i="46"/>
  <c r="N978" i="46"/>
  <c r="P278" i="46"/>
  <c r="M278" i="46"/>
  <c r="N278" i="46"/>
  <c r="O278" i="46"/>
  <c r="O610" i="46"/>
  <c r="M610" i="46"/>
  <c r="P610" i="46"/>
  <c r="N610" i="46"/>
  <c r="M66" i="46"/>
  <c r="O66" i="46"/>
  <c r="P66" i="46"/>
  <c r="N66" i="46"/>
  <c r="N489" i="46"/>
  <c r="M489" i="46"/>
  <c r="O489" i="46"/>
  <c r="P489" i="46"/>
  <c r="P590" i="46"/>
  <c r="M590" i="46"/>
  <c r="O590" i="46"/>
  <c r="N590" i="46"/>
  <c r="O47" i="46"/>
  <c r="P47" i="46"/>
  <c r="N47" i="46"/>
  <c r="M47" i="46"/>
  <c r="N90" i="46"/>
  <c r="P90" i="46"/>
  <c r="O90" i="46"/>
  <c r="M90" i="46"/>
  <c r="O10" i="46"/>
  <c r="P10" i="46"/>
  <c r="N10" i="46"/>
  <c r="M10" i="46"/>
  <c r="M889" i="46"/>
  <c r="P889" i="46"/>
  <c r="O889" i="46"/>
  <c r="N889" i="46"/>
  <c r="O644" i="46"/>
  <c r="N644" i="46"/>
  <c r="M644" i="46"/>
  <c r="P644" i="46"/>
  <c r="P293" i="46"/>
  <c r="O293" i="46"/>
  <c r="M293" i="46"/>
  <c r="N293" i="46"/>
  <c r="O197" i="46"/>
  <c r="N197" i="46"/>
  <c r="M197" i="46"/>
  <c r="P197" i="46"/>
  <c r="P697" i="46"/>
  <c r="O697" i="46"/>
  <c r="N697" i="46"/>
  <c r="M697" i="46"/>
  <c r="O473" i="46"/>
  <c r="N473" i="46"/>
  <c r="M473" i="46"/>
  <c r="P473" i="46"/>
  <c r="N960" i="46"/>
  <c r="P960" i="46"/>
  <c r="M960" i="46"/>
  <c r="O960" i="46"/>
  <c r="P942" i="46"/>
  <c r="M942" i="46"/>
  <c r="O942" i="46"/>
  <c r="N942" i="46"/>
  <c r="M289" i="46"/>
  <c r="P289" i="46"/>
  <c r="O289" i="46"/>
  <c r="N289" i="46"/>
  <c r="P786" i="46"/>
  <c r="M786" i="46"/>
  <c r="N786" i="46"/>
  <c r="O786" i="46"/>
  <c r="O923" i="46"/>
  <c r="P923" i="46"/>
  <c r="M923" i="46"/>
  <c r="N923" i="46"/>
  <c r="P892" i="46"/>
  <c r="N892" i="46"/>
  <c r="M892" i="46"/>
  <c r="O892" i="46"/>
  <c r="O129" i="46"/>
  <c r="M129" i="46"/>
  <c r="N129" i="46"/>
  <c r="P129" i="46"/>
  <c r="N93" i="46"/>
  <c r="M93" i="46"/>
  <c r="P93" i="46"/>
  <c r="O93" i="46"/>
  <c r="M80" i="46"/>
  <c r="P80" i="46"/>
  <c r="N80" i="46"/>
  <c r="O80" i="46"/>
  <c r="P663" i="46"/>
  <c r="N663" i="46"/>
  <c r="O663" i="46"/>
  <c r="M663" i="46"/>
  <c r="P460" i="46"/>
  <c r="N460" i="46"/>
  <c r="M460" i="46"/>
  <c r="O460" i="46"/>
  <c r="P669" i="46"/>
  <c r="N669" i="46"/>
  <c r="M669" i="46"/>
  <c r="O669" i="46"/>
  <c r="P981" i="46"/>
  <c r="N981" i="46"/>
  <c r="O981" i="46"/>
  <c r="M981" i="46"/>
  <c r="O608" i="46"/>
  <c r="P608" i="46"/>
  <c r="N608" i="46"/>
  <c r="M608" i="46"/>
  <c r="N78" i="46"/>
  <c r="P78" i="46"/>
  <c r="O78" i="46"/>
  <c r="M78" i="46"/>
  <c r="P806" i="46"/>
  <c r="O806" i="46"/>
  <c r="N806" i="46"/>
  <c r="M806" i="46"/>
  <c r="N56" i="46"/>
  <c r="O56" i="46"/>
  <c r="M56" i="46"/>
  <c r="P56" i="46"/>
  <c r="O730" i="46"/>
  <c r="P730" i="46"/>
  <c r="N730" i="46"/>
  <c r="M730" i="46"/>
  <c r="M144" i="46"/>
  <c r="N144" i="46"/>
  <c r="P144" i="46"/>
  <c r="O144" i="46"/>
  <c r="N361" i="46"/>
  <c r="O361" i="46"/>
  <c r="M361" i="46"/>
  <c r="P361" i="46"/>
  <c r="N202" i="46"/>
  <c r="M202" i="46"/>
  <c r="P202" i="46"/>
  <c r="O202" i="46"/>
  <c r="O526" i="46"/>
  <c r="N526" i="46"/>
  <c r="M526" i="46"/>
  <c r="P526" i="46"/>
  <c r="M807" i="46"/>
  <c r="O807" i="46"/>
  <c r="N807" i="46"/>
  <c r="P807" i="46"/>
  <c r="N333" i="46"/>
  <c r="P333" i="46"/>
  <c r="M333" i="46"/>
  <c r="O333" i="46"/>
  <c r="N155" i="46"/>
  <c r="O155" i="46"/>
  <c r="P155" i="46"/>
  <c r="M155" i="46"/>
  <c r="M342" i="46"/>
  <c r="P342" i="46"/>
  <c r="O342" i="46"/>
  <c r="N342" i="46"/>
  <c r="M94" i="46"/>
  <c r="N94" i="46"/>
  <c r="O94" i="46"/>
  <c r="P94" i="46"/>
  <c r="O449" i="46"/>
  <c r="N449" i="46"/>
  <c r="M449" i="46"/>
  <c r="P449" i="46"/>
  <c r="O238" i="46"/>
  <c r="N238" i="46"/>
  <c r="P238" i="46"/>
  <c r="M238" i="46"/>
  <c r="N312" i="46"/>
  <c r="O312" i="46"/>
  <c r="P312" i="46"/>
  <c r="M312" i="46"/>
  <c r="O712" i="46"/>
  <c r="N712" i="46"/>
  <c r="M712" i="46"/>
  <c r="P712" i="46"/>
  <c r="P275" i="46"/>
  <c r="O275" i="46"/>
  <c r="N275" i="46"/>
  <c r="M275" i="46"/>
  <c r="O298" i="46"/>
  <c r="N298" i="46"/>
  <c r="M298" i="46"/>
  <c r="P298" i="46"/>
  <c r="M400" i="46"/>
  <c r="O400" i="46"/>
  <c r="N400" i="46"/>
  <c r="P400" i="46"/>
  <c r="M675" i="46"/>
  <c r="P675" i="46"/>
  <c r="N675" i="46"/>
  <c r="O675" i="46"/>
  <c r="P624" i="46"/>
  <c r="M624" i="46"/>
  <c r="O624" i="46"/>
  <c r="N624" i="46"/>
  <c r="P750" i="46"/>
  <c r="O750" i="46"/>
  <c r="N750" i="46"/>
  <c r="M750" i="46"/>
  <c r="O655" i="46"/>
  <c r="P655" i="46"/>
  <c r="N655" i="46"/>
  <c r="M655" i="46"/>
  <c r="P386" i="46"/>
  <c r="M386" i="46"/>
  <c r="O386" i="46"/>
  <c r="N386" i="46"/>
  <c r="N784" i="46"/>
  <c r="O784" i="46"/>
  <c r="M784" i="46"/>
  <c r="P784" i="46"/>
  <c r="M346" i="46"/>
  <c r="O346" i="46"/>
  <c r="P346" i="46"/>
  <c r="N346" i="46"/>
  <c r="O299" i="46"/>
  <c r="P299" i="46"/>
  <c r="N299" i="46"/>
  <c r="M299" i="46"/>
  <c r="M463" i="46"/>
  <c r="P463" i="46"/>
  <c r="N463" i="46"/>
  <c r="O463" i="46"/>
  <c r="O213" i="46"/>
  <c r="M213" i="46"/>
  <c r="P213" i="46"/>
  <c r="N213" i="46"/>
  <c r="O958" i="46"/>
  <c r="N958" i="46"/>
  <c r="M958" i="46"/>
  <c r="P958" i="46"/>
  <c r="O820" i="46"/>
  <c r="N820" i="46"/>
  <c r="P820" i="46"/>
  <c r="M820" i="46"/>
  <c r="O538" i="46"/>
  <c r="N538" i="46"/>
  <c r="M538" i="46"/>
  <c r="P538" i="46"/>
  <c r="O79" i="46"/>
  <c r="M79" i="46"/>
  <c r="P79" i="46"/>
  <c r="N79" i="46"/>
  <c r="O416" i="46"/>
  <c r="M416" i="46"/>
  <c r="P416" i="46"/>
  <c r="N416" i="46"/>
  <c r="M152" i="46"/>
  <c r="O152" i="46"/>
  <c r="P152" i="46"/>
  <c r="N152" i="46"/>
  <c r="P366" i="46"/>
  <c r="N366" i="46"/>
  <c r="O366" i="46"/>
  <c r="M366" i="46"/>
  <c r="P948" i="46"/>
  <c r="N948" i="46"/>
  <c r="M948" i="46"/>
  <c r="O948" i="46"/>
  <c r="O685" i="46"/>
  <c r="P685" i="46"/>
  <c r="N685" i="46"/>
  <c r="M685" i="46"/>
  <c r="M48" i="46"/>
  <c r="N48" i="46"/>
  <c r="P48" i="46"/>
  <c r="O48" i="46"/>
  <c r="N756" i="46"/>
  <c r="M756" i="46"/>
  <c r="O756" i="46"/>
  <c r="P756" i="46"/>
  <c r="P620" i="46"/>
  <c r="N620" i="46"/>
  <c r="O620" i="46"/>
  <c r="M620" i="46"/>
  <c r="P994" i="46"/>
  <c r="M994" i="46"/>
  <c r="O994" i="46"/>
  <c r="N994" i="46"/>
  <c r="M229" i="46"/>
  <c r="P229" i="46"/>
  <c r="O229" i="46"/>
  <c r="N229" i="46"/>
  <c r="P789" i="46"/>
  <c r="O789" i="46"/>
  <c r="M789" i="46"/>
  <c r="N789" i="46"/>
  <c r="O237" i="46"/>
  <c r="P237" i="46"/>
  <c r="N237" i="46"/>
  <c r="M237" i="46"/>
  <c r="P262" i="46"/>
  <c r="N262" i="46"/>
  <c r="O262" i="46"/>
  <c r="M262" i="46"/>
  <c r="P471" i="46"/>
  <c r="N471" i="46"/>
  <c r="M471" i="46"/>
  <c r="O471" i="46"/>
  <c r="N780" i="46"/>
  <c r="O780" i="46"/>
  <c r="M780" i="46"/>
  <c r="P780" i="46"/>
  <c r="N365" i="46"/>
  <c r="P365" i="46"/>
  <c r="M365" i="46"/>
  <c r="O365" i="46"/>
  <c r="M891" i="46"/>
  <c r="P891" i="46"/>
  <c r="N891" i="46"/>
  <c r="O891" i="46"/>
  <c r="P331" i="46"/>
  <c r="N331" i="46"/>
  <c r="O331" i="46"/>
  <c r="M331" i="46"/>
  <c r="M781" i="46"/>
  <c r="O781" i="46"/>
  <c r="P781" i="46"/>
  <c r="N781" i="46"/>
  <c r="O661" i="46"/>
  <c r="M661" i="46"/>
  <c r="N661" i="46"/>
  <c r="P661" i="46"/>
  <c r="P28" i="46"/>
  <c r="O28" i="46"/>
  <c r="M28" i="46"/>
  <c r="N28" i="46"/>
  <c r="O573" i="46"/>
  <c r="M573" i="46"/>
  <c r="P573" i="46"/>
  <c r="N573" i="46"/>
  <c r="N812" i="46"/>
  <c r="M812" i="46"/>
  <c r="P812" i="46"/>
  <c r="O812" i="46"/>
  <c r="N797" i="46"/>
  <c r="P797" i="46"/>
  <c r="O797" i="46"/>
  <c r="M797" i="46"/>
  <c r="M643" i="46"/>
  <c r="P643" i="46"/>
  <c r="O643" i="46"/>
  <c r="N643" i="46"/>
  <c r="P961" i="46"/>
  <c r="M961" i="46"/>
  <c r="O961" i="46"/>
  <c r="N961" i="46"/>
  <c r="M813" i="46"/>
  <c r="O813" i="46"/>
  <c r="P813" i="46"/>
  <c r="N813" i="46"/>
  <c r="P717" i="46"/>
  <c r="N717" i="46"/>
  <c r="O717" i="46"/>
  <c r="M717" i="46"/>
  <c r="M513" i="46"/>
  <c r="P513" i="46"/>
  <c r="O513" i="46"/>
  <c r="N513" i="46"/>
  <c r="M651" i="46"/>
  <c r="O651" i="46"/>
  <c r="N651" i="46"/>
  <c r="P651" i="46"/>
  <c r="P523" i="46"/>
  <c r="N523" i="46"/>
  <c r="O523" i="46"/>
  <c r="M523" i="46"/>
  <c r="P637" i="46"/>
  <c r="N637" i="46"/>
  <c r="O637" i="46"/>
  <c r="M637" i="46"/>
  <c r="O64" i="46"/>
  <c r="N64" i="46"/>
  <c r="P64" i="46"/>
  <c r="M64" i="46"/>
  <c r="P273" i="46"/>
  <c r="O273" i="46"/>
  <c r="N273" i="46"/>
  <c r="M273" i="46"/>
  <c r="P504" i="46"/>
  <c r="N504" i="46"/>
  <c r="O504" i="46"/>
  <c r="M504" i="46"/>
  <c r="M647" i="46"/>
  <c r="P647" i="46"/>
  <c r="O647" i="46"/>
  <c r="N647" i="46"/>
  <c r="P259" i="46"/>
  <c r="N259" i="46"/>
  <c r="O259" i="46"/>
  <c r="M259" i="46"/>
  <c r="O763" i="46"/>
  <c r="N763" i="46"/>
  <c r="P763" i="46"/>
  <c r="M763" i="46"/>
  <c r="M481" i="46"/>
  <c r="N481" i="46"/>
  <c r="O481" i="46"/>
  <c r="P481" i="46"/>
  <c r="M900" i="46"/>
  <c r="P900" i="46"/>
  <c r="N900" i="46"/>
  <c r="O900" i="46"/>
  <c r="P31" i="46"/>
  <c r="M31" i="46"/>
  <c r="O31" i="46"/>
  <c r="N31" i="46"/>
  <c r="O657" i="46"/>
  <c r="N657" i="46"/>
  <c r="M657" i="46"/>
  <c r="P657" i="46"/>
  <c r="N212" i="46"/>
  <c r="O212" i="46"/>
  <c r="P212" i="46"/>
  <c r="M212" i="46"/>
  <c r="O736" i="46"/>
  <c r="N736" i="46"/>
  <c r="P736" i="46"/>
  <c r="M736" i="46"/>
  <c r="P512" i="46"/>
  <c r="N512" i="46"/>
  <c r="O512" i="46"/>
  <c r="M512" i="46"/>
  <c r="P652" i="46"/>
  <c r="N652" i="46"/>
  <c r="M652" i="46"/>
  <c r="O652" i="46"/>
  <c r="P1002" i="46"/>
  <c r="O1002" i="46"/>
  <c r="N1002" i="46"/>
  <c r="M1002" i="46"/>
  <c r="O268" i="46"/>
  <c r="N268" i="46"/>
  <c r="M268" i="46"/>
  <c r="P268" i="46"/>
  <c r="N802" i="46"/>
  <c r="M802" i="46"/>
  <c r="P802" i="46"/>
  <c r="O802" i="46"/>
  <c r="O205" i="46"/>
  <c r="M205" i="46"/>
  <c r="P205" i="46"/>
  <c r="N205" i="46"/>
  <c r="O614" i="46"/>
  <c r="M614" i="46"/>
  <c r="P614" i="46"/>
  <c r="N614" i="46"/>
  <c r="O98" i="46"/>
  <c r="P98" i="46"/>
  <c r="N98" i="46"/>
  <c r="M98" i="46"/>
  <c r="O453" i="46"/>
  <c r="N453" i="46"/>
  <c r="P453" i="46"/>
  <c r="M453" i="46"/>
  <c r="P903" i="46"/>
  <c r="O903" i="46"/>
  <c r="N903" i="46"/>
  <c r="M903" i="46"/>
  <c r="P34" i="46"/>
  <c r="M34" i="46"/>
  <c r="N34" i="46"/>
  <c r="O34" i="46"/>
  <c r="N834" i="46"/>
  <c r="O834" i="46"/>
  <c r="M834" i="46"/>
  <c r="P834" i="46"/>
  <c r="N122" i="46"/>
  <c r="O122" i="46"/>
  <c r="P122" i="46"/>
  <c r="M122" i="46"/>
  <c r="N450" i="46"/>
  <c r="M450" i="46"/>
  <c r="P450" i="46"/>
  <c r="O450" i="46"/>
  <c r="N575" i="46"/>
  <c r="M575" i="46"/>
  <c r="P575" i="46"/>
  <c r="O575" i="46"/>
  <c r="M251" i="46"/>
  <c r="P251" i="46"/>
  <c r="N251" i="46"/>
  <c r="O251" i="46"/>
  <c r="O161" i="46"/>
  <c r="M161" i="46"/>
  <c r="P161" i="46"/>
  <c r="N161" i="46"/>
  <c r="M113" i="46"/>
  <c r="O113" i="46"/>
  <c r="P113" i="46"/>
  <c r="N113" i="46"/>
  <c r="M880" i="46"/>
  <c r="N880" i="46"/>
  <c r="O880" i="46"/>
  <c r="P880" i="46"/>
  <c r="M73" i="46"/>
  <c r="N73" i="46"/>
  <c r="P73" i="46"/>
  <c r="O73" i="46"/>
  <c r="O133" i="46"/>
  <c r="P133" i="46"/>
  <c r="M133" i="46"/>
  <c r="N133" i="46"/>
  <c r="P852" i="46"/>
  <c r="N852" i="46"/>
  <c r="M852" i="46"/>
  <c r="O852" i="46"/>
  <c r="M378" i="46"/>
  <c r="P378" i="46"/>
  <c r="N378" i="46"/>
  <c r="O378" i="46"/>
  <c r="O485" i="46"/>
  <c r="M485" i="46"/>
  <c r="P485" i="46"/>
  <c r="N485" i="46"/>
  <c r="N599" i="46"/>
  <c r="M599" i="46"/>
  <c r="O599" i="46"/>
  <c r="P599" i="46"/>
  <c r="N314" i="46"/>
  <c r="M314" i="46"/>
  <c r="O314" i="46"/>
  <c r="P314" i="46"/>
  <c r="P192" i="46"/>
  <c r="O192" i="46"/>
  <c r="N192" i="46"/>
  <c r="M192" i="46"/>
  <c r="N194" i="46"/>
  <c r="P194" i="46"/>
  <c r="M194" i="46"/>
  <c r="O194" i="46"/>
  <c r="M901" i="46"/>
  <c r="O901" i="46"/>
  <c r="P901" i="46"/>
  <c r="N901" i="46"/>
  <c r="P50" i="46"/>
  <c r="N50" i="46"/>
  <c r="M50" i="46"/>
  <c r="O50" i="46"/>
  <c r="O487" i="46"/>
  <c r="N487" i="46"/>
  <c r="P487" i="46"/>
  <c r="M487" i="46"/>
  <c r="O320" i="46"/>
  <c r="M320" i="46"/>
  <c r="N320" i="46"/>
  <c r="P320" i="46"/>
  <c r="P931" i="46"/>
  <c r="M931" i="46"/>
  <c r="O931" i="46"/>
  <c r="N931" i="46"/>
  <c r="O439" i="46"/>
  <c r="M439" i="46"/>
  <c r="N439" i="46"/>
  <c r="P439" i="46"/>
  <c r="P217" i="46"/>
  <c r="O217" i="46"/>
  <c r="M217" i="46"/>
  <c r="N217" i="46"/>
  <c r="P585" i="46"/>
  <c r="M585" i="46"/>
  <c r="O585" i="46"/>
  <c r="N585" i="46"/>
  <c r="M525" i="46"/>
  <c r="P525" i="46"/>
  <c r="O525" i="46"/>
  <c r="N525" i="46"/>
  <c r="N394" i="46"/>
  <c r="P394" i="46"/>
  <c r="O394" i="46"/>
  <c r="M394" i="46"/>
  <c r="P498" i="46"/>
  <c r="O498" i="46"/>
  <c r="M498" i="46"/>
  <c r="N498" i="46"/>
  <c r="P893" i="46"/>
  <c r="O893" i="46"/>
  <c r="M893" i="46"/>
  <c r="N893" i="46"/>
  <c r="M448" i="46"/>
  <c r="O448" i="46"/>
  <c r="P448" i="46"/>
  <c r="N448" i="46"/>
  <c r="N191" i="46"/>
  <c r="O191" i="46"/>
  <c r="P191" i="46"/>
  <c r="M191" i="46"/>
  <c r="P150" i="46"/>
  <c r="N150" i="46"/>
  <c r="M150" i="46"/>
  <c r="O150" i="46"/>
  <c r="O989" i="46"/>
  <c r="P989" i="46"/>
  <c r="M989" i="46"/>
  <c r="N989" i="46"/>
  <c r="M927" i="46"/>
  <c r="N927" i="46"/>
  <c r="O927" i="46"/>
  <c r="P927" i="46"/>
  <c r="P718" i="46"/>
  <c r="M718" i="46"/>
  <c r="O718" i="46"/>
  <c r="N718" i="46"/>
  <c r="N639" i="46"/>
  <c r="P639" i="46"/>
  <c r="O639" i="46"/>
  <c r="M639" i="46"/>
  <c r="O772" i="46"/>
  <c r="P772" i="46"/>
  <c r="N772" i="46"/>
  <c r="M772" i="46"/>
  <c r="P966" i="46"/>
  <c r="O966" i="46"/>
  <c r="N966" i="46"/>
  <c r="M966" i="46"/>
  <c r="P782" i="46"/>
  <c r="M782" i="46"/>
  <c r="N782" i="46"/>
  <c r="O782" i="46"/>
  <c r="N871" i="46"/>
  <c r="M871" i="46"/>
  <c r="O871" i="46"/>
  <c r="P871" i="46"/>
  <c r="O678" i="46"/>
  <c r="M678" i="46"/>
  <c r="P678" i="46"/>
  <c r="N678" i="46"/>
  <c r="M406" i="46"/>
  <c r="N406" i="46"/>
  <c r="P406" i="46"/>
  <c r="O406" i="46"/>
  <c r="O462" i="46"/>
  <c r="P462" i="46"/>
  <c r="N462" i="46"/>
  <c r="M462" i="46"/>
  <c r="O867" i="46"/>
  <c r="N867" i="46"/>
  <c r="P867" i="46"/>
  <c r="M867" i="46"/>
  <c r="O946" i="46"/>
  <c r="M946" i="46"/>
  <c r="N946" i="46"/>
  <c r="P946" i="46"/>
  <c r="N72" i="46"/>
  <c r="O72" i="46"/>
  <c r="P72" i="46"/>
  <c r="M72" i="46"/>
  <c r="M141" i="46"/>
  <c r="N141" i="46"/>
  <c r="P141" i="46"/>
  <c r="O141" i="46"/>
  <c r="N223" i="46"/>
  <c r="P223" i="46"/>
  <c r="M223" i="46"/>
  <c r="O223" i="46"/>
  <c r="M618" i="46"/>
  <c r="O618" i="46"/>
  <c r="P618" i="46"/>
  <c r="N618" i="46"/>
  <c r="M404" i="46"/>
  <c r="N404" i="46"/>
  <c r="P404" i="46"/>
  <c r="O404" i="46"/>
  <c r="O875" i="46"/>
  <c r="M875" i="46"/>
  <c r="P875" i="46"/>
  <c r="N875" i="46"/>
  <c r="P318" i="46"/>
  <c r="M318" i="46"/>
  <c r="N318" i="46"/>
  <c r="O318" i="46"/>
  <c r="N680" i="46"/>
  <c r="M680" i="46"/>
  <c r="P680" i="46"/>
  <c r="O680" i="46"/>
  <c r="N706" i="46"/>
  <c r="O706" i="46"/>
  <c r="P706" i="46"/>
  <c r="M706" i="46"/>
  <c r="N111" i="46"/>
  <c r="O111" i="46"/>
  <c r="M111" i="46"/>
  <c r="P111" i="46"/>
  <c r="M199" i="46"/>
  <c r="P199" i="46"/>
  <c r="O199" i="46"/>
  <c r="N199" i="46"/>
  <c r="M423" i="46"/>
  <c r="P423" i="46"/>
  <c r="N423" i="46"/>
  <c r="O423" i="46"/>
  <c r="O414" i="46"/>
  <c r="M414" i="46"/>
  <c r="P414" i="46"/>
  <c r="N414" i="46"/>
  <c r="M811" i="46"/>
  <c r="O811" i="46"/>
  <c r="P811" i="46"/>
  <c r="N811" i="46"/>
  <c r="P254" i="46"/>
  <c r="N254" i="46"/>
  <c r="M254" i="46"/>
  <c r="O254" i="46"/>
  <c r="N972" i="46"/>
  <c r="O972" i="46"/>
  <c r="P972" i="46"/>
  <c r="M972" i="46"/>
  <c r="M127" i="46"/>
  <c r="O127" i="46"/>
  <c r="N127" i="46"/>
  <c r="P127" i="46"/>
  <c r="N486" i="46"/>
  <c r="O486" i="46"/>
  <c r="P486" i="46"/>
  <c r="M486" i="46"/>
  <c r="M54" i="46"/>
  <c r="P54" i="46"/>
  <c r="O54" i="46"/>
  <c r="N54" i="46"/>
  <c r="O393" i="46"/>
  <c r="P393" i="46"/>
  <c r="M393" i="46"/>
  <c r="N393" i="46"/>
  <c r="M466" i="46"/>
  <c r="P466" i="46"/>
  <c r="N466" i="46"/>
  <c r="O466" i="46"/>
  <c r="O861" i="46"/>
  <c r="M861" i="46"/>
  <c r="N861" i="46"/>
  <c r="P861" i="46"/>
  <c r="O39" i="46"/>
  <c r="M39" i="46"/>
  <c r="P39" i="46"/>
  <c r="N39" i="46"/>
  <c r="P936" i="46"/>
  <c r="O936" i="46"/>
  <c r="M936" i="46"/>
  <c r="N936" i="46"/>
  <c r="N74" i="46"/>
  <c r="O74" i="46"/>
  <c r="M74" i="46"/>
  <c r="P74" i="46"/>
  <c r="N501" i="46"/>
  <c r="M501" i="46"/>
  <c r="O501" i="46"/>
  <c r="P501" i="46"/>
  <c r="M11" i="46"/>
  <c r="N11" i="46"/>
  <c r="O11" i="46"/>
  <c r="P11" i="46"/>
  <c r="M542" i="46"/>
  <c r="N542" i="46"/>
  <c r="O542" i="46"/>
  <c r="P542" i="46"/>
  <c r="N677" i="46"/>
  <c r="O677" i="46"/>
  <c r="P677" i="46"/>
  <c r="M677" i="46"/>
  <c r="N357" i="46"/>
  <c r="P357" i="46"/>
  <c r="O357" i="46"/>
  <c r="M357" i="46"/>
  <c r="N244" i="46"/>
  <c r="P244" i="46"/>
  <c r="O244" i="46"/>
  <c r="M244" i="46"/>
  <c r="P724" i="46"/>
  <c r="M724" i="46"/>
  <c r="N724" i="46"/>
  <c r="O724" i="46"/>
  <c r="M629" i="46"/>
  <c r="O629" i="46"/>
  <c r="N629" i="46"/>
  <c r="P629" i="46"/>
  <c r="P363" i="46"/>
  <c r="N363" i="46"/>
  <c r="O363" i="46"/>
  <c r="M363" i="46"/>
  <c r="N904" i="46"/>
  <c r="O904" i="46"/>
  <c r="M904" i="46"/>
  <c r="P904" i="46"/>
  <c r="P257" i="46"/>
  <c r="M257" i="46"/>
  <c r="O257" i="46"/>
  <c r="N257" i="46"/>
  <c r="O216" i="46"/>
  <c r="P216" i="46"/>
  <c r="M216" i="46"/>
  <c r="N216" i="46"/>
  <c r="P977" i="46"/>
  <c r="N977" i="46"/>
  <c r="M977" i="46"/>
  <c r="O977" i="46"/>
  <c r="M204" i="46"/>
  <c r="N204" i="46"/>
  <c r="P204" i="46"/>
  <c r="O204" i="46"/>
  <c r="N83" i="46"/>
  <c r="O83" i="46"/>
  <c r="M83" i="46"/>
  <c r="P83" i="46"/>
  <c r="N358" i="46"/>
  <c r="P358" i="46"/>
  <c r="O358" i="46"/>
  <c r="M358" i="46"/>
  <c r="P600" i="46"/>
  <c r="N600" i="46"/>
  <c r="M600" i="46"/>
  <c r="O600" i="46"/>
  <c r="M854" i="46"/>
  <c r="N854" i="46"/>
  <c r="O854" i="46"/>
  <c r="P854" i="46"/>
  <c r="N714" i="46"/>
  <c r="P714" i="46"/>
  <c r="O714" i="46"/>
  <c r="M714" i="46"/>
  <c r="P391" i="46"/>
  <c r="M391" i="46"/>
  <c r="O391" i="46"/>
  <c r="N391" i="46"/>
  <c r="P769" i="46"/>
  <c r="N769" i="46"/>
  <c r="M769" i="46"/>
  <c r="O769" i="46"/>
  <c r="M328" i="46"/>
  <c r="P328" i="46"/>
  <c r="N328" i="46"/>
  <c r="O328" i="46"/>
  <c r="M860" i="46"/>
  <c r="P860" i="46"/>
  <c r="O860" i="46"/>
  <c r="N860" i="46"/>
  <c r="N305" i="46"/>
  <c r="M305" i="46"/>
  <c r="O305" i="46"/>
  <c r="P305" i="46"/>
  <c r="N569" i="46"/>
  <c r="M569" i="46"/>
  <c r="P569" i="46"/>
  <c r="O569" i="46"/>
  <c r="O385" i="46"/>
  <c r="M385" i="46"/>
  <c r="N385" i="46"/>
  <c r="P385" i="46"/>
  <c r="O27" i="46"/>
  <c r="N27" i="46"/>
  <c r="P27" i="46"/>
  <c r="M27" i="46"/>
  <c r="N702" i="46"/>
  <c r="M702" i="46"/>
  <c r="O702" i="46"/>
  <c r="P702" i="46"/>
  <c r="N993" i="46"/>
  <c r="P993" i="46"/>
  <c r="O993" i="46"/>
  <c r="M993" i="46"/>
  <c r="N171" i="46"/>
  <c r="O171" i="46"/>
  <c r="P171" i="46"/>
  <c r="M171" i="46"/>
  <c r="P243" i="46"/>
  <c r="N243" i="46"/>
  <c r="O243" i="46"/>
  <c r="M243" i="46"/>
  <c r="N224" i="46"/>
  <c r="P224" i="46"/>
  <c r="O224" i="46"/>
  <c r="M224" i="46"/>
  <c r="N256" i="46"/>
  <c r="P256" i="46"/>
  <c r="O256" i="46"/>
  <c r="M256" i="46"/>
  <c r="N882" i="46"/>
  <c r="O882" i="46"/>
  <c r="P882" i="46"/>
  <c r="M882" i="46"/>
  <c r="O850" i="46"/>
  <c r="M850" i="46"/>
  <c r="P850" i="46"/>
  <c r="N850" i="46"/>
  <c r="O395" i="46"/>
  <c r="P395" i="46"/>
  <c r="N395" i="46"/>
  <c r="M395" i="46"/>
  <c r="P418" i="46"/>
  <c r="M418" i="46"/>
  <c r="N418" i="46"/>
  <c r="O418" i="46"/>
  <c r="P950" i="46"/>
  <c r="O950" i="46"/>
  <c r="M950" i="46"/>
  <c r="N950" i="46"/>
  <c r="P886" i="46"/>
  <c r="M886" i="46"/>
  <c r="N886" i="46"/>
  <c r="O886" i="46"/>
  <c r="M825" i="46"/>
  <c r="P825" i="46"/>
  <c r="O825" i="46"/>
  <c r="N825" i="46"/>
  <c r="M738" i="46"/>
  <c r="O738" i="46"/>
  <c r="N738" i="46"/>
  <c r="P738" i="46"/>
  <c r="P759" i="46"/>
  <c r="O759" i="46"/>
  <c r="M759" i="46"/>
  <c r="N759" i="46"/>
  <c r="M208" i="46"/>
  <c r="O208" i="46"/>
  <c r="N208" i="46"/>
  <c r="P208" i="46"/>
  <c r="P86" i="46"/>
  <c r="O86" i="46"/>
  <c r="M86" i="46"/>
  <c r="N86" i="46"/>
  <c r="N547" i="46"/>
  <c r="P547" i="46"/>
  <c r="O547" i="46"/>
  <c r="M547" i="46"/>
  <c r="O482" i="46"/>
  <c r="P482" i="46"/>
  <c r="M482" i="46"/>
  <c r="N482" i="46"/>
  <c r="O350" i="46"/>
  <c r="M350" i="46"/>
  <c r="N350" i="46"/>
  <c r="P350" i="46"/>
  <c r="N606" i="46"/>
  <c r="M606" i="46"/>
  <c r="P606" i="46"/>
  <c r="O606" i="46"/>
  <c r="P837" i="46"/>
  <c r="M837" i="46"/>
  <c r="N837" i="46"/>
  <c r="O837" i="46"/>
  <c r="O840" i="46"/>
  <c r="P840" i="46"/>
  <c r="N840" i="46"/>
  <c r="M840" i="46"/>
  <c r="N727" i="46"/>
  <c r="P727" i="46"/>
  <c r="M727" i="46"/>
  <c r="O727" i="46"/>
  <c r="O917" i="46"/>
  <c r="N917" i="46"/>
  <c r="P917" i="46"/>
  <c r="M917" i="46"/>
  <c r="N174" i="46"/>
  <c r="M174" i="46"/>
  <c r="P174" i="46"/>
  <c r="O174" i="46"/>
  <c r="N263" i="46"/>
  <c r="M263" i="46"/>
  <c r="O263" i="46"/>
  <c r="P263" i="46"/>
  <c r="P894" i="46"/>
  <c r="N894" i="46"/>
  <c r="M894" i="46"/>
  <c r="O894" i="46"/>
  <c r="M761" i="46"/>
  <c r="P761" i="46"/>
  <c r="N761" i="46"/>
  <c r="O761" i="46"/>
  <c r="P183" i="46"/>
  <c r="M183" i="46"/>
  <c r="O183" i="46"/>
  <c r="N183" i="46"/>
  <c r="P182" i="46"/>
  <c r="O182" i="46"/>
  <c r="M182" i="46"/>
  <c r="N182" i="46"/>
  <c r="O336" i="46"/>
  <c r="P336" i="46"/>
  <c r="N336" i="46"/>
  <c r="M336" i="46"/>
  <c r="O362" i="46"/>
  <c r="N362" i="46"/>
  <c r="P362" i="46"/>
  <c r="M362" i="46"/>
  <c r="N389" i="46"/>
  <c r="O389" i="46"/>
  <c r="P389" i="46"/>
  <c r="M389" i="46"/>
  <c r="M436" i="46"/>
  <c r="O436" i="46"/>
  <c r="N436" i="46"/>
  <c r="P436" i="46"/>
  <c r="P228" i="46"/>
  <c r="N228" i="46"/>
  <c r="O228" i="46"/>
  <c r="M228" i="46"/>
  <c r="P340" i="46"/>
  <c r="O340" i="46"/>
  <c r="N340" i="46"/>
  <c r="M340" i="46"/>
  <c r="O62" i="46"/>
  <c r="N62" i="46"/>
  <c r="M62" i="46"/>
  <c r="P62" i="46"/>
  <c r="P511" i="46"/>
  <c r="M511" i="46"/>
  <c r="N511" i="46"/>
  <c r="O511" i="46"/>
  <c r="M559" i="46"/>
  <c r="O559" i="46"/>
  <c r="N559" i="46"/>
  <c r="P559" i="46"/>
  <c r="O422" i="46"/>
  <c r="N422" i="46"/>
  <c r="M422" i="46"/>
  <c r="P422" i="46"/>
  <c r="N762" i="46"/>
  <c r="O762" i="46"/>
  <c r="P762" i="46"/>
  <c r="M762" i="46"/>
  <c r="N684" i="46"/>
  <c r="O684" i="46"/>
  <c r="M684" i="46"/>
  <c r="P684" i="46"/>
  <c r="M284" i="46"/>
  <c r="P284" i="46"/>
  <c r="O284" i="46"/>
  <c r="N284" i="46"/>
  <c r="M356" i="46"/>
  <c r="P356" i="46"/>
  <c r="O356" i="46"/>
  <c r="N356" i="46"/>
  <c r="O235" i="46"/>
  <c r="P235" i="46"/>
  <c r="M235" i="46"/>
  <c r="N235" i="46"/>
  <c r="P951" i="46"/>
  <c r="O951" i="46"/>
  <c r="N951" i="46"/>
  <c r="M951" i="46"/>
  <c r="N844" i="46"/>
  <c r="O844" i="46"/>
  <c r="P844" i="46"/>
  <c r="M844" i="46"/>
  <c r="N353" i="46"/>
  <c r="O353" i="46"/>
  <c r="P353" i="46"/>
  <c r="M353" i="46"/>
  <c r="M148" i="46"/>
  <c r="N148" i="46"/>
  <c r="O148" i="46"/>
  <c r="P148" i="46"/>
  <c r="O232" i="46"/>
  <c r="P232" i="46"/>
  <c r="M232" i="46"/>
  <c r="N232" i="46"/>
  <c r="O520" i="46"/>
  <c r="M520" i="46"/>
  <c r="P520" i="46"/>
  <c r="N520" i="46"/>
  <c r="O347" i="46"/>
  <c r="M347" i="46"/>
  <c r="N347" i="46"/>
  <c r="P347" i="46"/>
  <c r="M915" i="46"/>
  <c r="O915" i="46"/>
  <c r="P915" i="46"/>
  <c r="N915" i="46"/>
  <c r="O372" i="46"/>
  <c r="N372" i="46"/>
  <c r="P372" i="46"/>
  <c r="M372" i="46"/>
  <c r="P787" i="46"/>
  <c r="N787" i="46"/>
  <c r="M787" i="46"/>
  <c r="O787" i="46"/>
  <c r="O760" i="46"/>
  <c r="M760" i="46"/>
  <c r="P760" i="46"/>
  <c r="N760" i="46"/>
  <c r="N508" i="46"/>
  <c r="M508" i="46"/>
  <c r="P508" i="46"/>
  <c r="O508" i="46"/>
  <c r="P947" i="46"/>
  <c r="O947" i="46"/>
  <c r="M947" i="46"/>
  <c r="N947" i="46"/>
  <c r="O992" i="46"/>
  <c r="M992" i="46"/>
  <c r="P992" i="46"/>
  <c r="N992" i="46"/>
  <c r="O988" i="46"/>
  <c r="P988" i="46"/>
  <c r="N988" i="46"/>
  <c r="M988" i="46"/>
  <c r="N654" i="46"/>
  <c r="P654" i="46"/>
  <c r="M654" i="46"/>
  <c r="O654" i="46"/>
  <c r="N928" i="46"/>
  <c r="P928" i="46"/>
  <c r="O928" i="46"/>
  <c r="M928" i="46"/>
  <c r="P474" i="46"/>
  <c r="O474" i="46"/>
  <c r="N474" i="46"/>
  <c r="M474" i="46"/>
  <c r="P274" i="46"/>
  <c r="M274" i="46"/>
  <c r="N274" i="46"/>
  <c r="O274" i="46"/>
  <c r="N529" i="46"/>
  <c r="P529" i="46"/>
  <c r="M529" i="46"/>
  <c r="O529" i="46"/>
  <c r="O570" i="46"/>
  <c r="P570" i="46"/>
  <c r="M570" i="46"/>
  <c r="N570" i="46"/>
  <c r="M658" i="46"/>
  <c r="O658" i="46"/>
  <c r="P658" i="46"/>
  <c r="N658" i="46"/>
  <c r="N695" i="46"/>
  <c r="M695" i="46"/>
  <c r="P695" i="46"/>
  <c r="O695" i="46"/>
  <c r="M434" i="46"/>
  <c r="N434" i="46"/>
  <c r="P434" i="46"/>
  <c r="O434" i="46"/>
  <c r="P571" i="46"/>
  <c r="O571" i="46"/>
  <c r="M571" i="46"/>
  <c r="N571" i="46"/>
  <c r="N316" i="46"/>
  <c r="O316" i="46"/>
  <c r="P316" i="46"/>
  <c r="M316" i="46"/>
  <c r="O821" i="46"/>
  <c r="P821" i="46"/>
  <c r="N821" i="46"/>
  <c r="M821" i="46"/>
  <c r="N817" i="46"/>
  <c r="O817" i="46"/>
  <c r="M817" i="46"/>
  <c r="P817" i="46"/>
  <c r="P441" i="46"/>
  <c r="O441" i="46"/>
  <c r="M441" i="46"/>
  <c r="N441" i="46"/>
  <c r="P156" i="46"/>
  <c r="O156" i="46"/>
  <c r="M156" i="46"/>
  <c r="N156" i="46"/>
  <c r="M758" i="46"/>
  <c r="N758" i="46"/>
  <c r="O758" i="46"/>
  <c r="P758" i="46"/>
  <c r="N440" i="46"/>
  <c r="P440" i="46"/>
  <c r="O440" i="46"/>
  <c r="M440" i="46"/>
  <c r="N801" i="46"/>
  <c r="M801" i="46"/>
  <c r="P801" i="46"/>
  <c r="O801" i="46"/>
  <c r="P495" i="46"/>
  <c r="O495" i="46"/>
  <c r="M495" i="46"/>
  <c r="N495" i="46"/>
  <c r="P159" i="46"/>
  <c r="M159" i="46"/>
  <c r="O159" i="46"/>
  <c r="N159" i="46"/>
  <c r="P107" i="46"/>
  <c r="N107" i="46"/>
  <c r="O107" i="46"/>
  <c r="M107" i="46"/>
  <c r="O937" i="46"/>
  <c r="P937" i="46"/>
  <c r="N937" i="46"/>
  <c r="M937" i="46"/>
  <c r="M69" i="46"/>
  <c r="O69" i="46"/>
  <c r="N69" i="46"/>
  <c r="P69" i="46"/>
  <c r="M1003" i="46"/>
  <c r="O1003" i="46"/>
  <c r="P1003" i="46"/>
  <c r="N1003" i="46"/>
  <c r="N309" i="46"/>
  <c r="P309" i="46"/>
  <c r="M309" i="46"/>
  <c r="O309" i="46"/>
  <c r="N857" i="46"/>
  <c r="M857" i="46"/>
  <c r="P857" i="46"/>
  <c r="O857" i="46"/>
  <c r="M775" i="46"/>
  <c r="O775" i="46"/>
  <c r="N775" i="46"/>
  <c r="P775" i="46"/>
  <c r="O838" i="46"/>
  <c r="N838" i="46"/>
  <c r="P838" i="46"/>
  <c r="M838" i="46"/>
  <c r="P748" i="46"/>
  <c r="O748" i="46"/>
  <c r="M748" i="46"/>
  <c r="N748" i="46"/>
  <c r="M595" i="46"/>
  <c r="O595" i="46"/>
  <c r="P595" i="46"/>
  <c r="N595" i="46"/>
  <c r="N359" i="46"/>
  <c r="P359" i="46"/>
  <c r="M359" i="46"/>
  <c r="O359" i="46"/>
  <c r="M938" i="46"/>
  <c r="P938" i="46"/>
  <c r="N938" i="46"/>
  <c r="O938" i="46"/>
  <c r="O609" i="46"/>
  <c r="P609" i="46"/>
  <c r="M609" i="46"/>
  <c r="N609" i="46"/>
  <c r="N979" i="46"/>
  <c r="O979" i="46"/>
  <c r="M979" i="46"/>
  <c r="P979" i="46"/>
  <c r="N288" i="46"/>
  <c r="O288" i="46"/>
  <c r="M288" i="46"/>
  <c r="P288" i="46"/>
  <c r="M13" i="46"/>
  <c r="N13" i="46"/>
  <c r="O13" i="46"/>
  <c r="P13" i="46"/>
  <c r="P36" i="46"/>
  <c r="O36" i="46"/>
  <c r="N36" i="46"/>
  <c r="M36" i="46"/>
  <c r="O1000" i="46"/>
  <c r="P1000" i="46"/>
  <c r="M1000" i="46"/>
  <c r="N1000" i="46"/>
  <c r="P623" i="46"/>
  <c r="O623" i="46"/>
  <c r="N623" i="46"/>
  <c r="M623" i="46"/>
  <c r="P810" i="46"/>
  <c r="O810" i="46"/>
  <c r="N810" i="46"/>
  <c r="M810" i="46"/>
  <c r="M255" i="46"/>
  <c r="O255" i="46"/>
  <c r="N255" i="46"/>
  <c r="P255" i="46"/>
  <c r="P329" i="46"/>
  <c r="M329" i="46"/>
  <c r="N329" i="46"/>
  <c r="O329" i="46"/>
  <c r="O527" i="46"/>
  <c r="P527" i="46"/>
  <c r="M527" i="46"/>
  <c r="N527" i="46"/>
  <c r="P720" i="46"/>
  <c r="O720" i="46"/>
  <c r="M720" i="46"/>
  <c r="N720" i="46"/>
  <c r="M157" i="46"/>
  <c r="O157" i="46"/>
  <c r="P157" i="46"/>
  <c r="N157" i="46"/>
  <c r="O974" i="46"/>
  <c r="M974" i="46"/>
  <c r="N974" i="46"/>
  <c r="P974" i="46"/>
  <c r="M550" i="46"/>
  <c r="P550" i="46"/>
  <c r="O550" i="46"/>
  <c r="N550" i="46"/>
  <c r="P613" i="46"/>
  <c r="O613" i="46"/>
  <c r="N613" i="46"/>
  <c r="M613" i="46"/>
  <c r="N190" i="46"/>
  <c r="P190" i="46"/>
  <c r="O190" i="46"/>
  <c r="M190" i="46"/>
  <c r="P424" i="46"/>
  <c r="M424" i="46"/>
  <c r="N424" i="46"/>
  <c r="O424" i="46"/>
  <c r="P196" i="46"/>
  <c r="M196" i="46"/>
  <c r="N196" i="46"/>
  <c r="O196" i="46"/>
  <c r="M334" i="46"/>
  <c r="O334" i="46"/>
  <c r="N334" i="46"/>
  <c r="P334" i="46"/>
  <c r="M740" i="46"/>
  <c r="P740" i="46"/>
  <c r="N740" i="46"/>
  <c r="O740" i="46"/>
  <c r="M20" i="46"/>
  <c r="O20" i="46"/>
  <c r="N20" i="46"/>
  <c r="P20" i="46"/>
  <c r="O814" i="46"/>
  <c r="M814" i="46"/>
  <c r="N814" i="46"/>
  <c r="P814" i="46"/>
  <c r="N302" i="46"/>
  <c r="P302" i="46"/>
  <c r="M302" i="46"/>
  <c r="O302" i="46"/>
  <c r="O704" i="46"/>
  <c r="N704" i="46"/>
  <c r="M704" i="46"/>
  <c r="P704" i="46"/>
  <c r="O849" i="46"/>
  <c r="M849" i="46"/>
  <c r="P849" i="46"/>
  <c r="N849" i="46"/>
  <c r="M673" i="46"/>
  <c r="O673" i="46"/>
  <c r="P673" i="46"/>
  <c r="N673" i="46"/>
  <c r="M264" i="46"/>
  <c r="O264" i="46"/>
  <c r="N264" i="46"/>
  <c r="P264" i="46"/>
  <c r="O297" i="46"/>
  <c r="M297" i="46"/>
  <c r="N297" i="46"/>
  <c r="P297" i="46"/>
  <c r="N731" i="46"/>
  <c r="M731" i="46"/>
  <c r="O731" i="46"/>
  <c r="P731" i="46"/>
  <c r="O387" i="46"/>
  <c r="N387" i="46"/>
  <c r="M387" i="46"/>
  <c r="P387" i="46"/>
  <c r="N996" i="46"/>
  <c r="P996" i="46"/>
  <c r="O996" i="46"/>
  <c r="M996" i="46"/>
  <c r="M17" i="46"/>
  <c r="N17" i="46"/>
  <c r="P17" i="46"/>
  <c r="O17" i="46"/>
  <c r="P970" i="46"/>
  <c r="O970" i="46"/>
  <c r="M970" i="46"/>
  <c r="N970" i="46"/>
  <c r="P1001" i="46"/>
  <c r="O1001" i="46"/>
  <c r="N1001" i="46"/>
  <c r="M1001" i="46"/>
  <c r="N555" i="46"/>
  <c r="O555" i="46"/>
  <c r="P555" i="46"/>
  <c r="M555" i="46"/>
  <c r="M452" i="46"/>
  <c r="P452" i="46"/>
  <c r="O452" i="46"/>
  <c r="N452" i="46"/>
  <c r="O399" i="46"/>
  <c r="P399" i="46"/>
  <c r="N399" i="46"/>
  <c r="M399" i="46"/>
  <c r="M348" i="46"/>
  <c r="P348" i="46"/>
  <c r="N348" i="46"/>
  <c r="O348" i="46"/>
  <c r="O92" i="46"/>
  <c r="M92" i="46"/>
  <c r="N92" i="46"/>
  <c r="P92" i="46"/>
  <c r="M149" i="46"/>
  <c r="P149" i="46"/>
  <c r="N149" i="46"/>
  <c r="O149" i="46"/>
  <c r="P319" i="46"/>
  <c r="O319" i="46"/>
  <c r="M319" i="46"/>
  <c r="N319" i="46"/>
  <c r="P246" i="46"/>
  <c r="N246" i="46"/>
  <c r="M246" i="46"/>
  <c r="O246" i="46"/>
  <c r="M58" i="46"/>
  <c r="P58" i="46"/>
  <c r="N58" i="46"/>
  <c r="O58" i="46"/>
  <c r="N534" i="46"/>
  <c r="O534" i="46"/>
  <c r="P534" i="46"/>
  <c r="M534" i="46"/>
  <c r="M681" i="46"/>
  <c r="P681" i="46"/>
  <c r="O681" i="46"/>
  <c r="N681" i="46"/>
  <c r="M432" i="46"/>
  <c r="O432" i="46"/>
  <c r="P432" i="46"/>
  <c r="N432" i="46"/>
  <c r="O962" i="46"/>
  <c r="N962" i="46"/>
  <c r="P962" i="46"/>
  <c r="M962" i="46"/>
  <c r="O226" i="46"/>
  <c r="N226" i="46"/>
  <c r="P226" i="46"/>
  <c r="M226" i="46"/>
  <c r="M100" i="46"/>
  <c r="P100" i="46"/>
  <c r="N100" i="46"/>
  <c r="O100" i="46"/>
  <c r="M688" i="46"/>
  <c r="P688" i="46"/>
  <c r="O688" i="46"/>
  <c r="N688" i="46"/>
  <c r="N999" i="46"/>
  <c r="P999" i="46"/>
  <c r="O999" i="46"/>
  <c r="M999" i="46"/>
  <c r="P26" i="46"/>
  <c r="O26" i="46"/>
  <c r="N26" i="46"/>
  <c r="M26" i="46"/>
  <c r="M67" i="46"/>
  <c r="O67" i="46"/>
  <c r="N67" i="46"/>
  <c r="P67" i="46"/>
  <c r="N427" i="46"/>
  <c r="P427" i="46"/>
  <c r="O427" i="46"/>
  <c r="M427" i="46"/>
  <c r="O160" i="46"/>
  <c r="N160" i="46"/>
  <c r="M160" i="46"/>
  <c r="P160" i="46"/>
  <c r="P735" i="46"/>
  <c r="N735" i="46"/>
  <c r="O735" i="46"/>
  <c r="M735" i="46"/>
  <c r="N793" i="46"/>
  <c r="P793" i="46"/>
  <c r="O793" i="46"/>
  <c r="M793" i="46"/>
  <c r="O824" i="46"/>
  <c r="P824" i="46"/>
  <c r="N824" i="46"/>
  <c r="M824" i="46"/>
  <c r="M596" i="46"/>
  <c r="P596" i="46"/>
  <c r="N596" i="46"/>
  <c r="O596" i="46"/>
  <c r="M930" i="46"/>
  <c r="P930" i="46"/>
  <c r="O930" i="46"/>
  <c r="N930" i="46"/>
  <c r="M447" i="46"/>
  <c r="P447" i="46"/>
  <c r="O447" i="46"/>
  <c r="N447" i="46"/>
  <c r="P490" i="46"/>
  <c r="N490" i="46"/>
  <c r="M490" i="46"/>
  <c r="O490" i="46"/>
  <c r="P646" i="46"/>
  <c r="O646" i="46"/>
  <c r="N646" i="46"/>
  <c r="M646" i="46"/>
  <c r="P247" i="46"/>
  <c r="O247" i="46"/>
  <c r="M247" i="46"/>
  <c r="N247" i="46"/>
  <c r="N737" i="46"/>
  <c r="O737" i="46"/>
  <c r="P737" i="46"/>
  <c r="M737" i="46"/>
  <c r="P674" i="46"/>
  <c r="O674" i="46"/>
  <c r="M674" i="46"/>
  <c r="N674" i="46"/>
  <c r="N567" i="46"/>
  <c r="P567" i="46"/>
  <c r="O567" i="46"/>
  <c r="M567" i="46"/>
  <c r="M260" i="46"/>
  <c r="N260" i="46"/>
  <c r="P260" i="46"/>
  <c r="O260" i="46"/>
  <c r="N715" i="46"/>
  <c r="O715" i="46"/>
  <c r="M715" i="46"/>
  <c r="P715" i="46"/>
  <c r="P944" i="46"/>
  <c r="N944" i="46"/>
  <c r="O944" i="46"/>
  <c r="M944" i="46"/>
  <c r="N383" i="46"/>
  <c r="O383" i="46"/>
  <c r="P383" i="46"/>
  <c r="M383" i="46"/>
  <c r="O619" i="46"/>
  <c r="P619" i="46"/>
  <c r="M619" i="46"/>
  <c r="N619" i="46"/>
  <c r="N941" i="46"/>
  <c r="M941" i="46"/>
  <c r="P941" i="46"/>
  <c r="O941" i="46"/>
  <c r="N65" i="46"/>
  <c r="M65" i="46"/>
  <c r="P65" i="46"/>
  <c r="O65" i="46"/>
  <c r="M118" i="46"/>
  <c r="O118" i="46"/>
  <c r="P118" i="46"/>
  <c r="N118" i="46"/>
  <c r="P458" i="46"/>
  <c r="N458" i="46"/>
  <c r="M458" i="46"/>
  <c r="O458" i="46"/>
  <c r="M177" i="46"/>
  <c r="N177" i="46"/>
  <c r="O177" i="46"/>
  <c r="P177" i="46"/>
  <c r="N617" i="46"/>
  <c r="O617" i="46"/>
  <c r="M617" i="46"/>
  <c r="P617" i="46"/>
  <c r="M459" i="46"/>
  <c r="O459" i="46"/>
  <c r="N459" i="46"/>
  <c r="P459" i="46"/>
  <c r="P271" i="46"/>
  <c r="O271" i="46"/>
  <c r="M271" i="46"/>
  <c r="N271" i="46"/>
  <c r="O420" i="46"/>
  <c r="P420" i="46"/>
  <c r="M420" i="46"/>
  <c r="N420" i="46"/>
  <c r="P220" i="46"/>
  <c r="N220" i="46"/>
  <c r="M220" i="46"/>
  <c r="O220" i="46"/>
  <c r="N480" i="46"/>
  <c r="P480" i="46"/>
  <c r="O480" i="46"/>
  <c r="M480" i="46"/>
  <c r="N908" i="46"/>
  <c r="P908" i="46"/>
  <c r="M908" i="46"/>
  <c r="O908" i="46"/>
  <c r="P168" i="46"/>
  <c r="N168" i="46"/>
  <c r="M168" i="46"/>
  <c r="O168" i="46"/>
  <c r="M476" i="46"/>
  <c r="P476" i="46"/>
  <c r="N476" i="46"/>
  <c r="O476" i="46"/>
  <c r="O281" i="46"/>
  <c r="N281" i="46"/>
  <c r="M281" i="46"/>
  <c r="P281" i="46"/>
  <c r="P442" i="46"/>
  <c r="N442" i="46"/>
  <c r="M442" i="46"/>
  <c r="O442" i="46"/>
  <c r="O16" i="46"/>
  <c r="N16" i="46"/>
  <c r="M16" i="46"/>
  <c r="P16" i="46"/>
  <c r="O245" i="46"/>
  <c r="M245" i="46"/>
  <c r="N245" i="46"/>
  <c r="P245" i="46"/>
  <c r="M120" i="46"/>
  <c r="O120" i="46"/>
  <c r="N120" i="46"/>
  <c r="P120" i="46"/>
  <c r="O935" i="46"/>
  <c r="M935" i="46"/>
  <c r="N935" i="46"/>
  <c r="P935" i="46"/>
  <c r="P431" i="46"/>
  <c r="M431" i="46"/>
  <c r="O431" i="46"/>
  <c r="N431" i="46"/>
  <c r="P310" i="46"/>
  <c r="N310" i="46"/>
  <c r="O310" i="46"/>
  <c r="M310" i="46"/>
  <c r="P846" i="46"/>
  <c r="N846" i="46"/>
  <c r="M846" i="46"/>
  <c r="O846" i="46"/>
  <c r="P828" i="46"/>
  <c r="M828" i="46"/>
  <c r="N828" i="46"/>
  <c r="O828" i="46"/>
  <c r="P922" i="46"/>
  <c r="O922" i="46"/>
  <c r="M922" i="46"/>
  <c r="N922" i="46"/>
  <c r="N574" i="46"/>
  <c r="M574" i="46"/>
  <c r="P574" i="46"/>
  <c r="O574" i="46"/>
  <c r="M583" i="46"/>
  <c r="O583" i="46"/>
  <c r="P583" i="46"/>
  <c r="N583" i="46"/>
  <c r="M701" i="46"/>
  <c r="O701" i="46"/>
  <c r="N701" i="46"/>
  <c r="P701" i="46"/>
  <c r="O969" i="46"/>
  <c r="N969" i="46"/>
  <c r="M969" i="46"/>
  <c r="P969" i="46"/>
  <c r="N135" i="46"/>
  <c r="M135" i="46"/>
  <c r="P135" i="46"/>
  <c r="O135" i="46"/>
  <c r="O728" i="46"/>
  <c r="P728" i="46"/>
  <c r="M728" i="46"/>
  <c r="N728" i="46"/>
  <c r="P602" i="46"/>
  <c r="N602" i="46"/>
  <c r="O602" i="46"/>
  <c r="M602" i="46"/>
  <c r="P771" i="46"/>
  <c r="O771" i="46"/>
  <c r="N771" i="46"/>
  <c r="M771" i="46"/>
  <c r="O374" i="46"/>
  <c r="N374" i="46"/>
  <c r="M374" i="46"/>
  <c r="P374" i="46"/>
  <c r="P874" i="46"/>
  <c r="M874" i="46"/>
  <c r="O874" i="46"/>
  <c r="N874" i="46"/>
  <c r="M496" i="46"/>
  <c r="N496" i="46"/>
  <c r="O496" i="46"/>
  <c r="P496" i="46"/>
  <c r="P621" i="46"/>
  <c r="M621" i="46"/>
  <c r="O621" i="46"/>
  <c r="N621" i="46"/>
  <c r="N172" i="46"/>
  <c r="O172" i="46"/>
  <c r="P172" i="46"/>
  <c r="M172" i="46"/>
  <c r="M765" i="46"/>
  <c r="O765" i="46"/>
  <c r="N765" i="46"/>
  <c r="P765" i="46"/>
  <c r="P181" i="46"/>
  <c r="M181" i="46"/>
  <c r="O181" i="46"/>
  <c r="N181" i="46"/>
  <c r="M983" i="46"/>
  <c r="P983" i="46"/>
  <c r="O983" i="46"/>
  <c r="N983" i="46"/>
  <c r="O200" i="46"/>
  <c r="M200" i="46"/>
  <c r="N200" i="46"/>
  <c r="P200" i="46"/>
  <c r="M170" i="46"/>
  <c r="P170" i="46"/>
  <c r="O170" i="46"/>
  <c r="N170" i="46"/>
  <c r="O187" i="46"/>
  <c r="M187" i="46"/>
  <c r="N187" i="46"/>
  <c r="P187" i="46"/>
  <c r="M536" i="46"/>
  <c r="O536" i="46"/>
  <c r="N536" i="46"/>
  <c r="P536" i="46"/>
  <c r="N873" i="46"/>
  <c r="O873" i="46"/>
  <c r="P873" i="46"/>
  <c r="M873" i="46"/>
  <c r="O568" i="46"/>
  <c r="M568" i="46"/>
  <c r="N568" i="46"/>
  <c r="P568" i="46"/>
  <c r="N987" i="46"/>
  <c r="P987" i="46"/>
  <c r="M987" i="46"/>
  <c r="O987" i="46"/>
  <c r="M285" i="46"/>
  <c r="O285" i="46"/>
  <c r="P285" i="46"/>
  <c r="N285" i="46"/>
  <c r="O587" i="46"/>
  <c r="N587" i="46"/>
  <c r="P587" i="46"/>
  <c r="M587" i="46"/>
  <c r="N633" i="46"/>
  <c r="O633" i="46"/>
  <c r="M633" i="46"/>
  <c r="P633" i="46"/>
  <c r="M783" i="46"/>
  <c r="O783" i="46"/>
  <c r="P783" i="46"/>
  <c r="N783" i="46"/>
  <c r="O666" i="46"/>
  <c r="M666" i="46"/>
  <c r="N666" i="46"/>
  <c r="P666" i="46"/>
  <c r="N77" i="46"/>
  <c r="M77" i="46"/>
  <c r="P77" i="46"/>
  <c r="O77" i="46"/>
  <c r="O671" i="46"/>
  <c r="M671" i="46"/>
  <c r="N671" i="46"/>
  <c r="P671" i="46"/>
  <c r="M239" i="46"/>
  <c r="O239" i="46"/>
  <c r="N239" i="46"/>
  <c r="P239" i="46"/>
  <c r="M102" i="46"/>
  <c r="P102" i="46"/>
  <c r="O102" i="46"/>
  <c r="N102" i="46"/>
  <c r="N280" i="46"/>
  <c r="M280" i="46"/>
  <c r="O280" i="46"/>
  <c r="P280" i="46"/>
  <c r="P388" i="46"/>
  <c r="N388" i="46"/>
  <c r="M388" i="46"/>
  <c r="O388" i="46"/>
  <c r="P778" i="46"/>
  <c r="N778" i="46"/>
  <c r="O778" i="46"/>
  <c r="M778" i="46"/>
  <c r="O165" i="46"/>
  <c r="N165" i="46"/>
  <c r="P165" i="46"/>
  <c r="M165" i="46"/>
  <c r="P580" i="46"/>
  <c r="M580" i="46"/>
  <c r="N580" i="46"/>
  <c r="O580" i="46"/>
  <c r="O642" i="46"/>
  <c r="P642" i="46"/>
  <c r="M642" i="46"/>
  <c r="N642" i="46"/>
  <c r="N612" i="46"/>
  <c r="M612" i="46"/>
  <c r="O612" i="46"/>
  <c r="P612" i="46"/>
  <c r="M578" i="46"/>
  <c r="P578" i="46"/>
  <c r="O578" i="46"/>
  <c r="N578" i="46"/>
  <c r="O12" i="46"/>
  <c r="P12" i="46"/>
  <c r="N12" i="46"/>
  <c r="M12" i="46"/>
  <c r="N384" i="46"/>
  <c r="M384" i="46"/>
  <c r="O384" i="46"/>
  <c r="P384" i="46"/>
  <c r="O809" i="46"/>
  <c r="P809" i="46"/>
  <c r="N809" i="46"/>
  <c r="M809" i="46"/>
  <c r="N557" i="46"/>
  <c r="M557" i="46"/>
  <c r="P557" i="46"/>
  <c r="O557" i="46"/>
  <c r="M897" i="46"/>
  <c r="O897" i="46"/>
  <c r="P897" i="46"/>
  <c r="N897" i="46"/>
  <c r="P953" i="46"/>
  <c r="M953" i="46"/>
  <c r="O953" i="46"/>
  <c r="N953" i="46"/>
  <c r="N295" i="46"/>
  <c r="O295" i="46"/>
  <c r="P295" i="46"/>
  <c r="M295" i="46"/>
  <c r="P956" i="46"/>
  <c r="N956" i="46"/>
  <c r="M956" i="46"/>
  <c r="O956" i="46"/>
  <c r="N543" i="46"/>
  <c r="M543" i="46"/>
  <c r="P543" i="46"/>
  <c r="O543" i="46"/>
  <c r="O352" i="46"/>
  <c r="M352" i="46"/>
  <c r="P352" i="46"/>
  <c r="N352" i="46"/>
  <c r="N798" i="46"/>
  <c r="O798" i="46"/>
  <c r="P798" i="46"/>
  <c r="M798" i="46"/>
  <c r="O380" i="46"/>
  <c r="P380" i="46"/>
  <c r="N380" i="46"/>
  <c r="M380" i="46"/>
  <c r="M9" i="46"/>
  <c r="N9" i="46"/>
  <c r="P9" i="46"/>
  <c r="O9" i="46"/>
  <c r="N533" i="46"/>
  <c r="P533" i="46"/>
  <c r="M533" i="46"/>
  <c r="O533" i="46"/>
  <c r="P89" i="46"/>
  <c r="M89" i="46"/>
  <c r="O89" i="46"/>
  <c r="N89" i="46"/>
  <c r="N982" i="46"/>
  <c r="P982" i="46"/>
  <c r="O982" i="46"/>
  <c r="M982" i="46"/>
  <c r="M991" i="46"/>
  <c r="P991" i="46"/>
  <c r="O991" i="46"/>
  <c r="N991" i="46"/>
  <c r="M832" i="46"/>
  <c r="N832" i="46"/>
  <c r="P832" i="46"/>
  <c r="O832" i="46"/>
  <c r="P349" i="46"/>
  <c r="O349" i="46"/>
  <c r="N349" i="46"/>
  <c r="M349" i="46"/>
  <c r="N19" i="46"/>
  <c r="M19" i="46"/>
  <c r="P19" i="46"/>
  <c r="O19" i="46"/>
  <c r="P653" i="46"/>
  <c r="O653" i="46"/>
  <c r="M653" i="46"/>
  <c r="N653" i="46"/>
  <c r="P43" i="46"/>
  <c r="O43" i="46"/>
  <c r="M43" i="46"/>
  <c r="N43" i="46"/>
  <c r="M919" i="46"/>
  <c r="N919" i="46"/>
  <c r="P919" i="46"/>
  <c r="O919" i="46"/>
  <c r="O531" i="46"/>
  <c r="N531" i="46"/>
  <c r="P531" i="46"/>
  <c r="M531" i="46"/>
  <c r="N53" i="46"/>
  <c r="P53" i="46"/>
  <c r="O53" i="46"/>
  <c r="M53" i="46"/>
  <c r="P49" i="46"/>
  <c r="N49" i="46"/>
  <c r="M49" i="46"/>
  <c r="O49" i="46"/>
  <c r="M403" i="46"/>
  <c r="N403" i="46"/>
  <c r="O403" i="46"/>
  <c r="P403" i="46"/>
  <c r="M428" i="46"/>
  <c r="P428" i="46"/>
  <c r="N428" i="46"/>
  <c r="O428" i="46"/>
  <c r="O123" i="46"/>
  <c r="N123" i="46"/>
  <c r="M123" i="46"/>
  <c r="P123" i="46"/>
  <c r="M916" i="46"/>
  <c r="P916" i="46"/>
  <c r="O916" i="46"/>
  <c r="N916" i="46"/>
  <c r="O413" i="46"/>
  <c r="N413" i="46"/>
  <c r="M413" i="46"/>
  <c r="P413" i="46"/>
  <c r="M589" i="46"/>
  <c r="N589" i="46"/>
  <c r="P589" i="46"/>
  <c r="O589" i="46"/>
  <c r="M659" i="46"/>
  <c r="N659" i="46"/>
  <c r="P659" i="46"/>
  <c r="O659" i="46"/>
  <c r="P592" i="46"/>
  <c r="N592" i="46"/>
  <c r="O592" i="46"/>
  <c r="M592" i="46"/>
  <c r="N14" i="46"/>
  <c r="O14" i="46"/>
  <c r="P14" i="46"/>
  <c r="M14" i="46"/>
  <c r="O959" i="46"/>
  <c r="M959" i="46"/>
  <c r="N959" i="46"/>
  <c r="P959" i="46"/>
  <c r="M632" i="46"/>
  <c r="N632" i="46"/>
  <c r="P632" i="46"/>
  <c r="O632" i="46"/>
  <c r="P650" i="46"/>
  <c r="N650" i="46"/>
  <c r="O650" i="46"/>
  <c r="M650" i="46"/>
  <c r="P665" i="46"/>
  <c r="N665" i="46"/>
  <c r="O665" i="46"/>
  <c r="M665" i="46"/>
  <c r="O581" i="46"/>
  <c r="P581" i="46"/>
  <c r="M581" i="46"/>
  <c r="N581" i="46"/>
  <c r="P45" i="46"/>
  <c r="O45" i="46"/>
  <c r="N45" i="46"/>
  <c r="M45" i="46"/>
  <c r="O672" i="46"/>
  <c r="N672" i="46"/>
  <c r="P672" i="46"/>
  <c r="M672" i="46"/>
  <c r="O841" i="46"/>
  <c r="M841" i="46"/>
  <c r="N841" i="46"/>
  <c r="P841" i="46"/>
  <c r="M91" i="46"/>
  <c r="O91" i="46"/>
  <c r="P91" i="46"/>
  <c r="N91" i="46"/>
  <c r="O252" i="46"/>
  <c r="M252" i="46"/>
  <c r="N252" i="46"/>
  <c r="P252" i="46"/>
  <c r="M932" i="46"/>
  <c r="P932" i="46"/>
  <c r="N932" i="46"/>
  <c r="O932" i="46"/>
  <c r="O198" i="46"/>
  <c r="N198" i="46"/>
  <c r="M198" i="46"/>
  <c r="P198" i="46"/>
  <c r="O101" i="46"/>
  <c r="N101" i="46"/>
  <c r="M101" i="46"/>
  <c r="P101" i="46"/>
  <c r="N631" i="46"/>
  <c r="M631" i="46"/>
  <c r="O631" i="46"/>
  <c r="P631" i="46"/>
  <c r="N636" i="46"/>
  <c r="O636" i="46"/>
  <c r="M636" i="46"/>
  <c r="P636" i="46"/>
  <c r="N582" i="46"/>
  <c r="O582" i="46"/>
  <c r="P582" i="46"/>
  <c r="M582" i="46"/>
  <c r="M279" i="46"/>
  <c r="P279" i="46"/>
  <c r="N279" i="46"/>
  <c r="O279" i="46"/>
  <c r="P725" i="46"/>
  <c r="N725" i="46"/>
  <c r="O725" i="46"/>
  <c r="M725" i="46"/>
  <c r="P214" i="46"/>
  <c r="N214" i="46"/>
  <c r="O214" i="46"/>
  <c r="M214" i="46"/>
  <c r="N833" i="46"/>
  <c r="O833" i="46"/>
  <c r="P833" i="46"/>
  <c r="M833" i="46"/>
  <c r="N138" i="46"/>
  <c r="P138" i="46"/>
  <c r="O138" i="46"/>
  <c r="M138" i="46"/>
  <c r="N554" i="46"/>
  <c r="P554" i="46"/>
  <c r="M554" i="46"/>
  <c r="O554" i="46"/>
  <c r="N560" i="46"/>
  <c r="O560" i="46"/>
  <c r="M560" i="46"/>
  <c r="P560" i="46"/>
  <c r="O57" i="46"/>
  <c r="P57" i="46"/>
  <c r="M57" i="46"/>
  <c r="N57" i="46"/>
  <c r="O971" i="46"/>
  <c r="N971" i="46"/>
  <c r="P971" i="46"/>
  <c r="M971" i="46"/>
  <c r="M415" i="46"/>
  <c r="P415" i="46"/>
  <c r="N415" i="46"/>
  <c r="O415" i="46"/>
  <c r="N593" i="46"/>
  <c r="P593" i="46"/>
  <c r="M593" i="46"/>
  <c r="O593" i="46"/>
  <c r="M32" i="46"/>
  <c r="O32" i="46"/>
  <c r="N32" i="46"/>
  <c r="P32" i="46"/>
  <c r="N307" i="46"/>
  <c r="M307" i="46"/>
  <c r="O307" i="46"/>
  <c r="P307" i="46"/>
  <c r="M955" i="46"/>
  <c r="O955" i="46"/>
  <c r="N955" i="46"/>
  <c r="P955" i="46"/>
  <c r="M572" i="46"/>
  <c r="P572" i="46"/>
  <c r="N572" i="46"/>
  <c r="O572" i="46"/>
  <c r="M890" i="46"/>
  <c r="O890" i="46"/>
  <c r="N890" i="46"/>
  <c r="P890" i="46"/>
  <c r="O25" i="46"/>
  <c r="N25" i="46"/>
  <c r="P25" i="46"/>
  <c r="M25" i="46"/>
  <c r="M479" i="46"/>
  <c r="P479" i="46"/>
  <c r="O479" i="46"/>
  <c r="N479" i="46"/>
  <c r="O878" i="46"/>
  <c r="M878" i="46"/>
  <c r="N878" i="46"/>
  <c r="P878" i="46"/>
  <c r="M128" i="46"/>
  <c r="P128" i="46"/>
  <c r="N128" i="46"/>
  <c r="O128" i="46"/>
  <c r="O799" i="46"/>
  <c r="N799" i="46"/>
  <c r="P799" i="46"/>
  <c r="M799" i="46"/>
  <c r="P711" i="46"/>
  <c r="M711" i="46"/>
  <c r="O711" i="46"/>
  <c r="N711" i="46"/>
  <c r="O71" i="46"/>
  <c r="M71" i="46"/>
  <c r="P71" i="46"/>
  <c r="N71" i="46"/>
  <c r="M764" i="46"/>
  <c r="O764" i="46"/>
  <c r="P764" i="46"/>
  <c r="N764" i="46"/>
  <c r="M862" i="46"/>
  <c r="P862" i="46"/>
  <c r="O862" i="46"/>
  <c r="N862" i="46"/>
  <c r="O303" i="46"/>
  <c r="P303" i="46"/>
  <c r="N303" i="46"/>
  <c r="M303" i="46"/>
  <c r="P968" i="46"/>
  <c r="M968" i="46"/>
  <c r="N968" i="46"/>
  <c r="O968" i="46"/>
  <c r="N564" i="46"/>
  <c r="P564" i="46"/>
  <c r="O564" i="46"/>
  <c r="M564" i="46"/>
  <c r="O457" i="46"/>
  <c r="M457" i="46"/>
  <c r="N457" i="46"/>
  <c r="P457" i="46"/>
  <c r="M103" i="46"/>
  <c r="N103" i="46"/>
  <c r="O103" i="46"/>
  <c r="P103" i="46"/>
  <c r="O603" i="46"/>
  <c r="M603" i="46"/>
  <c r="N603" i="46"/>
  <c r="P603" i="46"/>
  <c r="P776" i="46"/>
  <c r="O776" i="46"/>
  <c r="M776" i="46"/>
  <c r="N776" i="46"/>
  <c r="O626" i="46"/>
  <c r="M626" i="46"/>
  <c r="N626" i="46"/>
  <c r="P626" i="46"/>
  <c r="M683" i="46"/>
  <c r="P683" i="46"/>
  <c r="O683" i="46"/>
  <c r="N683" i="46"/>
  <c r="O818" i="46"/>
  <c r="M818" i="46"/>
  <c r="P818" i="46"/>
  <c r="N818" i="46"/>
  <c r="P158" i="46"/>
  <c r="M158" i="46"/>
  <c r="O158" i="46"/>
  <c r="N158" i="46"/>
  <c r="O656" i="46"/>
  <c r="P656" i="46"/>
  <c r="M656" i="46"/>
  <c r="N656" i="46"/>
  <c r="O721" i="46"/>
  <c r="M721" i="46"/>
  <c r="P721" i="46"/>
  <c r="N721" i="46"/>
  <c r="P805" i="46"/>
  <c r="N805" i="46"/>
  <c r="O805" i="46"/>
  <c r="M805" i="46"/>
  <c r="O110" i="46"/>
  <c r="N110" i="46"/>
  <c r="M110" i="46"/>
  <c r="P110" i="46"/>
  <c r="M266" i="46"/>
  <c r="P266" i="46"/>
  <c r="N266" i="46"/>
  <c r="O266" i="46"/>
  <c r="M419" i="46"/>
  <c r="P419" i="46"/>
  <c r="N419" i="46"/>
  <c r="O419" i="46"/>
  <c r="N548" i="46"/>
  <c r="P548" i="46"/>
  <c r="M548" i="46"/>
  <c r="O548" i="46"/>
  <c r="P957" i="46"/>
  <c r="O957" i="46"/>
  <c r="N957" i="46"/>
  <c r="M957" i="46"/>
  <c r="M909" i="46"/>
  <c r="O909" i="46"/>
  <c r="P909" i="46"/>
  <c r="N909" i="46"/>
  <c r="N770" i="46"/>
  <c r="P770" i="46"/>
  <c r="O770" i="46"/>
  <c r="M770" i="46"/>
  <c r="M552" i="46"/>
  <c r="O552" i="46"/>
  <c r="P552" i="46"/>
  <c r="N552" i="46"/>
  <c r="M405" i="46"/>
  <c r="P405" i="46"/>
  <c r="O405" i="46"/>
  <c r="N405" i="46"/>
  <c r="N579" i="46"/>
  <c r="P579" i="46"/>
  <c r="M579" i="46"/>
  <c r="O579" i="46"/>
  <c r="O562" i="46"/>
  <c r="M562" i="46"/>
  <c r="N562" i="46"/>
  <c r="P562" i="46"/>
  <c r="M248" i="46"/>
  <c r="O248" i="46"/>
  <c r="N248" i="46"/>
  <c r="P248" i="46"/>
  <c r="M577" i="46"/>
  <c r="O577" i="46"/>
  <c r="P577" i="46"/>
  <c r="N577" i="46"/>
  <c r="O468" i="46"/>
  <c r="M468" i="46"/>
  <c r="P468" i="46"/>
  <c r="N468" i="46"/>
  <c r="O430" i="46"/>
  <c r="P430" i="46"/>
  <c r="N430" i="46"/>
  <c r="M430" i="46"/>
  <c r="O866" i="46"/>
  <c r="M866" i="46"/>
  <c r="P866" i="46"/>
  <c r="N866" i="46"/>
  <c r="N234" i="46"/>
  <c r="P234" i="46"/>
  <c r="O234" i="46"/>
  <c r="M234" i="46"/>
  <c r="O261" i="46"/>
  <c r="M261" i="46"/>
  <c r="N261" i="46"/>
  <c r="P261" i="46"/>
  <c r="M351" i="46"/>
  <c r="N351" i="46"/>
  <c r="P351" i="46"/>
  <c r="O351" i="46"/>
  <c r="M410" i="46"/>
  <c r="P410" i="46"/>
  <c r="N410" i="46"/>
  <c r="O410" i="46"/>
  <c r="P808" i="46"/>
  <c r="N808" i="46"/>
  <c r="O808" i="46"/>
  <c r="M808" i="46"/>
  <c r="N785" i="46"/>
  <c r="O785" i="46"/>
  <c r="M785" i="46"/>
  <c r="P785" i="46"/>
  <c r="P649" i="46"/>
  <c r="O649" i="46"/>
  <c r="N649" i="46"/>
  <c r="M649" i="46"/>
  <c r="O283" i="46"/>
  <c r="N283" i="46"/>
  <c r="M283" i="46"/>
  <c r="P283" i="46"/>
  <c r="N744" i="46"/>
  <c r="O744" i="46"/>
  <c r="P744" i="46"/>
  <c r="M744" i="46"/>
  <c r="N535" i="46"/>
  <c r="O535" i="46"/>
  <c r="M535" i="46"/>
  <c r="P535" i="46"/>
  <c r="N509" i="46"/>
  <c r="O509" i="46"/>
  <c r="P509" i="46"/>
  <c r="M509" i="46"/>
  <c r="P949" i="46"/>
  <c r="O949" i="46"/>
  <c r="M949" i="46"/>
  <c r="N949" i="46"/>
  <c r="O662" i="46"/>
  <c r="N662" i="46"/>
  <c r="P662" i="46"/>
  <c r="M662" i="46"/>
  <c r="M965" i="46"/>
  <c r="O965" i="46"/>
  <c r="P965" i="46"/>
  <c r="N965" i="46"/>
  <c r="N408" i="46"/>
  <c r="P408" i="46"/>
  <c r="O408" i="46"/>
  <c r="M408" i="46"/>
  <c r="P546" i="46"/>
  <c r="N546" i="46"/>
  <c r="O546" i="46"/>
  <c r="M546" i="46"/>
  <c r="N325" i="46"/>
  <c r="M325" i="46"/>
  <c r="P325" i="46"/>
  <c r="O325" i="46"/>
  <c r="N911" i="46"/>
  <c r="O911" i="46"/>
  <c r="P911" i="46"/>
  <c r="M911" i="46"/>
  <c r="M791" i="46"/>
  <c r="O791" i="46"/>
  <c r="N791" i="46"/>
  <c r="P791" i="46"/>
  <c r="N615" i="46"/>
  <c r="P615" i="46"/>
  <c r="M615" i="46"/>
  <c r="O615" i="46"/>
  <c r="O338" i="46"/>
  <c r="N338" i="46"/>
  <c r="M338" i="46"/>
  <c r="P338" i="46"/>
  <c r="P689" i="46"/>
  <c r="N689" i="46"/>
  <c r="M689" i="46"/>
  <c r="O689" i="46"/>
  <c r="O507" i="46"/>
  <c r="N507" i="46"/>
  <c r="P507" i="46"/>
  <c r="M507" i="46"/>
  <c r="M586" i="46"/>
  <c r="P586" i="46"/>
  <c r="O586" i="46"/>
  <c r="N586" i="46"/>
  <c r="P484" i="46"/>
  <c r="M484" i="46"/>
  <c r="O484" i="46"/>
  <c r="N484" i="46"/>
  <c r="O126" i="46"/>
  <c r="P126" i="46"/>
  <c r="M126" i="46"/>
  <c r="N126" i="46"/>
  <c r="P258" i="46"/>
  <c r="M258" i="46"/>
  <c r="N258" i="46"/>
  <c r="O258" i="46"/>
  <c r="O29" i="46"/>
  <c r="P29" i="46"/>
  <c r="M29" i="46"/>
  <c r="N29" i="46"/>
  <c r="M611" i="46"/>
  <c r="O611" i="46"/>
  <c r="N611" i="46"/>
  <c r="P611" i="46"/>
  <c r="M6" i="46"/>
  <c r="P6" i="46"/>
  <c r="N6" i="46"/>
  <c r="O6" i="46"/>
  <c r="M926" i="46"/>
  <c r="O926" i="46"/>
  <c r="N926" i="46"/>
  <c r="P926" i="46"/>
  <c r="M997" i="46"/>
  <c r="O997" i="46"/>
  <c r="N997" i="46"/>
  <c r="P997" i="46"/>
  <c r="O475" i="46"/>
  <c r="M475" i="46"/>
  <c r="N475" i="46"/>
  <c r="P475" i="46"/>
  <c r="P433" i="46"/>
  <c r="N433" i="46"/>
  <c r="O433" i="46"/>
  <c r="M433" i="46"/>
  <c r="O905" i="46"/>
  <c r="N905" i="46"/>
  <c r="M905" i="46"/>
  <c r="P905" i="46"/>
  <c r="N95" i="46"/>
  <c r="P95" i="46"/>
  <c r="M95" i="46"/>
  <c r="O95" i="46"/>
  <c r="O85" i="46"/>
  <c r="M85" i="46"/>
  <c r="N85" i="46"/>
  <c r="P85" i="46"/>
  <c r="P8" i="46"/>
  <c r="M8" i="46"/>
  <c r="N8" i="46"/>
  <c r="O8" i="46"/>
  <c r="P530" i="46"/>
  <c r="O530" i="46"/>
  <c r="M530" i="46"/>
  <c r="N530" i="46"/>
  <c r="M117" i="46"/>
  <c r="P117" i="46"/>
  <c r="O117" i="46"/>
  <c r="N117" i="46"/>
  <c r="M104" i="46"/>
  <c r="N104" i="46"/>
  <c r="P104" i="46"/>
  <c r="O104" i="46"/>
  <c r="M902" i="46"/>
  <c r="P902" i="46"/>
  <c r="N902" i="46"/>
  <c r="O902" i="46"/>
  <c r="N694" i="46"/>
  <c r="M694" i="46"/>
  <c r="O694" i="46"/>
  <c r="P694" i="46"/>
  <c r="P7" i="46"/>
  <c r="N7" i="46"/>
  <c r="O7" i="46"/>
  <c r="M7" i="46"/>
  <c r="M792" i="46"/>
  <c r="P792" i="46"/>
  <c r="N792" i="46"/>
  <c r="O792" i="46"/>
  <c r="N645" i="46"/>
  <c r="M645" i="46"/>
  <c r="P645" i="46"/>
  <c r="O645" i="46"/>
  <c r="N887" i="46"/>
  <c r="P887" i="46"/>
  <c r="O887" i="46"/>
  <c r="M887" i="46"/>
  <c r="O96" i="46"/>
  <c r="N96" i="46"/>
  <c r="P96" i="46"/>
  <c r="M96" i="46"/>
  <c r="M505" i="46"/>
  <c r="N505" i="46"/>
  <c r="O505" i="46"/>
  <c r="P505" i="46"/>
  <c r="N754" i="46"/>
  <c r="O754" i="46"/>
  <c r="P754" i="46"/>
  <c r="M754" i="46"/>
  <c r="N140" i="46"/>
  <c r="O140" i="46"/>
  <c r="P140" i="46"/>
  <c r="M140" i="46"/>
  <c r="M707" i="46"/>
  <c r="N707" i="46"/>
  <c r="O707" i="46"/>
  <c r="P707" i="46"/>
  <c r="P315" i="46"/>
  <c r="N315" i="46"/>
  <c r="O315" i="46"/>
  <c r="M315" i="46"/>
  <c r="P402" i="46"/>
  <c r="N402" i="46"/>
  <c r="M402" i="46"/>
  <c r="O402" i="46"/>
  <c r="M722" i="46"/>
  <c r="P722" i="46"/>
  <c r="O722" i="46"/>
  <c r="N722" i="46"/>
  <c r="N597" i="46"/>
  <c r="P597" i="46"/>
  <c r="M597" i="46"/>
  <c r="O597" i="46"/>
  <c r="N186" i="46"/>
  <c r="M186" i="46"/>
  <c r="O186" i="46"/>
  <c r="P186" i="46"/>
  <c r="O503" i="46"/>
  <c r="P503" i="46"/>
  <c r="M503" i="46"/>
  <c r="N503" i="46"/>
  <c r="O231" i="46"/>
  <c r="N231" i="46"/>
  <c r="P231" i="46"/>
  <c r="M231" i="46"/>
  <c r="P291" i="46"/>
  <c r="O291" i="46"/>
  <c r="N291" i="46"/>
  <c r="M291" i="46"/>
  <c r="O800" i="46"/>
  <c r="M800" i="46"/>
  <c r="N800" i="46"/>
  <c r="P800" i="46"/>
  <c r="P250" i="46"/>
  <c r="M250" i="46"/>
  <c r="N250" i="46"/>
  <c r="O250" i="46"/>
  <c r="O998" i="46"/>
  <c r="N998" i="46"/>
  <c r="P998" i="46"/>
  <c r="M998" i="46"/>
  <c r="N499" i="46"/>
  <c r="M499" i="46"/>
  <c r="O499" i="46"/>
  <c r="P499" i="46"/>
  <c r="O382" i="46"/>
  <c r="P382" i="46"/>
  <c r="M382" i="46"/>
  <c r="N382" i="46"/>
  <c r="M774" i="46"/>
  <c r="P774" i="46"/>
  <c r="O774" i="46"/>
  <c r="N774" i="46"/>
  <c r="P556" i="46"/>
  <c r="N556" i="46"/>
  <c r="M556" i="46"/>
  <c r="O556" i="46"/>
  <c r="P142" i="46"/>
  <c r="M142" i="46"/>
  <c r="O142" i="46"/>
  <c r="N142" i="46"/>
  <c r="P628" i="46"/>
  <c r="M628" i="46"/>
  <c r="N628" i="46"/>
  <c r="O628" i="46"/>
  <c r="O184" i="46"/>
  <c r="M184" i="46"/>
  <c r="P184" i="46"/>
  <c r="N184" i="46"/>
  <c r="M604" i="46"/>
  <c r="P604" i="46"/>
  <c r="N604" i="46"/>
  <c r="O604" i="46"/>
  <c r="O40" i="46"/>
  <c r="N40" i="46"/>
  <c r="P40" i="46"/>
  <c r="M40" i="46"/>
  <c r="M300" i="46"/>
  <c r="P300" i="46"/>
  <c r="N300" i="46"/>
  <c r="O300" i="46"/>
  <c r="N823" i="46"/>
  <c r="P823" i="46"/>
  <c r="M823" i="46"/>
  <c r="O823" i="46"/>
  <c r="N236" i="46"/>
  <c r="M236" i="46"/>
  <c r="O236" i="46"/>
  <c r="P236" i="46"/>
  <c r="N921" i="46"/>
  <c r="P921" i="46"/>
  <c r="M921" i="46"/>
  <c r="O921" i="46"/>
  <c r="P679" i="46"/>
  <c r="M679" i="46"/>
  <c r="O679" i="46"/>
  <c r="N679" i="46"/>
  <c r="N985" i="46"/>
  <c r="P985" i="46"/>
  <c r="O985" i="46"/>
  <c r="M985" i="46"/>
  <c r="N82" i="46"/>
  <c r="O82" i="46"/>
  <c r="M82" i="46"/>
  <c r="P82" i="46"/>
  <c r="O360" i="46"/>
  <c r="P360" i="46"/>
  <c r="N360" i="46"/>
  <c r="M360" i="46"/>
  <c r="M286" i="46"/>
  <c r="N286" i="46"/>
  <c r="O286" i="46"/>
  <c r="P286" i="46"/>
  <c r="M379" i="46"/>
  <c r="O379" i="46"/>
  <c r="P379" i="46"/>
  <c r="N379" i="46"/>
  <c r="M888" i="46"/>
  <c r="O888" i="46"/>
  <c r="N888" i="46"/>
  <c r="P888" i="46"/>
  <c r="O124" i="46"/>
  <c r="N124" i="46"/>
  <c r="P124" i="46"/>
  <c r="M124" i="46"/>
  <c r="N456" i="46"/>
  <c r="M456" i="46"/>
  <c r="O456" i="46"/>
  <c r="P456" i="46"/>
  <c r="M945" i="46"/>
  <c r="N945" i="46"/>
  <c r="O945" i="46"/>
  <c r="P945" i="46"/>
  <c r="O952" i="46"/>
  <c r="N952" i="46"/>
  <c r="M952" i="46"/>
  <c r="P952" i="46"/>
  <c r="M290" i="46"/>
  <c r="P290" i="46"/>
  <c r="N290" i="46"/>
  <c r="O290" i="46"/>
  <c r="O211" i="46"/>
  <c r="N211" i="46"/>
  <c r="M211" i="46"/>
  <c r="P211" i="46"/>
  <c r="O967" i="46"/>
  <c r="N967" i="46"/>
  <c r="P967" i="46"/>
  <c r="M967" i="46"/>
  <c r="M134" i="46"/>
  <c r="N134" i="46"/>
  <c r="O134" i="46"/>
  <c r="P134" i="46"/>
  <c r="O209" i="46"/>
  <c r="N209" i="46"/>
  <c r="P209" i="46"/>
  <c r="M209" i="46"/>
  <c r="N115" i="46"/>
  <c r="M115" i="46"/>
  <c r="O115" i="46"/>
  <c r="P115" i="46"/>
  <c r="N68" i="46"/>
  <c r="P68" i="46"/>
  <c r="M68" i="46"/>
  <c r="O68" i="46"/>
  <c r="O166" i="46"/>
  <c r="P166" i="46"/>
  <c r="N166" i="46"/>
  <c r="M166" i="46"/>
  <c r="O622" i="46"/>
  <c r="P622" i="46"/>
  <c r="N622" i="46"/>
  <c r="M622" i="46"/>
  <c r="O354" i="46"/>
  <c r="P354" i="46"/>
  <c r="N354" i="46"/>
  <c r="M354" i="46"/>
  <c r="P112" i="46"/>
  <c r="O112" i="46"/>
  <c r="N112" i="46"/>
  <c r="M112" i="46"/>
  <c r="M532" i="46"/>
  <c r="P532" i="46"/>
  <c r="N532" i="46"/>
  <c r="O532" i="46"/>
  <c r="N437" i="46"/>
  <c r="M437" i="46"/>
  <c r="O437" i="46"/>
  <c r="P437" i="46"/>
  <c r="P397" i="46"/>
  <c r="O397" i="46"/>
  <c r="M397" i="46"/>
  <c r="N397" i="46"/>
  <c r="M668" i="46"/>
  <c r="N668" i="46"/>
  <c r="O668" i="46"/>
  <c r="P668" i="46"/>
  <c r="N304" i="46"/>
  <c r="M304" i="46"/>
  <c r="O304" i="46"/>
  <c r="P304" i="46"/>
  <c r="P816" i="46"/>
  <c r="M816" i="46"/>
  <c r="O816" i="46"/>
  <c r="N816" i="46"/>
  <c r="P907" i="46"/>
  <c r="O907" i="46"/>
  <c r="N907" i="46"/>
  <c r="M907" i="46"/>
  <c r="N201" i="46"/>
  <c r="P201" i="46"/>
  <c r="O201" i="46"/>
  <c r="M201" i="46"/>
  <c r="O23" i="46"/>
  <c r="M23" i="46"/>
  <c r="P23" i="46"/>
  <c r="N23" i="46"/>
  <c r="M773" i="46"/>
  <c r="N773" i="46"/>
  <c r="O773" i="46"/>
  <c r="P773" i="46"/>
  <c r="N826" i="46"/>
  <c r="M826" i="46"/>
  <c r="O826" i="46"/>
  <c r="P826" i="46"/>
  <c r="O746" i="46"/>
  <c r="N746" i="46"/>
  <c r="M746" i="46"/>
  <c r="P746" i="46"/>
  <c r="N836" i="46"/>
  <c r="O836" i="46"/>
  <c r="P836" i="46"/>
  <c r="M836" i="46"/>
  <c r="P55" i="46"/>
  <c r="O55" i="46"/>
  <c r="N55" i="46"/>
  <c r="M55" i="46"/>
  <c r="N429" i="46"/>
  <c r="O429" i="46"/>
  <c r="M429" i="46"/>
  <c r="P429" i="46"/>
  <c r="O30" i="46"/>
  <c r="M30" i="46"/>
  <c r="N30" i="46"/>
  <c r="P30" i="46"/>
  <c r="N132" i="46"/>
  <c r="M132" i="46"/>
  <c r="P132" i="46"/>
  <c r="O132" i="46"/>
  <c r="M322" i="46"/>
  <c r="O322" i="46"/>
  <c r="N322" i="46"/>
  <c r="P322" i="46"/>
  <c r="P975" i="46"/>
  <c r="N975" i="46"/>
  <c r="O975" i="46"/>
  <c r="M975" i="46"/>
  <c r="M241" i="46"/>
  <c r="P241" i="46"/>
  <c r="O241" i="46"/>
  <c r="N241" i="46"/>
  <c r="O605" i="46"/>
  <c r="N605" i="46"/>
  <c r="M605" i="46"/>
  <c r="P605" i="46"/>
  <c r="O375" i="46"/>
  <c r="P375" i="46"/>
  <c r="M375" i="46"/>
  <c r="N375" i="46"/>
  <c r="O815" i="46"/>
  <c r="P815" i="46"/>
  <c r="N815" i="46"/>
  <c r="M815" i="46"/>
  <c r="O330" i="46"/>
  <c r="N330" i="46"/>
  <c r="M330" i="46"/>
  <c r="P330" i="46"/>
  <c r="M76" i="46"/>
  <c r="N76" i="46"/>
  <c r="O76" i="46"/>
  <c r="P76" i="46"/>
  <c r="P912" i="46"/>
  <c r="N912" i="46"/>
  <c r="M912" i="46"/>
  <c r="O912" i="46"/>
  <c r="M913" i="46"/>
  <c r="O913" i="46"/>
  <c r="N913" i="46"/>
  <c r="P913" i="46"/>
  <c r="P934" i="46"/>
  <c r="N934" i="46"/>
  <c r="O934" i="46"/>
  <c r="M934" i="46"/>
  <c r="N59" i="46"/>
  <c r="M59" i="46"/>
  <c r="P59" i="46"/>
  <c r="O59" i="46"/>
  <c r="P125" i="46"/>
  <c r="M125" i="46"/>
  <c r="N125" i="46"/>
  <c r="O125" i="46"/>
  <c r="O899" i="46"/>
  <c r="P899" i="46"/>
  <c r="N899" i="46"/>
  <c r="M899" i="46"/>
  <c r="M15" i="46"/>
  <c r="P15" i="46"/>
  <c r="O15" i="46"/>
  <c r="N15" i="46"/>
  <c r="N225" i="46"/>
  <c r="P225" i="46"/>
  <c r="O225" i="46"/>
  <c r="M225" i="46"/>
  <c r="O638" i="46"/>
  <c r="M638" i="46"/>
  <c r="N638" i="46"/>
  <c r="P638" i="46"/>
  <c r="N933" i="46"/>
  <c r="P933" i="46"/>
  <c r="M933" i="46"/>
  <c r="O933" i="46"/>
  <c r="N143" i="46"/>
  <c r="O143" i="46"/>
  <c r="M143" i="46"/>
  <c r="P143" i="46"/>
  <c r="M455" i="46"/>
  <c r="P455" i="46"/>
  <c r="O455" i="46"/>
  <c r="N455" i="46"/>
  <c r="M910" i="46"/>
  <c r="O910" i="46"/>
  <c r="P910" i="46"/>
  <c r="N910" i="46"/>
  <c r="N52" i="46"/>
  <c r="M52" i="46"/>
  <c r="P52" i="46"/>
  <c r="O52" i="46"/>
  <c r="P137" i="46"/>
  <c r="M137" i="46"/>
  <c r="N137" i="46"/>
  <c r="O137" i="46"/>
  <c r="P311" i="46"/>
  <c r="M311" i="46"/>
  <c r="O311" i="46"/>
  <c r="N311" i="46"/>
  <c r="N743" i="46"/>
  <c r="O743" i="46"/>
  <c r="P743" i="46"/>
  <c r="M743" i="46"/>
  <c r="N537" i="46"/>
  <c r="M537" i="46"/>
  <c r="P537" i="46"/>
  <c r="O537" i="46"/>
  <c r="N491" i="46"/>
  <c r="O491" i="46"/>
  <c r="M491" i="46"/>
  <c r="P491" i="46"/>
  <c r="O990" i="46"/>
  <c r="N990" i="46"/>
  <c r="P990" i="46"/>
  <c r="M990" i="46"/>
  <c r="O607" i="46"/>
  <c r="M607" i="46"/>
  <c r="N607" i="46"/>
  <c r="P607" i="46"/>
  <c r="N376" i="46"/>
  <c r="P376" i="46"/>
  <c r="M376" i="46"/>
  <c r="O376" i="46"/>
  <c r="O35" i="46"/>
  <c r="N35" i="46"/>
  <c r="P35" i="46"/>
  <c r="M35" i="46"/>
  <c r="O920" i="46"/>
  <c r="P920" i="46"/>
  <c r="M920" i="46"/>
  <c r="N920" i="46"/>
  <c r="P514" i="46"/>
  <c r="N514" i="46"/>
  <c r="O514" i="46"/>
  <c r="M514" i="46"/>
  <c r="N454" i="46"/>
  <c r="P454" i="46"/>
  <c r="M454" i="46"/>
  <c r="O454" i="46"/>
  <c r="P510" i="46"/>
  <c r="N510" i="46"/>
  <c r="O510" i="46"/>
  <c r="M510" i="46"/>
  <c r="M497" i="46"/>
  <c r="P497" i="46"/>
  <c r="N497" i="46"/>
  <c r="O497" i="46"/>
  <c r="P640" i="46"/>
  <c r="N640" i="46"/>
  <c r="M640" i="46"/>
  <c r="O640" i="46"/>
  <c r="M566" i="46"/>
  <c r="N566" i="46"/>
  <c r="P566" i="46"/>
  <c r="O566" i="46"/>
  <c r="M407" i="46"/>
  <c r="N407" i="46"/>
  <c r="P407" i="46"/>
  <c r="O407" i="46"/>
  <c r="O270" i="46"/>
  <c r="N270" i="46"/>
  <c r="M270" i="46"/>
  <c r="P270" i="46"/>
  <c r="M367" i="46"/>
  <c r="P367" i="46"/>
  <c r="O367" i="46"/>
  <c r="N367" i="46"/>
  <c r="N881" i="46"/>
  <c r="P881" i="46"/>
  <c r="O881" i="46"/>
  <c r="M881" i="46"/>
  <c r="M368" i="46"/>
  <c r="O368" i="46"/>
  <c r="N368" i="46"/>
  <c r="P368" i="46"/>
  <c r="M60" i="46"/>
  <c r="P60" i="46"/>
  <c r="N60" i="46"/>
  <c r="O60" i="46"/>
  <c r="O185" i="46"/>
  <c r="M185" i="46"/>
  <c r="N185" i="46"/>
  <c r="P185" i="46"/>
  <c r="P739" i="46"/>
  <c r="O739" i="46"/>
  <c r="M739" i="46"/>
  <c r="N739" i="46"/>
  <c r="N444" i="46"/>
  <c r="M444" i="46"/>
  <c r="P444" i="46"/>
  <c r="O444" i="46"/>
  <c r="P24" i="46"/>
  <c r="O24" i="46"/>
  <c r="M24" i="46"/>
  <c r="N24" i="46"/>
  <c r="N136" i="46"/>
  <c r="P136" i="46"/>
  <c r="M136" i="46"/>
  <c r="O136" i="46"/>
  <c r="N195" i="46"/>
  <c r="O195" i="46"/>
  <c r="P195" i="46"/>
  <c r="M195" i="46"/>
  <c r="O788" i="46"/>
  <c r="P788" i="46"/>
  <c r="N788" i="46"/>
  <c r="M788" i="46"/>
  <c r="O790" i="46"/>
  <c r="M790" i="46"/>
  <c r="N790" i="46"/>
  <c r="P790" i="46"/>
  <c r="M443" i="46"/>
  <c r="P443" i="46"/>
  <c r="N443" i="46"/>
  <c r="O443" i="46"/>
  <c r="M869" i="46"/>
  <c r="N869" i="46"/>
  <c r="O869" i="46"/>
  <c r="P869" i="46"/>
  <c r="P461" i="46"/>
  <c r="O461" i="46"/>
  <c r="M461" i="46"/>
  <c r="N461" i="46"/>
  <c r="P87" i="46"/>
  <c r="N87" i="46"/>
  <c r="M87" i="46"/>
  <c r="O87" i="46"/>
  <c r="O698" i="46"/>
  <c r="P698" i="46"/>
  <c r="N698" i="46"/>
  <c r="M698" i="46"/>
  <c r="N146" i="46"/>
  <c r="P146" i="46"/>
  <c r="O146" i="46"/>
  <c r="M146" i="46"/>
  <c r="P883" i="46"/>
  <c r="M883" i="46"/>
  <c r="N883" i="46"/>
  <c r="O883" i="46"/>
  <c r="O884" i="46"/>
  <c r="M884" i="46"/>
  <c r="P884" i="46"/>
  <c r="N884" i="46"/>
  <c r="N528" i="46"/>
  <c r="P528" i="46"/>
  <c r="M528" i="46"/>
  <c r="O528" i="46"/>
  <c r="P377" i="46"/>
  <c r="M377" i="46"/>
  <c r="N377" i="46"/>
  <c r="O377" i="46"/>
  <c r="P41" i="46"/>
  <c r="N41" i="46"/>
  <c r="M41" i="46"/>
  <c r="O41" i="46"/>
  <c r="P163" i="46"/>
  <c r="N163" i="46"/>
  <c r="M163" i="46"/>
  <c r="O163" i="46"/>
  <c r="P868" i="46"/>
  <c r="O868" i="46"/>
  <c r="M868" i="46"/>
  <c r="N868" i="46"/>
  <c r="M97" i="46"/>
  <c r="N97" i="46"/>
  <c r="O97" i="46"/>
  <c r="P97" i="46"/>
  <c r="N21" i="46"/>
  <c r="P21" i="46"/>
  <c r="M21" i="46"/>
  <c r="O21" i="46"/>
  <c r="P306" i="46"/>
  <c r="N306" i="46"/>
  <c r="M306" i="46"/>
  <c r="O306" i="46"/>
  <c r="O641" i="46"/>
  <c r="M641" i="46"/>
  <c r="N641" i="46"/>
  <c r="P641" i="46"/>
  <c r="N116" i="46"/>
  <c r="P116" i="46"/>
  <c r="M116" i="46"/>
  <c r="O116" i="46"/>
  <c r="M355" i="46"/>
  <c r="P355" i="46"/>
  <c r="N355" i="46"/>
  <c r="O355" i="46"/>
  <c r="M180" i="46"/>
  <c r="P180" i="46"/>
  <c r="N180" i="46"/>
  <c r="O180" i="46"/>
  <c r="P667" i="46"/>
  <c r="N667" i="46"/>
  <c r="M667" i="46"/>
  <c r="O667" i="46"/>
  <c r="P249" i="46"/>
  <c r="M249" i="46"/>
  <c r="O249" i="46"/>
  <c r="N249" i="46"/>
  <c r="P777" i="46"/>
  <c r="N777" i="46"/>
  <c r="M777" i="46"/>
  <c r="O777" i="46"/>
  <c r="N292" i="46"/>
  <c r="M292" i="46"/>
  <c r="O292" i="46"/>
  <c r="P292" i="46"/>
  <c r="O63" i="46"/>
  <c r="M63" i="46"/>
  <c r="N63" i="46"/>
  <c r="P63" i="46"/>
  <c r="O272" i="46"/>
  <c r="M272" i="46"/>
  <c r="P272" i="46"/>
  <c r="N272" i="46"/>
  <c r="M151" i="46"/>
  <c r="N151" i="46"/>
  <c r="P151" i="46"/>
  <c r="O151" i="46"/>
  <c r="N561" i="46"/>
  <c r="P561" i="46"/>
  <c r="M561" i="46"/>
  <c r="O561" i="46"/>
  <c r="M648" i="46"/>
  <c r="O648" i="46"/>
  <c r="N648" i="46"/>
  <c r="P648" i="46"/>
  <c r="N879" i="46"/>
  <c r="O879" i="46"/>
  <c r="P879" i="46"/>
  <c r="M879" i="46"/>
  <c r="M332" i="46"/>
  <c r="N332" i="46"/>
  <c r="P332" i="46"/>
  <c r="O332" i="46"/>
  <c r="O343" i="46"/>
  <c r="P343" i="46"/>
  <c r="N343" i="46"/>
  <c r="M343" i="46"/>
  <c r="O401" i="46"/>
  <c r="N401" i="46"/>
  <c r="M401" i="46"/>
  <c r="P401" i="46"/>
  <c r="P757" i="46"/>
  <c r="M757" i="46"/>
  <c r="N757" i="46"/>
  <c r="O757" i="46"/>
  <c r="P478" i="46"/>
  <c r="O478" i="46"/>
  <c r="M478" i="46"/>
  <c r="N478" i="46"/>
  <c r="N469" i="46"/>
  <c r="O469" i="46"/>
  <c r="P469" i="46"/>
  <c r="M469" i="46"/>
  <c r="M682" i="46"/>
  <c r="P682" i="46"/>
  <c r="O682" i="46"/>
  <c r="N682" i="46"/>
  <c r="P973" i="46"/>
  <c r="N973" i="46"/>
  <c r="M973" i="46"/>
  <c r="O973" i="46"/>
  <c r="M392" i="46"/>
  <c r="P392" i="46"/>
  <c r="O392" i="46"/>
  <c r="N392" i="46"/>
  <c r="O865" i="46"/>
  <c r="N865" i="46"/>
  <c r="M865" i="46"/>
  <c r="P865" i="46"/>
  <c r="P827" i="46"/>
  <c r="N827" i="46"/>
  <c r="M827" i="46"/>
  <c r="O827" i="46"/>
  <c r="O591" i="46"/>
  <c r="M591" i="46"/>
  <c r="P591" i="46"/>
  <c r="N591" i="46"/>
  <c r="P796" i="46"/>
  <c r="O796" i="46"/>
  <c r="M796" i="46"/>
  <c r="N796" i="46"/>
  <c r="M943" i="46"/>
  <c r="N943" i="46"/>
  <c r="O943" i="46"/>
  <c r="P943" i="46"/>
  <c r="P779" i="46"/>
  <c r="M779" i="46"/>
  <c r="N779" i="46"/>
  <c r="O779" i="46"/>
  <c r="P819" i="46"/>
  <c r="M819" i="46"/>
  <c r="N819" i="46"/>
  <c r="O819" i="46"/>
  <c r="N713" i="46"/>
  <c r="O713" i="46"/>
  <c r="M713" i="46"/>
  <c r="P713" i="46"/>
  <c r="M337" i="46"/>
  <c r="O337" i="46"/>
  <c r="P337" i="46"/>
  <c r="N337" i="46"/>
  <c r="P699" i="46"/>
  <c r="O699" i="46"/>
  <c r="N699" i="46"/>
  <c r="M699" i="46"/>
  <c r="P831" i="46"/>
  <c r="O831" i="46"/>
  <c r="N831" i="46"/>
  <c r="M831" i="46"/>
  <c r="M676" i="46"/>
  <c r="N676" i="46"/>
  <c r="O676" i="46"/>
  <c r="P676" i="46"/>
  <c r="P500" i="46"/>
  <c r="N500" i="46"/>
  <c r="O500" i="46"/>
  <c r="M500" i="46"/>
  <c r="O339" i="46"/>
  <c r="M339" i="46"/>
  <c r="P339" i="46"/>
  <c r="N339" i="46"/>
  <c r="N119" i="46"/>
  <c r="O119" i="46"/>
  <c r="M119" i="46"/>
  <c r="P119" i="46"/>
  <c r="M692" i="46"/>
  <c r="N692" i="46"/>
  <c r="O692" i="46"/>
  <c r="P692" i="46"/>
  <c r="O853" i="46"/>
  <c r="N853" i="46"/>
  <c r="M853" i="46"/>
  <c r="P853" i="46"/>
  <c r="N106" i="46"/>
  <c r="O106" i="46"/>
  <c r="P106" i="46"/>
  <c r="M106" i="46"/>
  <c r="N470" i="46"/>
  <c r="P470" i="46"/>
  <c r="M470" i="46"/>
  <c r="O470" i="46"/>
  <c r="O296" i="46"/>
  <c r="M296" i="46"/>
  <c r="P296" i="46"/>
  <c r="N296" i="46"/>
  <c r="O176" i="46"/>
  <c r="N176" i="46"/>
  <c r="P176" i="46"/>
  <c r="M176" i="46"/>
  <c r="N227" i="46"/>
  <c r="M227" i="46"/>
  <c r="P227" i="46"/>
  <c r="O227" i="46"/>
  <c r="N421" i="46"/>
  <c r="O421" i="46"/>
  <c r="M421" i="46"/>
  <c r="P421" i="46"/>
  <c r="N848" i="46"/>
  <c r="P848" i="46"/>
  <c r="M848" i="46"/>
  <c r="O848" i="46"/>
  <c r="M929" i="46"/>
  <c r="P929" i="46"/>
  <c r="O929" i="46"/>
  <c r="N929" i="46"/>
  <c r="O995" i="46"/>
  <c r="M995" i="46"/>
  <c r="P995" i="46"/>
  <c r="N995" i="46"/>
  <c r="P70" i="46"/>
  <c r="M70" i="46"/>
  <c r="N70" i="46"/>
  <c r="O70" i="46"/>
  <c r="P705" i="46"/>
  <c r="O705" i="46"/>
  <c r="M705" i="46"/>
  <c r="N705" i="46"/>
  <c r="N164" i="46"/>
  <c r="P164" i="46"/>
  <c r="M164" i="46"/>
  <c r="O164" i="46"/>
  <c r="P131" i="46"/>
  <c r="M131" i="46"/>
  <c r="N131" i="46"/>
  <c r="O131" i="46"/>
  <c r="P327" i="46"/>
  <c r="O327" i="46"/>
  <c r="N327" i="46"/>
  <c r="M327" i="46"/>
  <c r="N130" i="46"/>
  <c r="M130" i="46"/>
  <c r="O130" i="46"/>
  <c r="P130" i="46"/>
  <c r="O517" i="46"/>
  <c r="M517" i="46"/>
  <c r="P517" i="46"/>
  <c r="N517" i="46"/>
  <c r="P766" i="46"/>
  <c r="O766" i="46"/>
  <c r="M766" i="46"/>
  <c r="N766" i="46"/>
  <c r="O167" i="46"/>
  <c r="P167" i="46"/>
  <c r="N167" i="46"/>
  <c r="M167" i="46"/>
  <c r="N267" i="46"/>
  <c r="M267" i="46"/>
  <c r="P267" i="46"/>
  <c r="O267" i="46"/>
  <c r="N940" i="46"/>
  <c r="P940" i="46"/>
  <c r="O940" i="46"/>
  <c r="M940" i="46"/>
  <c r="O835" i="46"/>
  <c r="N835" i="46"/>
  <c r="P835" i="46"/>
  <c r="M835" i="46"/>
  <c r="P46" i="46"/>
  <c r="O46" i="46"/>
  <c r="N46" i="46"/>
  <c r="M46" i="46"/>
  <c r="P175" i="46"/>
  <c r="M175" i="46"/>
  <c r="N175" i="46"/>
  <c r="O175" i="46"/>
  <c r="P856" i="46"/>
  <c r="N856" i="46"/>
  <c r="M856" i="46"/>
  <c r="O856" i="46"/>
  <c r="P898" i="46"/>
  <c r="M898" i="46"/>
  <c r="O898" i="46"/>
  <c r="N898" i="46"/>
  <c r="N767" i="46"/>
  <c r="P767" i="46"/>
  <c r="O767" i="46"/>
  <c r="M767" i="46"/>
  <c r="N502" i="46"/>
  <c r="M502" i="46"/>
  <c r="O502" i="46"/>
  <c r="P502" i="46"/>
  <c r="P752" i="46"/>
  <c r="N752" i="46"/>
  <c r="M752" i="46"/>
  <c r="O752" i="46"/>
  <c r="N664" i="46"/>
  <c r="P664" i="46"/>
  <c r="M664" i="46"/>
  <c r="O664" i="46"/>
  <c r="N553" i="46"/>
  <c r="P553" i="46"/>
  <c r="M553" i="46"/>
  <c r="O553" i="46"/>
  <c r="M984" i="46"/>
  <c r="P984" i="46"/>
  <c r="O984" i="46"/>
  <c r="N984" i="46"/>
  <c r="O105" i="46"/>
  <c r="M105" i="46"/>
  <c r="P105" i="46"/>
  <c r="N105" i="46"/>
  <c r="M627" i="46"/>
  <c r="P627" i="46"/>
  <c r="O627" i="46"/>
  <c r="N627" i="46"/>
  <c r="O563" i="46"/>
  <c r="N563" i="46"/>
  <c r="P563" i="46"/>
  <c r="M563" i="46"/>
  <c r="O88" i="46"/>
  <c r="M88" i="46"/>
  <c r="N88" i="46"/>
  <c r="P88" i="46"/>
  <c r="P51" i="46"/>
  <c r="M51" i="46"/>
  <c r="O51" i="46"/>
  <c r="N51" i="46"/>
  <c r="N876" i="46"/>
  <c r="P876" i="46"/>
  <c r="O876" i="46"/>
  <c r="M876" i="46"/>
  <c r="M445" i="46"/>
  <c r="N445" i="46"/>
  <c r="P445" i="46"/>
  <c r="O445" i="46"/>
  <c r="P269" i="46"/>
  <c r="N269" i="46"/>
  <c r="O269" i="46"/>
  <c r="M269" i="46"/>
  <c r="P81" i="46"/>
  <c r="O81" i="46"/>
  <c r="M81" i="46"/>
  <c r="N81" i="46"/>
  <c r="P323" i="46"/>
  <c r="M323" i="46"/>
  <c r="O323" i="46"/>
  <c r="N323" i="46"/>
  <c r="O830" i="46"/>
  <c r="N830" i="46"/>
  <c r="M830" i="46"/>
  <c r="P830" i="46"/>
  <c r="O438" i="46"/>
  <c r="N438" i="46"/>
  <c r="M438" i="46"/>
  <c r="P438" i="46"/>
  <c r="M344" i="46"/>
  <c r="O344" i="46"/>
  <c r="P344" i="46"/>
  <c r="N344" i="46"/>
  <c r="P154" i="46"/>
  <c r="O154" i="46"/>
  <c r="N154" i="46"/>
  <c r="M154" i="46"/>
  <c r="O803" i="46"/>
  <c r="P803" i="46"/>
  <c r="M803" i="46"/>
  <c r="N803" i="46"/>
  <c r="N872" i="46"/>
  <c r="P872" i="46"/>
  <c r="M872" i="46"/>
  <c r="O872" i="46"/>
  <c r="N660" i="46"/>
  <c r="M660" i="46"/>
  <c r="O660" i="46"/>
  <c r="P660" i="46"/>
  <c r="N324" i="46"/>
  <c r="P324" i="46"/>
  <c r="M324" i="46"/>
  <c r="O324" i="46"/>
  <c r="O690" i="46"/>
  <c r="P690" i="46"/>
  <c r="N690" i="46"/>
  <c r="M690" i="46"/>
  <c r="O804" i="46"/>
  <c r="N804" i="46"/>
  <c r="M804" i="46"/>
  <c r="P804" i="46"/>
  <c r="P686" i="46"/>
  <c r="M686" i="46"/>
  <c r="O686" i="46"/>
  <c r="N686" i="46"/>
  <c r="N109" i="46"/>
  <c r="O109" i="46"/>
  <c r="P109" i="46"/>
  <c r="M109" i="46"/>
  <c r="N301" i="46"/>
  <c r="P301" i="46"/>
  <c r="O301" i="46"/>
  <c r="M301" i="46"/>
  <c r="O863" i="46"/>
  <c r="P863" i="46"/>
  <c r="M863" i="46"/>
  <c r="N863" i="46"/>
  <c r="M964" i="46"/>
  <c r="P964" i="46"/>
  <c r="O964" i="46"/>
  <c r="N964" i="46"/>
  <c r="N729" i="46"/>
  <c r="P729" i="46"/>
  <c r="O729" i="46"/>
  <c r="M729" i="46"/>
  <c r="M139" i="46"/>
  <c r="P139" i="46"/>
  <c r="N139" i="46"/>
  <c r="O139" i="46"/>
  <c r="M253" i="46"/>
  <c r="P253" i="46"/>
  <c r="N253" i="46"/>
  <c r="O253" i="46"/>
  <c r="P670" i="46"/>
  <c r="N670" i="46"/>
  <c r="O670" i="46"/>
  <c r="M670" i="46"/>
  <c r="M145" i="46"/>
  <c r="N145" i="46"/>
  <c r="O145" i="46"/>
  <c r="P145" i="46"/>
  <c r="P308" i="46"/>
  <c r="M308" i="46"/>
  <c r="O308" i="46"/>
  <c r="N308" i="46"/>
  <c r="M829" i="46"/>
  <c r="N829" i="46"/>
  <c r="O829" i="46"/>
  <c r="P829" i="46"/>
  <c r="N709" i="46"/>
  <c r="M709" i="46"/>
  <c r="O709" i="46"/>
  <c r="P709" i="46"/>
  <c r="P745" i="46"/>
  <c r="O745" i="46"/>
  <c r="N745" i="46"/>
  <c r="M745" i="46"/>
  <c r="M747" i="46"/>
  <c r="O747" i="46"/>
  <c r="N747" i="46"/>
  <c r="P747" i="46"/>
  <c r="P313" i="46"/>
  <c r="M313" i="46"/>
  <c r="N313" i="46"/>
  <c r="O313" i="46"/>
  <c r="M925" i="46"/>
  <c r="O925" i="46"/>
  <c r="N925" i="46"/>
  <c r="P925" i="46"/>
  <c r="P855" i="46"/>
  <c r="M855" i="46"/>
  <c r="N855" i="46"/>
  <c r="O855" i="46"/>
  <c r="O84" i="46"/>
  <c r="P84" i="46"/>
  <c r="N84" i="46"/>
  <c r="M84" i="46"/>
  <c r="P44" i="46"/>
  <c r="O44" i="46"/>
  <c r="N44" i="46"/>
  <c r="M44" i="46"/>
  <c r="M716" i="46"/>
  <c r="O716" i="46"/>
  <c r="N716" i="46"/>
  <c r="P716" i="46"/>
  <c r="M18" i="46"/>
  <c r="N18" i="46"/>
  <c r="P18" i="46"/>
  <c r="O18" i="46"/>
  <c r="N179" i="46"/>
  <c r="O179" i="46"/>
  <c r="P179" i="46"/>
  <c r="M179" i="46"/>
  <c r="O601" i="46"/>
  <c r="M601" i="46"/>
  <c r="N601" i="46"/>
  <c r="P601" i="46"/>
  <c r="P233" i="46"/>
  <c r="N233" i="46"/>
  <c r="O233" i="46"/>
  <c r="M233" i="46"/>
  <c r="N864" i="46"/>
  <c r="M864" i="46"/>
  <c r="O864" i="46"/>
  <c r="P864" i="46"/>
  <c r="N696" i="46"/>
  <c r="O696" i="46"/>
  <c r="P696" i="46"/>
  <c r="M696" i="46"/>
  <c r="O742" i="46"/>
  <c r="M742" i="46"/>
  <c r="P742" i="46"/>
  <c r="N742" i="46"/>
  <c r="O710" i="46"/>
  <c r="P710" i="46"/>
  <c r="M710" i="46"/>
  <c r="N710" i="46"/>
  <c r="O795" i="46"/>
  <c r="N795" i="46"/>
  <c r="P795" i="46"/>
  <c r="M795" i="46"/>
  <c r="P751" i="46"/>
  <c r="N751" i="46"/>
  <c r="M751" i="46"/>
  <c r="O751" i="46"/>
  <c r="N193" i="46"/>
  <c r="P193" i="46"/>
  <c r="M193" i="46"/>
  <c r="O193" i="46"/>
  <c r="M693" i="46"/>
  <c r="N693" i="46"/>
  <c r="P693" i="46"/>
  <c r="O693" i="46"/>
  <c r="O822" i="46"/>
  <c r="P822" i="46"/>
  <c r="M822" i="46"/>
  <c r="N822" i="46"/>
  <c r="N219" i="46"/>
  <c r="P219" i="46"/>
  <c r="O219" i="46"/>
  <c r="M219" i="46"/>
  <c r="O22" i="46"/>
  <c r="M22" i="46"/>
  <c r="N22" i="46"/>
  <c r="P22" i="46"/>
  <c r="P986" i="46"/>
  <c r="O986" i="46"/>
  <c r="N986" i="46"/>
  <c r="M986" i="46"/>
  <c r="N5" i="46"/>
  <c r="P5" i="46"/>
  <c r="M5" i="46"/>
  <c r="O5"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31" authorId="0" shapeId="0" xr:uid="{51C00D28-30AA-4882-AB03-6E662978338B}">
      <text>
        <r>
          <rPr>
            <b/>
            <sz val="9"/>
            <color indexed="81"/>
            <rFont val="MS P ゴシック"/>
            <family val="3"/>
            <charset val="128"/>
          </rPr>
          <t>第二引数は入力時に候補が表示される</t>
        </r>
      </text>
    </comment>
    <comment ref="D95"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6"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D107" authorId="0" shapeId="0" xr:uid="{A28ED36A-D87E-4F2B-9BC4-F256870A96AA}">
      <text>
        <r>
          <rPr>
            <b/>
            <sz val="9"/>
            <color indexed="81"/>
            <rFont val="MS P ゴシック"/>
            <family val="3"/>
            <charset val="128"/>
          </rPr>
          <t>&lt;arg2&gt;1:Read,2:Write,8:AddWrite、&lt;arg3&gt;新しいファイルを作成するかどうか</t>
        </r>
      </text>
    </comment>
    <comment ref="D183"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188" authorId="0" shapeId="0" xr:uid="{949A0888-98B0-4A3B-807D-F8F1077B13CF}">
      <text>
        <r>
          <rPr>
            <sz val="9"/>
            <color indexed="81"/>
            <rFont val="MS P ゴシック"/>
            <family val="3"/>
            <charset val="128"/>
          </rPr>
          <t xml:space="preserve">例) yamlファイルサンプル
- id: "sample_shelf_001"
  faces:
    - placeable_work_infos:
      - name: "meitennoaji_keika_kumamotomayutonkotsu"
        num_x: 5
        num_y: 2
      - name: "maruchan_gotsumori_shiotantanmen"
        num_x: 5
        num_y: 2
</t>
        </r>
      </text>
    </comment>
    <comment ref="C342" authorId="0" shapeId="0" xr:uid="{F67A4FB5-71BB-46E3-BFC4-DBD791013E2D}">
      <text>
        <r>
          <rPr>
            <sz val="9"/>
            <color indexed="81"/>
            <rFont val="MS P ゴシック"/>
            <family val="3"/>
            <charset val="128"/>
          </rPr>
          <t>・文字列操作のみ。ファイルの実体がなくても取得可能。</t>
        </r>
      </text>
    </comment>
    <comment ref="C343" authorId="0" shapeId="0" xr:uid="{0AC9553B-A6CC-4C7A-90C0-EBD1AB299D7B}">
      <text>
        <r>
          <rPr>
            <sz val="9"/>
            <color indexed="81"/>
            <rFont val="MS P ゴシック"/>
            <family val="3"/>
            <charset val="128"/>
          </rPr>
          <t>・文字列操作のみ。ファイルの実体がなくても取得可能。</t>
        </r>
      </text>
    </comment>
    <comment ref="C344"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345"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 ref="G395" authorId="0" shapeId="0" xr:uid="{60B5BF62-9A73-468D-BA3D-3554A28570FE}">
      <text>
        <r>
          <rPr>
            <sz val="9"/>
            <color indexed="81"/>
            <rFont val="MS P ゴシック"/>
            <family val="3"/>
            <charset val="128"/>
          </rPr>
          <t>(*1) 後ろの値ほどログレベル値が大きい。
指定したログレベル値以上のログメッセージを出力する。
例えば、WARNING指定時は、WARNINGとERRORとCRITICALのログメッセージを出力する</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233" authorId="0" shapeId="0" xr:uid="{64B20740-0D79-471F-80FF-A14C23F9F063}">
      <text>
        <r>
          <rPr>
            <sz val="9"/>
            <color indexed="81"/>
            <rFont val="MS P ゴシック"/>
            <family val="3"/>
            <charset val="128"/>
          </rPr>
          <t>・文字列操作のみ。ファイルの実体がなくても取得可能。</t>
        </r>
      </text>
    </comment>
    <comment ref="C234" authorId="0" shapeId="0" xr:uid="{E447EF12-F024-4C31-A3E3-04FCD957BCED}">
      <text>
        <r>
          <rPr>
            <sz val="9"/>
            <color indexed="81"/>
            <rFont val="MS P ゴシック"/>
            <family val="3"/>
            <charset val="128"/>
          </rPr>
          <t>・文字列操作のみ。ファイルの実体がなくても取得可能。</t>
        </r>
      </text>
    </comment>
    <comment ref="C235" authorId="0" shapeId="0" xr:uid="{011AD9C7-5AE5-49D3-B749-E06438F3582D}">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36" authorId="0" shapeId="0" xr:uid="{BB6E9C99-73C9-44AF-8566-AACC81D4FB12}">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4"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7"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203"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67"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74"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75"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98"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63"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37"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57"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B85F03B1-300A-425C-A99B-167ED2EA3A09}">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C4927B6D-5EB2-47D6-B986-CAF1F1CA613C}">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87545B6A-4F34-4FC9-B836-AAA205613070}">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7" authorId="0" shapeId="0" xr:uid="{9CBEE3F6-F6A8-45F7-8EB4-5F1D50676999}">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8" authorId="0" shapeId="0" xr:uid="{C71F7F01-AE51-4B42-85FC-747AAE0E825C}">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5" authorId="0" shapeId="0" xr:uid="{70DA9DA9-267B-4A0E-ACC8-9FD034550DA6}">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6" authorId="0" shapeId="0" xr:uid="{BB226A17-CEA5-4ADB-98B7-E109F164A1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83" authorId="0" shapeId="0" xr:uid="{5510A726-701E-4713-A87F-EDE252CEF3FB}">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8" authorId="0" shapeId="0" xr:uid="{0EC7549B-08A4-440D-A011-1073999D56CB}">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14" authorId="0" shapeId="0" xr:uid="{BBECB593-8C2B-4EA7-B770-A8A735FF2537}">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14" authorId="0" shapeId="0" xr:uid="{0947BA49-2CBB-42D8-99E8-84E2CD0980DF}">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A72" authorId="0" shapeId="0" xr:uid="{4394511A-7AB9-4B78-8EAA-9EB905BAFEE6}">
      <text>
        <r>
          <rPr>
            <sz val="9"/>
            <color indexed="81"/>
            <rFont val="MS P ゴシック"/>
            <family val="3"/>
            <charset val="128"/>
          </rPr>
          <t>Work:作業ツリー
Idx:インデックス
Lcl:ローカルリポジトリ
Rmt:リモートリポジトリ</t>
        </r>
      </text>
    </comment>
    <comment ref="C86" authorId="0" shapeId="0" xr:uid="{10F628B3-B10A-4AFD-835A-4B959B073A7D}">
      <text>
        <r>
          <rPr>
            <sz val="9"/>
            <color indexed="81"/>
            <rFont val="MS P ゴシック"/>
            <family val="3"/>
            <charset val="128"/>
          </rPr>
          <t xml:space="preserve">pick：コミットをそのまま使う。内容を変更しない。
reword：コミットメッセージを変更する。コミット内容は変更しない。
edit：コミットを修正する。
squash：ひとつ前のコミットにまとめる。コミットメッセージを書き直す。
fixup：ひとつ前のコミットにまとめる。コミットメッセージをそのまま使う。
exec：shell でコマンドを実行する
</t>
        </r>
      </text>
    </comment>
    <comment ref="C114" authorId="0" shapeId="0" xr:uid="{350A566B-BA53-4C73-8F0F-88A0AC03028E}">
      <text>
        <r>
          <rPr>
            <sz val="9"/>
            <color indexed="81"/>
            <rFont val="MS P ゴシック"/>
            <family val="3"/>
            <charset val="128"/>
          </rPr>
          <t xml:space="preserve">＜手順詳細＞
1. コマンド `git rebase -i HEAD~&lt;数字&gt;` を実行
    - 例えば、&lt;数字&gt;を3とした場合は、HEADを含めた3つ分をまとめる
2. コミット選択画面にて、先頭以外をsに変える
    ```shell
    pick d196455 リスト1、リスト2を作成
    s 968362c リスト2を修正  &lt;-- 変更
    s d196455 リスト1を修正  &lt;-- 変更
    ...
    ```
3. コミットコメント修正画面にて、先頭を新しいコミットコメント、それ以外を削除する
    ```shell
    # This is a combination of 3 commits.
    # This is the 1st commit message:
    リスト1、リスト2を作成    &lt;-- 新しいコミットコメント
    # This is the commit message #2:
    　　　　　　　　　　　　　&lt;-- 削除
    # This is the commit message #3:
    　　　　　　　　　　　　　&lt;-- 削除
    ...
    ```
4. pushコマンド `git push -f` を実行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E57" authorId="0" shapeId="0" xr:uid="{9404DA7C-4836-49A2-BF78-7A483DBBBEF2}">
      <text>
        <r>
          <rPr>
            <sz val="9"/>
            <color indexed="81"/>
            <rFont val="MS P ゴシック"/>
            <family val="3"/>
            <charset val="128"/>
          </rPr>
          <t>"で囲んだ文字列の場合は検索不可</t>
        </r>
      </text>
    </comment>
    <comment ref="F57" authorId="0" shapeId="0" xr:uid="{DB125BD0-1F8E-4243-9E58-645E87B7CF4D}">
      <text>
        <r>
          <rPr>
            <sz val="9"/>
            <color indexed="81"/>
            <rFont val="MS P ゴシック"/>
            <family val="3"/>
            <charset val="128"/>
          </rPr>
          <t>"で囲んだ文字列の場合は検索不可</t>
        </r>
      </text>
    </comment>
    <comment ref="E58" authorId="0" shapeId="0" xr:uid="{BDA0FC3F-DC56-4517-8032-EB53ECFB134A}">
      <text>
        <r>
          <rPr>
            <sz val="9"/>
            <color indexed="81"/>
            <rFont val="MS P ゴシック"/>
            <family val="3"/>
            <charset val="128"/>
          </rPr>
          <t>'で囲んだ文字列の場合は検索不可</t>
        </r>
      </text>
    </comment>
    <comment ref="F58" authorId="0" shapeId="0" xr:uid="{B634582F-86C4-47D2-99D2-7F42324BFA37}">
      <text>
        <r>
          <rPr>
            <sz val="9"/>
            <color indexed="81"/>
            <rFont val="MS P ゴシック"/>
            <family val="3"/>
            <charset val="128"/>
          </rPr>
          <t>'で囲んだ文字列の場合は検索不可</t>
        </r>
      </text>
    </comment>
    <comment ref="E59" authorId="0" shapeId="0" xr:uid="{7C94F158-9794-4405-B0B9-8B90D07AB79C}">
      <text>
        <r>
          <rPr>
            <sz val="9"/>
            <color indexed="81"/>
            <rFont val="MS P ゴシック"/>
            <family val="3"/>
            <charset val="128"/>
          </rPr>
          <t>エスケープしないとシェルの置換に引っかかる</t>
        </r>
      </text>
    </comment>
  </commentList>
</comments>
</file>

<file path=xl/sharedStrings.xml><?xml version="1.0" encoding="utf-8"?>
<sst xmlns="http://schemas.openxmlformats.org/spreadsheetml/2006/main" count="9948" uniqueCount="3374">
  <si>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</si>
  <si>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</si>
  <si>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</si>
  <si>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</si>
  <si>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</si>
  <si>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</si>
  <si>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</si>
  <si>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</si>
  <si>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</si>
  <si>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</si>
  <si>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</si>
  <si>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</si>
  <si>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</si>
  <si>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</si>
  <si>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</si>
  <si>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</si>
  <si>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</si>
  <si>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</si>
  <si>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</si>
  <si>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</si>
  <si>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</si>
  <si>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</si>
  <si>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</si>
  <si>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</si>
  <si>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</si>
  <si>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</si>
  <si>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</si>
  <si>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</si>
  <si>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</si>
  <si>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</si>
  <si>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</si>
  <si>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</si>
  <si>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</si>
  <si>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</si>
  <si>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</si>
  <si>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</si>
  <si>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</si>
  <si>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</si>
  <si>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</si>
  <si>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</si>
  <si>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</si>
  <si>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</si>
  <si>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</si>
  <si>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</si>
  <si>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</si>
  <si>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</si>
  <si>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</si>
  <si>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</si>
  <si>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</si>
  <si>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</si>
  <si>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</si>
  <si>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</si>
  <si>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</si>
  <si>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</si>
  <si>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</si>
  <si>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</si>
  <si>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</si>
  <si>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</si>
  <si>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</si>
  <si>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</si>
  <si>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</si>
  <si>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</si>
  <si>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</si>
  <si>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</si>
  <si>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</si>
  <si>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</si>
  <si>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</si>
  <si>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</si>
  <si>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</si>
  <si>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</si>
  <si>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</si>
  <si>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</si>
  <si>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</si>
  <si>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</si>
  <si>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</si>
  <si>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</si>
  <si>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</si>
  <si>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</si>
  <si>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</si>
  <si>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</si>
  <si>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</si>
  <si>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</si>
  <si>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</si>
  <si>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</si>
  <si>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</si>
  <si>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</si>
  <si>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</si>
  <si>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</si>
  <si>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</si>
  <si>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</si>
  <si>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</si>
  <si>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</si>
  <si>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</si>
  <si>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</si>
  <si>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</si>
  <si>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</si>
  <si>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</si>
  <si>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</si>
  <si>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</si>
  <si>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</si>
  <si>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</si>
  <si>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</si>
  <si>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</si>
  <si>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</si>
  <si>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</si>
  <si>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</si>
  <si>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</si>
  <si>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</si>
  <si>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</si>
  <si>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</si>
  <si>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</si>
  <si>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</si>
  <si>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</si>
  <si>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</si>
  <si>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</si>
  <si>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</si>
  <si>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</si>
  <si>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</si>
  <si>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</si>
  <si>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</si>
  <si>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</si>
  <si>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</si>
  <si>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4"/>
  </si>
  <si>
    <t>出力先は標準出力。ただし、この方法は cscript.exe からの起動に限られる。例）cscript.exe xxx.vbs</t>
    <phoneticPr fontId="4"/>
  </si>
  <si>
    <t>c:\test\a.txt（０オリジン）</t>
    <phoneticPr fontId="4"/>
  </si>
  <si>
    <t>構文</t>
    <rPh sb="0" eb="2">
      <t>コウブン</t>
    </rPh>
    <phoneticPr fontId="4"/>
  </si>
  <si>
    <t>備考</t>
    <rPh sb="0" eb="2">
      <t>ビコウ</t>
    </rPh>
    <phoneticPr fontId="4"/>
  </si>
  <si>
    <t>格納先の変数は、配列ではなくオブジェクトとして定義しなければならないことに注意！</t>
    <phoneticPr fontId="4"/>
  </si>
  <si>
    <t>draem</t>
    <phoneticPr fontId="4"/>
  </si>
  <si>
    <t>第二引数は表示ボタンの種類を指定</t>
    <phoneticPr fontId="4"/>
  </si>
  <si>
    <t>True</t>
    <phoneticPr fontId="4"/>
  </si>
  <si>
    <t>-99 (※)負数の場合は切り上げ</t>
  </si>
  <si>
    <t>-100 (※)負数の場合は切り下げ</t>
  </si>
  <si>
    <t>99 （＝切り捨て）</t>
  </si>
  <si>
    <t>-99 （＝切り捨て）</t>
  </si>
  <si>
    <t>"234.5"</t>
    <phoneticPr fontId="4"/>
  </si>
  <si>
    <t>vbCr | vbLf | vbCrLf</t>
    <phoneticPr fontId="4"/>
  </si>
  <si>
    <t>32 (※)値の意味はこちら</t>
    <phoneticPr fontId="4"/>
  </si>
  <si>
    <t>クリップボード 書き込み</t>
    <rPh sb="8" eb="9">
      <t>カ</t>
    </rPh>
    <rPh sb="10" eb="11">
      <t>コ</t>
    </rPh>
    <phoneticPr fontId="4"/>
  </si>
  <si>
    <t>クリップボード 取得</t>
    <rPh sb="8" eb="10">
      <t>シュトク</t>
    </rPh>
    <phoneticPr fontId="4"/>
  </si>
  <si>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</si>
  <si>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</si>
  <si>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</si>
  <si>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</si>
  <si>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</si>
  <si>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</si>
  <si>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</si>
  <si>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</si>
  <si>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</si>
  <si>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</si>
  <si>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</si>
  <si>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</si>
  <si>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</si>
  <si>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</si>
  <si>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</si>
  <si>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</si>
  <si>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</si>
  <si>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</si>
  <si>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</si>
  <si>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</si>
  <si>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</si>
  <si>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</si>
  <si>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</si>
  <si>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</si>
  <si>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</si>
  <si>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</si>
  <si>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</si>
  <si>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</si>
  <si>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</si>
  <si>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</si>
  <si>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</si>
  <si>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</si>
  <si>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</si>
  <si>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</si>
  <si>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</si>
  <si>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</si>
  <si>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</si>
  <si>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</si>
  <si>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</si>
  <si>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</si>
  <si>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</si>
  <si>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</si>
  <si>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</si>
  <si>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</si>
  <si>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</si>
  <si>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</si>
  <si>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</si>
  <si>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</si>
  <si>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</si>
  <si>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</si>
  <si>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</si>
  <si>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</si>
  <si>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</si>
  <si>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</si>
  <si>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</si>
  <si>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</si>
  <si>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</si>
  <si>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</si>
  <si>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</si>
  <si>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</si>
  <si>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</si>
  <si>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</si>
  <si>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</si>
  <si>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</si>
  <si>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</si>
  <si>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</si>
  <si>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</si>
  <si>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</si>
  <si>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</si>
  <si>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</si>
  <si>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</si>
  <si>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</si>
  <si>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</si>
  <si>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</si>
  <si>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</si>
  <si>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</si>
  <si>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</si>
  <si>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</si>
  <si>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</si>
  <si>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</si>
  <si>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</si>
  <si>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</si>
  <si>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</si>
  <si>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</si>
  <si>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</si>
  <si>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</si>
  <si>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</si>
  <si>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</si>
  <si>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</si>
  <si>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</si>
  <si>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</si>
  <si>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</si>
  <si>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</si>
  <si>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</si>
  <si>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</si>
  <si>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</si>
  <si>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</si>
  <si>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</si>
  <si>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</si>
  <si>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</si>
  <si>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</si>
  <si>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</si>
  <si>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</si>
  <si>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</si>
  <si>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</si>
  <si>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</si>
  <si>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</si>
  <si>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</si>
  <si>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</si>
  <si>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</si>
  <si>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</si>
  <si>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</si>
  <si>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</si>
  <si>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4"/>
  </si>
  <si>
    <t>CreateObject 関数でインスタンス化した場合、VBA エディターでの自動補完（インテリセンス）が働かない！</t>
    <phoneticPr fontId="4"/>
  </si>
  <si>
    <t>確認メッセージ表示</t>
    <phoneticPr fontId="4"/>
  </si>
  <si>
    <t>確認メッセージ抑制</t>
    <phoneticPr fontId="4"/>
  </si>
  <si>
    <t>→ xlGeneral:標準、xlLeft:左詰め、xlCenter:中央揃え、xlRight:右詰め、xlCenterAcrossSelection:選択範囲内で中央、xlFill:繰り返し、xlJustify:両端揃え、xlDistributed:均等割り付け</t>
    <phoneticPr fontId="4"/>
  </si>
  <si>
    <t>上記【グラフ Ｘ軸 目盛軸 ～の「MajorGridlines」を「MinorGridlines」に変更</t>
    <phoneticPr fontId="4"/>
  </si>
  <si>
    <t>上記【グラフ Ｘ軸 ～の「xlCategory」を「xlValue」に変更</t>
    <phoneticPr fontId="4"/>
  </si>
  <si>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4"/>
  </si>
  <si>
    <t>xlLegendPositionBottom\|xlLegendPositionLeft\|xlLegendPositionRight\|...</t>
    <phoneticPr fontId="4"/>
  </si>
  <si>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</si>
  <si>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</si>
  <si>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</si>
  <si>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</si>
  <si>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</si>
  <si>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</si>
  <si>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</si>
  <si>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</si>
  <si>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</si>
  <si>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</si>
  <si>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</si>
  <si>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</si>
  <si>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</si>
  <si>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</si>
  <si>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</si>
  <si>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</si>
  <si>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</si>
  <si>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</si>
  <si>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</si>
  <si>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</si>
  <si>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</si>
  <si>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</si>
  <si>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</si>
  <si>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</si>
  <si>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</si>
  <si>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</si>
  <si>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</si>
  <si>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</si>
  <si>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</si>
  <si>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</si>
  <si>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</si>
  <si>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</si>
  <si>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</si>
  <si>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</si>
  <si>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</si>
  <si>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</si>
  <si>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</si>
  <si>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</si>
  <si>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</si>
  <si>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</si>
  <si>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</si>
  <si>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</si>
  <si>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</si>
  <si>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</si>
  <si>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</si>
  <si>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</si>
  <si>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</si>
  <si>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4"/>
  </si>
  <si>
    <t>ワード起動</t>
    <rPh sb="3" eb="5">
      <t>キドウ</t>
    </rPh>
    <phoneticPr fontId="4"/>
  </si>
  <si>
    <t>ワードファイルを開く</t>
    <rPh sb="8" eb="9">
      <t>ヒラ</t>
    </rPh>
    <phoneticPr fontId="4"/>
  </si>
  <si>
    <t>テキスト読み込み</t>
    <rPh sb="4" eb="5">
      <t>ヨ</t>
    </rPh>
    <rPh sb="6" eb="7">
      <t>コ</t>
    </rPh>
    <phoneticPr fontId="4"/>
  </si>
  <si>
    <t>ワードファイルを閉じる</t>
    <rPh sb="8" eb="9">
      <t>ト</t>
    </rPh>
    <phoneticPr fontId="4"/>
  </si>
  <si>
    <t>ワード終了</t>
    <rPh sb="3" eb="5">
      <t>シュウリョウ</t>
    </rPh>
    <phoneticPr fontId="4"/>
  </si>
  <si>
    <t>LenB(StrConv("あaＢ", vbFromUnicode))</t>
    <phoneticPr fontId="4"/>
  </si>
  <si>
    <t>Len("あaＢ")</t>
  </si>
  <si>
    <t>LenB("あaＢ")</t>
  </si>
  <si>
    <t>LenB("あaＢ")</t>
    <phoneticPr fontId="4"/>
  </si>
  <si>
    <t>=3</t>
    <phoneticPr fontId="4"/>
  </si>
  <si>
    <t>=6（LenBは半角文字も2文字と判定する）</t>
    <rPh sb="8" eb="10">
      <t>ハンカク</t>
    </rPh>
    <rPh sb="10" eb="12">
      <t>モジ</t>
    </rPh>
    <rPh sb="14" eb="16">
      <t>モジ</t>
    </rPh>
    <rPh sb="17" eb="19">
      <t>ハンテイ</t>
    </rPh>
    <phoneticPr fontId="4"/>
  </si>
  <si>
    <t>Selection.Areas.Count</t>
    <phoneticPr fontId="4"/>
  </si>
  <si>
    <t>Selection.Areas(lAreaIdx).Count</t>
    <phoneticPr fontId="4"/>
  </si>
  <si>
    <t>選択範囲数（複数セル選択時）</t>
    <rPh sb="0" eb="2">
      <t>センタク</t>
    </rPh>
    <rPh sb="2" eb="4">
      <t>ハンイ</t>
    </rPh>
    <rPh sb="4" eb="5">
      <t>スウ</t>
    </rPh>
    <rPh sb="6" eb="8">
      <t>フクスウ</t>
    </rPh>
    <rPh sb="10" eb="12">
      <t>センタク</t>
    </rPh>
    <rPh sb="12" eb="13">
      <t>ジ</t>
    </rPh>
    <phoneticPr fontId="4"/>
  </si>
  <si>
    <t>選択範囲内のセル数（複数セル選択時）</t>
    <rPh sb="4" eb="5">
      <t>ナイ</t>
    </rPh>
    <phoneticPr fontId="4"/>
  </si>
  <si>
    <t>選択範囲内のセル値（複数セル選択時）</t>
    <rPh sb="8" eb="9">
      <t>チ</t>
    </rPh>
    <phoneticPr fontId="4"/>
  </si>
  <si>
    <t>Selection.Areas(lAreaIdx).Item(lItemIdx).Value</t>
    <phoneticPr fontId="4"/>
  </si>
  <si>
    <t>複数選択時における、lAreaIdx番目の選択範囲内にあるセル数（lAreaIdxは1オリジン）</t>
    <rPh sb="0" eb="2">
      <t>フクスウ</t>
    </rPh>
    <rPh sb="2" eb="4">
      <t>センタク</t>
    </rPh>
    <rPh sb="4" eb="5">
      <t>ジ</t>
    </rPh>
    <rPh sb="31" eb="32">
      <t>スウ</t>
    </rPh>
    <phoneticPr fontId="4"/>
  </si>
  <si>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</si>
  <si>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4"/>
  </si>
  <si>
    <t>文字列長 取得１</t>
  </si>
  <si>
    <t>文字列長 取得２</t>
  </si>
  <si>
    <t>文字列長 取得３</t>
  </si>
  <si>
    <t>LenB(""リンゴ"")</t>
    <phoneticPr fontId="4"/>
  </si>
  <si>
    <t>非表示セル判定</t>
    <phoneticPr fontId="4"/>
  </si>
  <si>
    <t>Application.OnKey sShtcutKey, sShrcutMacroName</t>
    <phoneticPr fontId="4"/>
  </si>
  <si>
    <t>ショートカットキー設定</t>
    <rPh sb="9" eb="11">
      <t>セッテイ</t>
    </rPh>
    <phoneticPr fontId="4"/>
  </si>
  <si>
    <t>変数定義(固定長文字列型)</t>
    <rPh sb="5" eb="8">
      <t>コテイチョウ</t>
    </rPh>
    <rPh sb="8" eb="12">
      <t>モジレツガタ</t>
    </rPh>
    <phoneticPr fontId="4"/>
  </si>
  <si>
    <t>Dim sStr As String * 3</t>
    <phoneticPr fontId="4"/>
  </si>
  <si>
    <t>フォルダ 特殊フォルダパス取得</t>
    <phoneticPr fontId="4"/>
  </si>
  <si>
    <t>objFSO.GetSpecialFolder(2)</t>
    <phoneticPr fontId="4"/>
  </si>
  <si>
    <t>0:Windowsフォルダ、1:Systemフォルダ、2:テンポラリフォルダ</t>
    <phoneticPr fontId="4"/>
  </si>
  <si>
    <t xml:space="preserve">やりたいこと
</t>
    <phoneticPr fontId="4"/>
  </si>
  <si>
    <t>oPriceOfFruit.Add "リンゴ", "100円"</t>
    <phoneticPr fontId="4"/>
  </si>
  <si>
    <t>エラー</t>
    <phoneticPr fontId="4"/>
  </si>
  <si>
    <t>ファイル操作</t>
    <rPh sb="4" eb="6">
      <t>ソウサ</t>
    </rPh>
    <phoneticPr fontId="4"/>
  </si>
  <si>
    <t>時刻</t>
    <rPh sb="0" eb="2">
      <t>ジコク</t>
    </rPh>
    <phoneticPr fontId="4"/>
  </si>
  <si>
    <t>エクセル固有操作</t>
    <rPh sb="4" eb="6">
      <t>コユウ</t>
    </rPh>
    <rPh sb="6" eb="8">
      <t>ソウサ</t>
    </rPh>
    <phoneticPr fontId="4"/>
  </si>
  <si>
    <t>WScriptShellObject</t>
    <phoneticPr fontId="4"/>
  </si>
  <si>
    <t>オブジェクト定義</t>
    <phoneticPr fontId="4"/>
  </si>
  <si>
    <t>フォーム</t>
    <phoneticPr fontId="4"/>
  </si>
  <si>
    <t>チェックボックス</t>
    <phoneticPr fontId="4"/>
  </si>
  <si>
    <t>Word</t>
    <phoneticPr fontId="4"/>
  </si>
  <si>
    <t>基本構文２</t>
    <rPh sb="0" eb="2">
      <t>キホン</t>
    </rPh>
    <rPh sb="2" eb="4">
      <t>コウブン</t>
    </rPh>
    <phoneticPr fontId="4"/>
  </si>
  <si>
    <t>基本構文１</t>
    <rPh sb="0" eb="2">
      <t>キホン</t>
    </rPh>
    <rPh sb="2" eb="4">
      <t>コウブン</t>
    </rPh>
    <phoneticPr fontId="4"/>
  </si>
  <si>
    <t>連想配列</t>
    <rPh sb="0" eb="2">
      <t>レンソウ</t>
    </rPh>
    <rPh sb="2" eb="4">
      <t>ハイレツ</t>
    </rPh>
    <phoneticPr fontId="4"/>
  </si>
  <si>
    <t>コレクション</t>
    <phoneticPr fontId="4"/>
  </si>
  <si>
    <t>追加</t>
  </si>
  <si>
    <t>要素数取得</t>
  </si>
  <si>
    <t>削除</t>
  </si>
  <si>
    <t>挿入</t>
  </si>
  <si>
    <t>ソート</t>
  </si>
  <si>
    <t>配列変換</t>
  </si>
  <si>
    <t>全要素削除</t>
  </si>
  <si>
    <t>項目取得 ループ</t>
    <phoneticPr fontId="4"/>
  </si>
  <si>
    <t>項目取得 その１</t>
    <phoneticPr fontId="4"/>
  </si>
  <si>
    <t>項目取得 その２</t>
    <phoneticPr fontId="4"/>
  </si>
  <si>
    <t>FileSystemObject</t>
    <phoneticPr fontId="4"/>
  </si>
  <si>
    <t>分岐 if</t>
    <rPh sb="0" eb="2">
      <t>ブンキ</t>
    </rPh>
    <phoneticPr fontId="4"/>
  </si>
  <si>
    <t>分岐 if（空オブジェクト確認）</t>
    <phoneticPr fontId="4"/>
  </si>
  <si>
    <t>分岐 switch</t>
    <phoneticPr fontId="4"/>
  </si>
  <si>
    <t>繰返し for</t>
    <rPh sb="0" eb="1">
      <t>ク</t>
    </rPh>
    <rPh sb="1" eb="2">
      <t>カエ</t>
    </rPh>
    <phoneticPr fontId="4"/>
  </si>
  <si>
    <t>繰返し for each</t>
    <phoneticPr fontId="4"/>
  </si>
  <si>
    <t>繰返し while</t>
    <phoneticPr fontId="4"/>
  </si>
  <si>
    <t>繰返し do while</t>
    <phoneticPr fontId="4"/>
  </si>
  <si>
    <t>繰返し do until</t>
    <phoneticPr fontId="4"/>
  </si>
  <si>
    <t>環境変数 削除</t>
    <rPh sb="5" eb="7">
      <t>サクジョ</t>
    </rPh>
    <phoneticPr fontId="4"/>
  </si>
  <si>
    <t>引数の詳細はこちら</t>
    <rPh sb="0" eb="2">
      <t>ヒキスウ</t>
    </rPh>
    <rPh sb="3" eb="5">
      <t>ショウサイ</t>
    </rPh>
    <phoneticPr fontId="4"/>
  </si>
  <si>
    <t>メッセージ出力(MsgBox)</t>
    <phoneticPr fontId="4"/>
  </si>
  <si>
    <t>メッセージ出力(WScript.Echo)</t>
    <phoneticPr fontId="4"/>
  </si>
  <si>
    <t>メッセージ出力(Wscript.StdOut.WriteLine)</t>
    <phoneticPr fontId="4"/>
  </si>
  <si>
    <t>テキスト入力(InputBox)</t>
  </si>
  <si>
    <t>処理継続チェック＆中断処理</t>
    <rPh sb="0" eb="2">
      <t>ショリ</t>
    </rPh>
    <rPh sb="2" eb="4">
      <t>ケイゾク</t>
    </rPh>
    <rPh sb="9" eb="11">
      <t>チュウダン</t>
    </rPh>
    <rPh sb="11" eb="13">
      <t>ショリ</t>
    </rPh>
    <phoneticPr fontId="4"/>
  </si>
  <si>
    <t>処理継続チェック(Debug.Assert)</t>
    <phoneticPr fontId="4"/>
  </si>
  <si>
    <t>MsgBox "Hello world", vbOKOnly, "タイトル"</t>
    <phoneticPr fontId="4"/>
  </si>
  <si>
    <t>CreateObject("Shell.Application").Namespace(40).Self.Path</t>
    <phoneticPr fontId="4"/>
  </si>
  <si>
    <t>ユーザフォルダパス</t>
    <phoneticPr fontId="4"/>
  </si>
  <si>
    <t>フォルダ 存在確認</t>
    <phoneticPr fontId="4"/>
  </si>
  <si>
    <t>フォルダ 親フォルダパス取得</t>
    <phoneticPr fontId="4"/>
  </si>
  <si>
    <t>objFSO.GetFolder( "C:\codes" ).Attributes</t>
  </si>
  <si>
    <t>ファイル コピー（自ブック）</t>
    <phoneticPr fontId="4"/>
  </si>
  <si>
    <t>特殊フォルダ パス取得</t>
  </si>
  <si>
    <t>環境依存</t>
  </si>
  <si>
    <t>-</t>
    <phoneticPr fontId="4"/>
  </si>
  <si>
    <t>【vbs固有】スクリプト</t>
    <rPh sb="4" eb="6">
      <t>コユウ</t>
    </rPh>
    <phoneticPr fontId="4"/>
  </si>
  <si>
    <t>【vba固有】ChartObject</t>
    <rPh sb="4" eb="6">
      <t>コユウ</t>
    </rPh>
    <phoneticPr fontId="4"/>
  </si>
  <si>
    <t>【vba固有】基本</t>
    <rPh sb="7" eb="9">
      <t>キホン</t>
    </rPh>
    <phoneticPr fontId="4"/>
  </si>
  <si>
    <t>Close #1</t>
    <phoneticPr fontId="4"/>
  </si>
  <si>
    <t>On Error Resume Next</t>
  </si>
  <si>
    <t>=5（String.vbs/LenByte()を利用する）</t>
    <phoneticPr fontId="4"/>
  </si>
  <si>
    <t>1⇒True、"a"⇒False、""⇒False</t>
    <phoneticPr fontId="4"/>
  </si>
  <si>
    <t>(ex. Chr(Asc(""①"") + 1) ⇒ ②</t>
    <phoneticPr fontId="4"/>
  </si>
  <si>
    <t>8→値の詳細はこちら</t>
    <phoneticPr fontId="4"/>
  </si>
  <si>
    <t>vbNewLine</t>
  </si>
  <si>
    <t>第二引数：ウィンドウの表示スタイル（ウィンドウを非表示、別のウィンドウをアクティブ）、第三引数：プログラムの実行が終了するまでスクリプトを待機させるかどうか</t>
    <phoneticPr fontId="4"/>
  </si>
  <si>
    <t>User:現在のユーザー, Process:現在のプロセス, System:全ユーザー, Volatile:現在のログオン</t>
  </si>
  <si>
    <t>先頭からの位置、１オリジン（いない場合は0が返る)</t>
    <phoneticPr fontId="4"/>
  </si>
  <si>
    <t>末尾からの位置、１オリジン（いない場合は0が返る)</t>
    <phoneticPr fontId="4"/>
  </si>
  <si>
    <t>Dim aVal(5) As Integer</t>
  </si>
  <si>
    <t>要素数ではなく最終要素番号！要素数は０オリジン。左の例では要素数６の配列が作成される</t>
    <phoneticPr fontId="4"/>
  </si>
  <si>
    <t>Const NUM = 1</t>
    <phoneticPr fontId="4"/>
  </si>
  <si>
    <t>CLng("&amp;H" &amp; "FA")</t>
    <phoneticPr fontId="4"/>
  </si>
  <si>
    <t xml:space="preserve"> </t>
    <phoneticPr fontId="4"/>
  </si>
  <si>
    <t>wbTrgtBook.Name</t>
  </si>
  <si>
    <t>wbTrgtBook.Path</t>
  </si>
  <si>
    <t>wbTrgtBook.FullName</t>
  </si>
  <si>
    <t>vbsは非対応</t>
    <rPh sb="4" eb="7">
      <t>ヒタイオウ</t>
    </rPh>
    <phoneticPr fontId="4"/>
  </si>
  <si>
    <t>Private 変数名</t>
    <phoneticPr fontId="4"/>
  </si>
  <si>
    <t>Dim 変数名</t>
    <phoneticPr fontId="4"/>
  </si>
  <si>
    <t>Public 変数名</t>
    <phoneticPr fontId="4"/>
  </si>
  <si>
    <t>ReDim 変数名(4)</t>
    <phoneticPr fontId="4"/>
  </si>
  <si>
    <t>Dim 変数名 As 型名</t>
    <rPh sb="11" eb="13">
      <t>カタメイ</t>
    </rPh>
    <phoneticPr fontId="4"/>
  </si>
  <si>
    <t>Private 変数名 As 型名</t>
    <phoneticPr fontId="4"/>
  </si>
  <si>
    <t>Public 変数名 As 型名</t>
    <phoneticPr fontId="4"/>
  </si>
  <si>
    <t>ReDim 変数名(4) As 型名</t>
    <phoneticPr fontId="4"/>
  </si>
  <si>
    <t>"ABCDE"→"ABC"、"A"→"A  "。vbsは非対応</t>
    <phoneticPr fontId="4"/>
  </si>
  <si>
    <t>cTrgtPaths.Add "c:\test\a.txt"</t>
    <phoneticPr fontId="4"/>
  </si>
  <si>
    <t>cTrgtPaths(0)</t>
    <phoneticPr fontId="4"/>
  </si>
  <si>
    <t>cTrgtPaths.Item(0)</t>
    <phoneticPr fontId="4"/>
  </si>
  <si>
    <t>cTrgtPaths.Count</t>
    <phoneticPr fontId="4"/>
  </si>
  <si>
    <t>cTrgtPaths.Remove "c:\test\b.xlsx"</t>
    <phoneticPr fontId="4"/>
  </si>
  <si>
    <t>cTrgtPaths.Add Item:="c:\test\e.ppt", After:=2</t>
    <phoneticPr fontId="4"/>
  </si>
  <si>
    <t>cTrgtPaths.Sort</t>
    <phoneticPr fontId="4"/>
  </si>
  <si>
    <t>cTrgtPaths.Clear</t>
    <phoneticPr fontId="4"/>
  </si>
  <si>
    <t>vbs はおそらく非対応</t>
    <rPh sb="9" eb="12">
      <t>ヒタイオウ</t>
    </rPh>
    <phoneticPr fontId="4"/>
  </si>
  <si>
    <t>oPriceOfFruit.Exists("リンゴ")</t>
    <phoneticPr fontId="4"/>
  </si>
  <si>
    <t>oPriceOfFruit.Item("リンゴ")</t>
    <phoneticPr fontId="4"/>
  </si>
  <si>
    <t>oPriceOfFruit.Keys()(0)</t>
    <phoneticPr fontId="4"/>
  </si>
  <si>
    <t>oPriceOfFruit.Items()(0)</t>
    <phoneticPr fontId="4"/>
  </si>
  <si>
    <t>oPriceOfFruit.Key("リンゴ") = "りんご"</t>
  </si>
  <si>
    <t>oPriceOfFruit.Item("リンゴ") = "200円"</t>
    <phoneticPr fontId="4"/>
  </si>
  <si>
    <t>oPriceOfFruit.Count</t>
    <phoneticPr fontId="4"/>
  </si>
  <si>
    <t>oPriceOfFruit.Remove("リンゴ")</t>
    <phoneticPr fontId="4"/>
  </si>
  <si>
    <t>oPriceOfFruit.RemoveAll</t>
    <phoneticPr fontId="4"/>
  </si>
  <si>
    <t>asFruitPrice = oPriceOfFruit.Items</t>
    <phoneticPr fontId="4"/>
  </si>
  <si>
    <t>asFruitName = oPriceOfFruit.Keys</t>
    <phoneticPr fontId="4"/>
  </si>
  <si>
    <t>oPriceOfFruit.CompareMode = vbBinaryCompare</t>
    <phoneticPr fontId="4"/>
  </si>
  <si>
    <t>objWshShell.Run "C:\test.bat", 0, True</t>
    <phoneticPr fontId="4"/>
  </si>
  <si>
    <t>objWshShell.Run "cmd /c echo.&gt; ""C:\test.txt""", 0, True</t>
    <phoneticPr fontId="4"/>
  </si>
  <si>
    <t>objWshShell.RegRead("HKCU\WshTest\Test1")</t>
    <phoneticPr fontId="4"/>
  </si>
  <si>
    <t>objWshShell.RegWrite("HKCU\WshTest\Test1", "test", "REG_SZ")</t>
    <phoneticPr fontId="4"/>
  </si>
  <si>
    <t>objWshShell.ExpandEnvironmentStrings( "%MYPATH_CODES%" )</t>
    <phoneticPr fontId="4"/>
  </si>
  <si>
    <t>objWshShell.SpecialFolders("Desktop")</t>
    <phoneticPr fontId="4"/>
  </si>
  <si>
    <t>objWshShell.CreateShortcut( "c:\test\src.txt.lnk" ).TargetPath</t>
    <phoneticPr fontId="4"/>
  </si>
  <si>
    <t>シート存在確認</t>
  </si>
  <si>
    <t>セル検索</t>
    <phoneticPr fontId="4"/>
  </si>
  <si>
    <t>検索実行</t>
    <rPh sb="0" eb="2">
      <t>ケンサク</t>
    </rPh>
    <rPh sb="2" eb="4">
      <t>ジッコウ</t>
    </rPh>
    <phoneticPr fontId="4"/>
  </si>
  <si>
    <t>サンプルコード</t>
    <phoneticPr fontId="4"/>
  </si>
  <si>
    <t>oRegExp.IgnoreCase = True</t>
    <phoneticPr fontId="4"/>
  </si>
  <si>
    <t>oRegExp.Global = True</t>
    <phoneticPr fontId="4"/>
  </si>
  <si>
    <t>oMatchResult.Count</t>
  </si>
  <si>
    <t>検索結果 サブマッチ数取得</t>
    <rPh sb="0" eb="2">
      <t>ケンサク</t>
    </rPh>
    <rPh sb="2" eb="4">
      <t>ケッカ</t>
    </rPh>
    <rPh sb="10" eb="11">
      <t>スウ</t>
    </rPh>
    <rPh sb="11" eb="13">
      <t>シュトク</t>
    </rPh>
    <phoneticPr fontId="4"/>
  </si>
  <si>
    <t>置換実行</t>
    <rPh sb="0" eb="2">
      <t>チカン</t>
    </rPh>
    <rPh sb="2" eb="4">
      <t>ジッコウ</t>
    </rPh>
    <phoneticPr fontId="4"/>
  </si>
  <si>
    <t>検索設定 検索パターン</t>
    <rPh sb="0" eb="2">
      <t>ケンサク</t>
    </rPh>
    <rPh sb="2" eb="4">
      <t>セッテイ</t>
    </rPh>
    <rPh sb="5" eb="7">
      <t>ケンサク</t>
    </rPh>
    <phoneticPr fontId="4"/>
  </si>
  <si>
    <t>検索設定 大小文字区別</t>
    <rPh sb="5" eb="6">
      <t>ダイ</t>
    </rPh>
    <rPh sb="6" eb="9">
      <t>コモジ</t>
    </rPh>
    <rPh sb="9" eb="11">
      <t>クベツ</t>
    </rPh>
    <phoneticPr fontId="4"/>
  </si>
  <si>
    <t>検索設定 文字列全体検索</t>
    <rPh sb="5" eb="8">
      <t>モジレツ</t>
    </rPh>
    <rPh sb="8" eb="10">
      <t>ゼンタイ</t>
    </rPh>
    <rPh sb="10" eb="12">
      <t>ケンサク</t>
    </rPh>
    <phoneticPr fontId="4"/>
  </si>
  <si>
    <t>検索設定 検索対象</t>
    <rPh sb="0" eb="2">
      <t>ケンサク</t>
    </rPh>
    <rPh sb="2" eb="4">
      <t>セッテイ</t>
    </rPh>
    <rPh sb="5" eb="7">
      <t>ケンサク</t>
    </rPh>
    <rPh sb="7" eb="9">
      <t>タイショウ</t>
    </rPh>
    <phoneticPr fontId="4"/>
  </si>
  <si>
    <t>3</t>
    <phoneticPr fontId="4"/>
  </si>
  <si>
    <t>oMatchResult(0).SubMatches.Count</t>
  </si>
  <si>
    <t>oMatchResult(2)</t>
  </si>
  <si>
    <t>oMatchResult(1).SubMatches(1)</t>
  </si>
  <si>
    <t>3（0オリジン）</t>
    <phoneticPr fontId="4"/>
  </si>
  <si>
    <t>TestFunc03(int bbb)（0オリジン）</t>
    <phoneticPr fontId="4"/>
  </si>
  <si>
    <t>char（0オリジン）</t>
    <phoneticPr fontId="4"/>
  </si>
  <si>
    <t>True:区別しない False:区別する</t>
    <rPh sb="5" eb="7">
      <t>クベツ</t>
    </rPh>
    <rPh sb="17" eb="19">
      <t>クベツ</t>
    </rPh>
    <phoneticPr fontId="4"/>
  </si>
  <si>
    <t>正規表現検索</t>
    <rPh sb="4" eb="6">
      <t>ケンサク</t>
    </rPh>
    <phoneticPr fontId="4"/>
  </si>
  <si>
    <t>テキスト入力(InputBox)時のキャンセル判定</t>
    <rPh sb="16" eb="17">
      <t>ジ</t>
    </rPh>
    <rPh sb="23" eb="25">
      <t>ハンテイ</t>
    </rPh>
    <phoneticPr fontId="4"/>
  </si>
  <si>
    <t>型名:int 型名:char 型名:int</t>
    <phoneticPr fontId="4"/>
  </si>
  <si>
    <t>置換結果 結果取得</t>
    <rPh sb="0" eb="2">
      <t>チカン</t>
    </rPh>
    <rPh sb="2" eb="4">
      <t>ケッカ</t>
    </rPh>
    <rPh sb="5" eb="7">
      <t>ケッカ</t>
    </rPh>
    <rPh sb="7" eb="9">
      <t>シュトク</t>
    </rPh>
    <phoneticPr fontId="4"/>
  </si>
  <si>
    <t xml:space="preserve"> </t>
    <phoneticPr fontId="4"/>
  </si>
  <si>
    <t>oRegExp.IgnoreCase = True</t>
    <phoneticPr fontId="4"/>
  </si>
  <si>
    <t>oRegExp.Global = True</t>
    <phoneticPr fontId="4"/>
  </si>
  <si>
    <t>oMatchResult.Count</t>
    <phoneticPr fontId="4"/>
  </si>
  <si>
    <t>oMatchResult(0).SubMatches.Count</t>
    <phoneticPr fontId="4"/>
  </si>
  <si>
    <t>oMatchResult(2)</t>
    <phoneticPr fontId="4"/>
  </si>
  <si>
    <t>oMatchResult(1).SubMatches(1)</t>
    <phoneticPr fontId="4"/>
  </si>
  <si>
    <t>Application.Intersect(ActiveCell, ActiveSheet.UsedRange)</t>
    <phoneticPr fontId="4"/>
  </si>
  <si>
    <t>範囲チェック</t>
    <rPh sb="0" eb="2">
      <t>ハンイ</t>
    </rPh>
    <phoneticPr fontId="4"/>
  </si>
  <si>
    <t>True:アクティブセルがUsedRangeに含まれる False:含まれない</t>
    <rPh sb="23" eb="24">
      <t>フク</t>
    </rPh>
    <rPh sb="34" eb="35">
      <t>フク</t>
    </rPh>
    <phoneticPr fontId="4"/>
  </si>
  <si>
    <t>範囲の共通部分取り出し</t>
    <rPh sb="0" eb="2">
      <t>ハンイ</t>
    </rPh>
    <rPh sb="3" eb="5">
      <t>キョウツウ</t>
    </rPh>
    <rPh sb="5" eb="7">
      <t>ブブン</t>
    </rPh>
    <rPh sb="7" eb="8">
      <t>ト</t>
    </rPh>
    <rPh sb="9" eb="10">
      <t>ダ</t>
    </rPh>
    <phoneticPr fontId="4"/>
  </si>
  <si>
    <t>Set rTrgtRng = Application.Intersect(Selection, ActiveSheet.UsedRange)</t>
    <phoneticPr fontId="4"/>
  </si>
  <si>
    <t xml:space="preserve"> </t>
    <phoneticPr fontId="4"/>
  </si>
  <si>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</si>
  <si>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</si>
  <si>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</si>
  <si>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</si>
  <si>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</si>
  <si>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</si>
  <si>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</si>
  <si>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</si>
  <si>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</si>
  <si>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</si>
  <si>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</si>
  <si>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</si>
  <si>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</si>
  <si>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</si>
  <si>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</si>
  <si>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</si>
  <si>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</si>
  <si>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</si>
  <si>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</si>
  <si>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</si>
  <si>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</si>
  <si>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</si>
  <si>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</si>
  <si>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</si>
  <si>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</si>
  <si>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</si>
  <si>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</si>
  <si>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</si>
  <si>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</si>
  <si>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</si>
  <si>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</si>
  <si>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</si>
  <si>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</si>
  <si>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</si>
  <si>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</si>
  <si>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</si>
  <si>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</si>
  <si>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</si>
  <si>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</si>
  <si>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</si>
  <si>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</si>
  <si>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</si>
  <si>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</si>
  <si>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</si>
  <si>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</si>
  <si>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</si>
  <si>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</si>
  <si>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</si>
  <si>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</si>
  <si>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</si>
  <si>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</si>
  <si>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</si>
  <si>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</si>
  <si>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</si>
  <si>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</si>
  <si>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</si>
  <si>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</si>
  <si>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</si>
  <si>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</si>
  <si>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</si>
  <si>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</si>
  <si>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</si>
  <si>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</si>
  <si>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</si>
  <si>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</si>
  <si>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</si>
  <si>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</si>
  <si>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</si>
  <si>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</si>
  <si>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4"/>
  </si>
  <si>
    <t>dir \*.c \*.h /b /s /a:a-d</t>
    <phoneticPr fontId="4"/>
  </si>
  <si>
    <t>・隠しファイル/システムファイルを含む 
・「\*.cc」のような「\*.c」を文字列として含まれる拡張子は省かれる。</t>
    <phoneticPr fontId="4"/>
  </si>
  <si>
    <t>・隠しファイル/システムファイルを含む</t>
    <phoneticPr fontId="4"/>
  </si>
  <si>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4"/>
  </si>
  <si>
    <t>変更後のファイル名を指定する！パス指定不可！</t>
    <phoneticPr fontId="4"/>
  </si>
  <si>
    <t>&lt;&lt;オプション&gt;&gt;
  /s：ファイルやサブディレクトリも含めて削除する
  /q：/sで削除する際に確認メッセージを表示しない</t>
    <phoneticPr fontId="4"/>
  </si>
  <si>
    <t>→"c:\test\dst\src" が作成される。</t>
    <phoneticPr fontId="4"/>
  </si>
  <si>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4"/>
  </si>
  <si>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4"/>
  </si>
  <si>
    <t>・隠しファイルやシステムファイルは表示不可</t>
    <rPh sb="19" eb="21">
      <t>フカ</t>
    </rPh>
    <phoneticPr fontId="4"/>
  </si>
  <si>
    <t>基本構文</t>
    <rPh sb="0" eb="2">
      <t>キホン</t>
    </rPh>
    <rPh sb="2" eb="4">
      <t>コウブン</t>
    </rPh>
    <phoneticPr fontId="4"/>
  </si>
  <si>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</si>
  <si>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</si>
  <si>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</si>
  <si>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</si>
  <si>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</si>
  <si>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</si>
  <si>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</si>
  <si>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</si>
  <si>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</si>
  <si>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</si>
  <si>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</si>
  <si>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</si>
  <si>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</si>
  <si>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</si>
  <si>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</si>
  <si>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</si>
  <si>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</si>
  <si>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</si>
  <si>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</si>
  <si>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</si>
  <si>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</si>
  <si>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</si>
  <si>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</si>
  <si>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</si>
  <si>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</si>
  <si>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</si>
  <si>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</si>
  <si>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</si>
  <si>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</si>
  <si>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</si>
  <si>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</si>
  <si>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</si>
  <si>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</si>
  <si>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</si>
  <si>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</si>
  <si>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</si>
  <si>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</si>
  <si>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</si>
  <si>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</si>
  <si>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</si>
  <si>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</si>
  <si>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</si>
  <si>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</si>
  <si>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</si>
  <si>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</si>
  <si>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</si>
  <si>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</si>
  <si>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</si>
  <si>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</si>
  <si>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</si>
  <si>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4"/>
  </si>
  <si>
    <t>変数VARの値全体</t>
    <phoneticPr fontId="4"/>
  </si>
  <si>
    <t>それぞれ複数の文字を指定することも可能</t>
    <phoneticPr fontId="4"/>
  </si>
  <si>
    <t>文字c1を文字c2に置換</t>
    <phoneticPr fontId="4"/>
  </si>
  <si>
    <t>ファイル情報取得</t>
    <rPh sb="4" eb="6">
      <t>ジョウホウ</t>
    </rPh>
    <rPh sb="6" eb="8">
      <t>シュトク</t>
    </rPh>
    <phoneticPr fontId="4"/>
  </si>
  <si>
    <t>フォルダ名</t>
    <phoneticPr fontId="4"/>
  </si>
  <si>
    <t>FOR %%アルファベット１文字 IN (ループ処理の対象) DO コマンド</t>
    <phoneticPr fontId="4"/>
  </si>
  <si>
    <t>for(フォルダ内対象)</t>
    <phoneticPr fontId="4"/>
  </si>
  <si>
    <t>for(フォルダ内のフォルダのみ)</t>
    <phoneticPr fontId="4"/>
  </si>
  <si>
    <t>FOR /D (ファイルパス) %%アルファベット１文字 IN (ループ処理の対象) DO コマンド</t>
    <phoneticPr fontId="4"/>
  </si>
  <si>
    <t>for(フォルダ配下の中身全部)</t>
    <phoneticPr fontId="4"/>
  </si>
  <si>
    <t>FOR /R (ファイルパス) %%アルファベット１文字 IN (ループ処理の対象) DO コマンド</t>
  </si>
  <si>
    <t>for(変数に値を代入してコマンドを実行)</t>
    <phoneticPr fontId="4"/>
  </si>
  <si>
    <t>FOR /L %%アルファベット１文字 IN (開始値、増分、終了値) DO コマンド</t>
    <phoneticPr fontId="4"/>
  </si>
  <si>
    <t>ex. FOR /L %%I IN (1,2,10) DO ECHO %%I</t>
    <phoneticPr fontId="4"/>
  </si>
  <si>
    <t>for(その他)</t>
    <phoneticPr fontId="4"/>
  </si>
  <si>
    <t>FOR /F "トークンオプション" %%アルファベット１文字 IN (ループ処理の対象) DO コマンド</t>
    <phoneticPr fontId="4"/>
  </si>
  <si>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4"/>
  </si>
  <si>
    <t>for</t>
    <phoneticPr fontId="4"/>
  </si>
  <si>
    <t>FOR (オプション) %%アルファベット１文字 IN (ループ処理の対象) DO コマンド</t>
    <phoneticPr fontId="4"/>
  </si>
  <si>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4"/>
  </si>
  <si>
    <t>注意：SET 文の間にスペースは入れない！</t>
    <rPh sb="0" eb="2">
      <t>チュウイ</t>
    </rPh>
    <phoneticPr fontId="4"/>
  </si>
  <si>
    <t>注意：if 文の中にコメントは入れない！</t>
    <phoneticPr fontId="4"/>
  </si>
  <si>
    <t>カレントディレクトリ取得</t>
    <rPh sb="10" eb="12">
      <t>シュトク</t>
    </rPh>
    <phoneticPr fontId="4"/>
  </si>
  <si>
    <t>%CD%</t>
    <phoneticPr fontId="4"/>
  </si>
  <si>
    <t>%~dp0</t>
    <phoneticPr fontId="4"/>
  </si>
  <si>
    <t>c:\AAA（カレントディレクトリ＝.batを指す.lnkの作業フォルダ(なければ.lnkの格納フォルダ)）</t>
    <rPh sb="23" eb="24">
      <t>サ</t>
    </rPh>
    <rPh sb="30" eb="32">
      <t>サギョウ</t>
    </rPh>
    <rPh sb="46" eb="48">
      <t>カクノウ</t>
    </rPh>
    <phoneticPr fontId="4"/>
  </si>
  <si>
    <t>c:\AAA\（カレントディレクトリ＝.batの格納フォルダ）</t>
    <rPh sb="24" eb="26">
      <t>カクノウ</t>
    </rPh>
    <phoneticPr fontId="4"/>
  </si>
  <si>
    <t>Application.StatusBar = "メッセージ"</t>
    <phoneticPr fontId="4"/>
  </si>
  <si>
    <t>ステータスバー非表示</t>
    <rPh sb="7" eb="10">
      <t>ヒヒョウジ</t>
    </rPh>
    <phoneticPr fontId="4"/>
  </si>
  <si>
    <t>ステータスバー表示</t>
    <rPh sb="7" eb="9">
      <t>ヒョウジ</t>
    </rPh>
    <phoneticPr fontId="4"/>
  </si>
  <si>
    <t>Application.StatusBar = False</t>
    <phoneticPr fontId="4"/>
  </si>
  <si>
    <t>adoStrm.Close</t>
    <phoneticPr fontId="4"/>
  </si>
  <si>
    <t>0:文字列書込(デフォルト) 1:文字列＆改行書込</t>
    <phoneticPr fontId="4"/>
  </si>
  <si>
    <t xml:space="preserve"> </t>
    <phoneticPr fontId="4"/>
  </si>
  <si>
    <t>-1:全行読込(デフォルト) -2:１行読込</t>
    <phoneticPr fontId="4"/>
  </si>
  <si>
    <t>adoStrm.WriteText "Hello World!", 1</t>
    <phoneticPr fontId="4"/>
  </si>
  <si>
    <t>adoStrm.SaveToFile sTrgtFilePath, 2</t>
    <phoneticPr fontId="4"/>
  </si>
  <si>
    <t>adoStrm.Type = 2</t>
    <phoneticPr fontId="4"/>
  </si>
  <si>
    <t>1:バイナリ 2:テキスト(デフォルト)</t>
    <phoneticPr fontId="4"/>
  </si>
  <si>
    <t>adoStrm.Charset = "Shift_JIS"</t>
    <phoneticPr fontId="4"/>
  </si>
  <si>
    <t>(UTF-8|UTF-16|Shift_JIS|EUC-JP|ISO-2022-JP|...)</t>
  </si>
  <si>
    <t>adoStrm.LineSeparator = 10</t>
    <phoneticPr fontId="4"/>
  </si>
  <si>
    <t>13:CR 10:LF -1:CRLF(デフォルト)</t>
    <phoneticPr fontId="4"/>
  </si>
  <si>
    <t>adoStrm.Open</t>
    <phoneticPr fontId="4"/>
  </si>
  <si>
    <t>第二引数=ファイル存在時の振舞い 1:エラー(デフォルト) 2:強制上書</t>
    <rPh sb="0" eb="2">
      <t>ダイニ</t>
    </rPh>
    <rPh sb="2" eb="4">
      <t>ヒキスウ</t>
    </rPh>
    <rPh sb="13" eb="15">
      <t>フルマ</t>
    </rPh>
    <rPh sb="32" eb="34">
      <t>キョウセイ</t>
    </rPh>
    <rPh sb="34" eb="36">
      <t>ウワガ</t>
    </rPh>
    <phoneticPr fontId="4"/>
  </si>
  <si>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</si>
  <si>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</si>
  <si>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</si>
  <si>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</si>
  <si>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</si>
  <si>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4"/>
  </si>
  <si>
    <t>ＴＸＴ(詳細版) ファイル種別指定</t>
    <rPh sb="13" eb="15">
      <t>シュベツ</t>
    </rPh>
    <rPh sb="15" eb="17">
      <t>シテイ</t>
    </rPh>
    <phoneticPr fontId="4"/>
  </si>
  <si>
    <t>ＴＸＴ(詳細版) 文字コード指定</t>
    <rPh sb="9" eb="11">
      <t>モジ</t>
    </rPh>
    <rPh sb="14" eb="16">
      <t>シテイ</t>
    </rPh>
    <phoneticPr fontId="4"/>
  </si>
  <si>
    <t>ＴＸＴ(詳細版) 改行コード指定</t>
    <rPh sb="9" eb="11">
      <t>カイギョウ</t>
    </rPh>
    <rPh sb="14" eb="16">
      <t>シテイ</t>
    </rPh>
    <phoneticPr fontId="4"/>
  </si>
  <si>
    <t>ＴＸＴ(詳細版) オープン(読込時用)</t>
    <rPh sb="14" eb="15">
      <t>ヨ</t>
    </rPh>
    <rPh sb="15" eb="16">
      <t>コ</t>
    </rPh>
    <rPh sb="16" eb="17">
      <t>ジ</t>
    </rPh>
    <rPh sb="17" eb="18">
      <t>ヨウ</t>
    </rPh>
    <phoneticPr fontId="4"/>
  </si>
  <si>
    <t>ＴＸＴ(詳細版) オープン(書込時用)</t>
    <rPh sb="14" eb="15">
      <t>カ</t>
    </rPh>
    <rPh sb="15" eb="16">
      <t>コ</t>
    </rPh>
    <phoneticPr fontId="4"/>
  </si>
  <si>
    <t>ＴＸＴ(詳細版) 読込（一行ずつ）</t>
  </si>
  <si>
    <t>ＴＸＴ(詳細版) 読込（一括）</t>
  </si>
  <si>
    <t>ＴＸＴ(詳細版) 書込</t>
  </si>
  <si>
    <t>ＴＸＴ(詳細版) 保存(書込時用)</t>
    <rPh sb="9" eb="11">
      <t>ホゾン</t>
    </rPh>
    <phoneticPr fontId="4"/>
  </si>
  <si>
    <t>ＴＸＴ(詳細版) クローズ</t>
  </si>
  <si>
    <t>ＸＬＳ オープン/クローズ</t>
    <phoneticPr fontId="4"/>
  </si>
  <si>
    <t>2013年01月02日</t>
    <rPh sb="4" eb="5">
      <t>ネン</t>
    </rPh>
    <rPh sb="7" eb="8">
      <t>ガツ</t>
    </rPh>
    <rPh sb="10" eb="11">
      <t>ニチ</t>
    </rPh>
    <phoneticPr fontId="4"/>
  </si>
  <si>
    <t>FormatDateTime(Now, 1)</t>
    <phoneticPr fontId="4"/>
  </si>
  <si>
    <t>文字列表示形式(数値)</t>
    <rPh sb="0" eb="3">
      <t>モジレツ</t>
    </rPh>
    <rPh sb="3" eb="5">
      <t>ヒョウジ</t>
    </rPh>
    <rPh sb="5" eb="7">
      <t>ケイシキ</t>
    </rPh>
    <rPh sb="8" eb="10">
      <t>スウチ</t>
    </rPh>
    <phoneticPr fontId="4"/>
  </si>
  <si>
    <t>文字列表示形式(日付)</t>
    <rPh sb="0" eb="3">
      <t>モジレツ</t>
    </rPh>
    <rPh sb="3" eb="5">
      <t>ヒョウジ</t>
    </rPh>
    <rPh sb="5" eb="7">
      <t>ケイシキ</t>
    </rPh>
    <rPh sb="8" eb="10">
      <t>ヒヅケ</t>
    </rPh>
    <phoneticPr fontId="4"/>
  </si>
  <si>
    <t>文字列表示形式(通貨)</t>
    <rPh sb="0" eb="3">
      <t>モジレツ</t>
    </rPh>
    <rPh sb="3" eb="5">
      <t>ヒョウジ</t>
    </rPh>
    <rPh sb="5" eb="7">
      <t>ケイシキ</t>
    </rPh>
    <rPh sb="8" eb="10">
      <t>ツウカ</t>
    </rPh>
    <phoneticPr fontId="4"/>
  </si>
  <si>
    <t>文字列表示形式(割合)</t>
    <rPh sb="0" eb="3">
      <t>モジレツ</t>
    </rPh>
    <rPh sb="3" eb="5">
      <t>ヒョウジ</t>
    </rPh>
    <rPh sb="5" eb="7">
      <t>ケイシキ</t>
    </rPh>
    <rPh sb="8" eb="10">
      <t>ワリアイ</t>
    </rPh>
    <phoneticPr fontId="4"/>
  </si>
  <si>
    <t>Format("2013/1/2 3:4:56", "yyyy年mm月dd日")</t>
    <rPh sb="31" eb="32">
      <t>ネン</t>
    </rPh>
    <rPh sb="34" eb="35">
      <t>ガツ</t>
    </rPh>
    <rPh sb="37" eb="38">
      <t>ニチ</t>
    </rPh>
    <phoneticPr fontId="4"/>
  </si>
  <si>
    <t>FormatNumber(1000, 0, 0, 0, -1)</t>
    <phoneticPr fontId="4"/>
  </si>
  <si>
    <t>1,000</t>
    <phoneticPr fontId="4"/>
  </si>
  <si>
    <t>Format(1000,"0,000")</t>
    <phoneticPr fontId="4"/>
  </si>
  <si>
    <t>Format(0.1,"0.0%")</t>
    <phoneticPr fontId="4"/>
  </si>
  <si>
    <t>10.0%</t>
    <phoneticPr fontId="4"/>
  </si>
  <si>
    <t>FormatPercent(0.1, 1, -1)</t>
    <phoneticPr fontId="4"/>
  </si>
  <si>
    <t>Format(★)</t>
    <phoneticPr fontId="4"/>
  </si>
  <si>
    <t>FormatCurrency(★)</t>
    <phoneticPr fontId="4"/>
  </si>
  <si>
    <t>先頭行取得</t>
    <rPh sb="0" eb="2">
      <t>セントウ</t>
    </rPh>
    <phoneticPr fontId="4"/>
  </si>
  <si>
    <t>先頭列取得</t>
    <rPh sb="0" eb="2">
      <t>セントウ</t>
    </rPh>
    <phoneticPr fontId="4"/>
  </si>
  <si>
    <t>ex. FOR %%I IN (*.bat) DO TYPE %%I</t>
    <phoneticPr fontId="4"/>
  </si>
  <si>
    <t>ex. FOR /D C:\ %%I IN (*.txt) DO TYPE %%I</t>
    <phoneticPr fontId="4"/>
  </si>
  <si>
    <t>ex. FOR /R C:\ %%I IN (*.txt) DO TYPE %%I</t>
    <phoneticPr fontId="4"/>
  </si>
  <si>
    <t>オブジェクト位置取得</t>
    <rPh sb="6" eb="8">
      <t>イチ</t>
    </rPh>
    <rPh sb="8" eb="10">
      <t>シュトク</t>
    </rPh>
    <phoneticPr fontId="4"/>
  </si>
  <si>
    <t xml:space="preserve"> </t>
    <phoneticPr fontId="4"/>
  </si>
  <si>
    <t>mklink /d "c:\src\test" "d:\program files\dst\test"</t>
    <phoneticPr fontId="4"/>
  </si>
  <si>
    <t>powershell "$s=(New-Object -COM WScript.Shell).CreateShortcut('c:\src\test.lnk');$s.TargetPath='d:\program files\dst\test';$s.Save()"</t>
    <phoneticPr fontId="4"/>
  </si>
  <si>
    <t>シンボリックリンク作成（フォルダ）</t>
    <phoneticPr fontId="4"/>
  </si>
  <si>
    <t>ショートカットファイル作成（フォルダ/ファイル）</t>
    <phoneticPr fontId="4"/>
  </si>
  <si>
    <t>dosコマンドでは作成できないため、PowerShellを使用する</t>
    <rPh sb="9" eb="11">
      <t>サクセイ</t>
    </rPh>
    <rPh sb="29" eb="31">
      <t>シヨウ</t>
    </rPh>
    <phoneticPr fontId="4"/>
  </si>
  <si>
    <t>スクリプト引数の数 取得</t>
  </si>
  <si>
    <t>スクリプト引数 取得</t>
    <rPh sb="5" eb="7">
      <t>ヒキスウ</t>
    </rPh>
    <rPh sb="8" eb="10">
      <t>シュトク</t>
    </rPh>
    <phoneticPr fontId="4"/>
  </si>
  <si>
    <t>0:第一引数,1:第二引数,…</t>
    <rPh sb="2" eb="4">
      <t>ダイイチ</t>
    </rPh>
    <rPh sb="4" eb="6">
      <t>ヒキスウ</t>
    </rPh>
    <rPh sb="9" eb="11">
      <t>ダイニ</t>
    </rPh>
    <rPh sb="11" eb="13">
      <t>ヒキスウ</t>
    </rPh>
    <phoneticPr fontId="4"/>
  </si>
  <si>
    <t>WScript.Arguments(0)</t>
  </si>
  <si>
    <t>WScript.Arguments.Count</t>
  </si>
  <si>
    <t>ファイル ファイル名/フォルダ名取得</t>
    <rPh sb="15" eb="16">
      <t>メイ</t>
    </rPh>
    <phoneticPr fontId="4"/>
  </si>
  <si>
    <t>a.txt</t>
    <phoneticPr fontId="4"/>
  </si>
  <si>
    <t>検索結果 マッチ位置取得</t>
    <rPh sb="0" eb="2">
      <t>ケンサク</t>
    </rPh>
    <rPh sb="2" eb="4">
      <t>ケッカ</t>
    </rPh>
    <rPh sb="8" eb="10">
      <t>イチ</t>
    </rPh>
    <rPh sb="10" eb="12">
      <t>シュトク</t>
    </rPh>
    <phoneticPr fontId="4"/>
  </si>
  <si>
    <t>oMatchResult(2).FirstIndex</t>
  </si>
  <si>
    <t>oMatchResult(2).FirstIndex</t>
    <phoneticPr fontId="4"/>
  </si>
  <si>
    <t>検索結果 マッチ長取得</t>
    <rPh sb="0" eb="2">
      <t>ケンサク</t>
    </rPh>
    <rPh sb="2" eb="4">
      <t>ケッカ</t>
    </rPh>
    <rPh sb="8" eb="9">
      <t>チョウ</t>
    </rPh>
    <rPh sb="9" eb="11">
      <t>シュトク</t>
    </rPh>
    <phoneticPr fontId="4"/>
  </si>
  <si>
    <t>oMatchResult(2).Length</t>
  </si>
  <si>
    <t>oMatchResult(2).Length</t>
    <phoneticPr fontId="4"/>
  </si>
  <si>
    <t>39（0オリジン）</t>
    <phoneticPr fontId="4"/>
  </si>
  <si>
    <t>19（1オリジン）</t>
    <phoneticPr fontId="4"/>
  </si>
  <si>
    <t>検索結果 マッチ数取得</t>
    <rPh sb="0" eb="2">
      <t>ケンサク</t>
    </rPh>
    <rPh sb="2" eb="4">
      <t>ケッカ</t>
    </rPh>
    <rPh sb="8" eb="9">
      <t>スウ</t>
    </rPh>
    <rPh sb="9" eb="11">
      <t>シュトク</t>
    </rPh>
    <phoneticPr fontId="4"/>
  </si>
  <si>
    <t>検索結果 サブマッチ文字列取得</t>
    <rPh sb="0" eb="2">
      <t>ケンサク</t>
    </rPh>
    <rPh sb="2" eb="4">
      <t>ケッカ</t>
    </rPh>
    <rPh sb="10" eb="13">
      <t>モジレツ</t>
    </rPh>
    <rPh sb="13" eb="15">
      <t>シュトク</t>
    </rPh>
    <phoneticPr fontId="4"/>
  </si>
  <si>
    <t>検索結果 マッチ文字列取得</t>
    <rPh sb="0" eb="2">
      <t>ケンサク</t>
    </rPh>
    <rPh sb="2" eb="4">
      <t>ケッカ</t>
    </rPh>
    <rPh sb="8" eb="11">
      <t>モジレツ</t>
    </rPh>
    <rPh sb="11" eb="13">
      <t>シュトク</t>
    </rPh>
    <phoneticPr fontId="4"/>
  </si>
  <si>
    <t>セルコメント 編集</t>
    <rPh sb="7" eb="9">
      <t>ヘンシュウ</t>
    </rPh>
    <phoneticPr fontId="4"/>
  </si>
  <si>
    <t>セルコメント 書式設定</t>
    <rPh sb="7" eb="9">
      <t>ショシキ</t>
    </rPh>
    <rPh sb="9" eb="11">
      <t>セッテイ</t>
    </rPh>
    <phoneticPr fontId="4"/>
  </si>
  <si>
    <t>セルコメント 有無判定</t>
    <rPh sb="7" eb="9">
      <t>ウム</t>
    </rPh>
    <rPh sb="9" eb="11">
      <t>ハンテイ</t>
    </rPh>
    <phoneticPr fontId="4"/>
  </si>
  <si>
    <t>.Cells(lRowIdx, lClmIdx).Comment Is Nothing</t>
    <phoneticPr fontId="4"/>
  </si>
  <si>
    <t>.Cells(lRowIdx, lClmIdx).Comment.Shape.Placement = xlMoveAndSize</t>
    <phoneticPr fontId="4"/>
  </si>
  <si>
    <t>.Cells(lRowIdx, lClmIdx).Comment.Text = "コメント"</t>
    <phoneticPr fontId="4"/>
  </si>
  <si>
    <t>セルコメント 追加</t>
    <rPh sb="7" eb="9">
      <t>ツイカ</t>
    </rPh>
    <phoneticPr fontId="4"/>
  </si>
  <si>
    <t>.Cells(lRowIdx, lClmIdx).AddComment "これはコメントです"</t>
    <phoneticPr fontId="4"/>
  </si>
  <si>
    <t>value = func(1, 2)</t>
  </si>
  <si>
    <t>break</t>
  </si>
  <si>
    <t>インタプリタパス指定</t>
  </si>
  <si>
    <t>continue</t>
  </si>
  <si>
    <t>#</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</si>
  <si>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</si>
  <si>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</si>
  <si>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</si>
  <si>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</si>
  <si>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</si>
  <si>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</si>
  <si>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</si>
  <si>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</si>
  <si>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</si>
  <si>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</si>
  <si>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</si>
  <si>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</si>
  <si>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</si>
  <si>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</si>
  <si>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</si>
  <si>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</si>
  <si>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</si>
  <si>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</si>
  <si>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4"/>
  </si>
  <si>
    <t>10 * 10</t>
    <phoneticPr fontId="4"/>
  </si>
  <si>
    <t>10 - 10</t>
    <phoneticPr fontId="4"/>
  </si>
  <si>
    <t>10 / 10</t>
    <phoneticPr fontId="4"/>
  </si>
  <si>
    <t>test_num += 1</t>
    <phoneticPr fontId="4"/>
  </si>
  <si>
    <t>test_num -= 1</t>
    <phoneticPr fontId="4"/>
  </si>
  <si>
    <t>「r」によりパス区切りの \ のエスケープが不要となる</t>
  </si>
  <si>
    <t>test_1 と test_2 の間に改行が入る</t>
    <phoneticPr fontId="4"/>
  </si>
  <si>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</si>
  <si>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</si>
  <si>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</si>
  <si>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</si>
  <si>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</si>
  <si>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</si>
  <si>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</si>
  <si>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</si>
  <si>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</si>
  <si>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</si>
  <si>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</si>
  <si>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</si>
  <si>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</si>
  <si>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</si>
  <si>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</si>
  <si>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</si>
  <si>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</si>
  <si>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</si>
  <si>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</si>
  <si>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list.remove('2')</t>
  </si>
  <si>
    <t>list = ['1', '3', '2', '1']（先頭の '2' のみ削除）</t>
  </si>
  <si>
    <t>list.pop(1)</t>
  </si>
  <si>
    <t>list = ['1', '3', '2', '1']</t>
  </si>
  <si>
    <t>list.index('2')</t>
  </si>
  <si>
    <t>list.count('2')</t>
  </si>
  <si>
    <t>2</t>
  </si>
  <si>
    <t>len( list )</t>
  </si>
  <si>
    <t>5</t>
  </si>
  <si>
    <t>list.append('-')</t>
  </si>
  <si>
    <t>list = ['1','2','3','2','1','-']</t>
  </si>
  <si>
    <t>list.insert(1,'-')</t>
  </si>
  <si>
    <t>list = ['1','-','2','3','2','1']</t>
  </si>
  <si>
    <t>fileobj = open( "hoge.txt", 'r' )</t>
    <phoneticPr fontId="4"/>
  </si>
  <si>
    <t>'r':読込、'w':書込、'a':追記</t>
  </si>
  <si>
    <t>リストとして取得（改行文字は削除されない！）</t>
    <phoneticPr fontId="4"/>
  </si>
  <si>
    <t>allLines = fileobj.read()</t>
    <phoneticPr fontId="4"/>
  </si>
  <si>
    <t>改行区切りの文字列として取得</t>
    <phoneticPr fontId="4"/>
  </si>
  <si>
    <t>1[ms] スリープ</t>
  </si>
  <si>
    <t># -*- coding: cp932 -*-</t>
    <phoneticPr fontId="4"/>
  </si>
  <si>
    <t>for value in for_sample:</t>
    <phoneticPr fontId="4"/>
  </si>
  <si>
    <t>vba の for each と同じ</t>
    <phoneticPr fontId="4"/>
  </si>
  <si>
    <t>for i in range( len( list ) ):</t>
    <phoneticPr fontId="4"/>
  </si>
  <si>
    <t>list 要素数分繰り返し</t>
    <phoneticPr fontId="4"/>
  </si>
  <si>
    <t>if value_1 == "python" and value_2 == "izm":</t>
  </si>
  <si>
    <t>if value_1 == "python" or value_2 == "izm":</t>
  </si>
  <si>
    <t>if not value_1 == "python":</t>
  </si>
  <si>
    <t>while 条件式 :</t>
    <phoneticPr fontId="4"/>
  </si>
  <si>
    <t>変数定義</t>
    <phoneticPr fontId="4"/>
  </si>
  <si>
    <t>繰返し continue</t>
    <phoneticPr fontId="4"/>
  </si>
  <si>
    <t>処理継続チェック(アサート)</t>
    <phoneticPr fontId="4"/>
  </si>
  <si>
    <t>文字列 置換</t>
    <rPh sb="0" eb="3">
      <t>モジレツ</t>
    </rPh>
    <phoneticPr fontId="4"/>
  </si>
  <si>
    <t>文字列 文字埋込</t>
    <phoneticPr fontId="4"/>
  </si>
  <si>
    <t>文字列 小文字化</t>
    <phoneticPr fontId="4"/>
  </si>
  <si>
    <t>文字列 大文字化</t>
    <phoneticPr fontId="4"/>
  </si>
  <si>
    <t>文字列⇒数値 変換</t>
    <phoneticPr fontId="4"/>
  </si>
  <si>
    <t>'\n' | '\r'</t>
    <phoneticPr fontId="4"/>
  </si>
  <si>
    <t>スリープ処理</t>
    <phoneticPr fontId="4"/>
  </si>
  <si>
    <t>-</t>
    <phoneticPr fontId="4"/>
  </si>
  <si>
    <t>ＴＸＴ 定義</t>
    <rPh sb="4" eb="6">
      <t>テイギ</t>
    </rPh>
    <phoneticPr fontId="4"/>
  </si>
  <si>
    <t>ＴＸＴ オープン</t>
  </si>
  <si>
    <t>ＴＸＴ クローズ</t>
  </si>
  <si>
    <t>ＴＸＴ 読込（一行ずつ）</t>
  </si>
  <si>
    <t>ＴＸＴ 読込（一括）</t>
  </si>
  <si>
    <t>ＴＸＴ 書込</t>
  </si>
  <si>
    <t>リスト参照</t>
    <rPh sb="3" eb="5">
      <t>サンショウ</t>
    </rPh>
    <phoneticPr fontId="4"/>
  </si>
  <si>
    <t>クラスで代用可能っぽい</t>
    <phoneticPr fontId="4"/>
  </si>
  <si>
    <t>エンコード宣言(文字コード)</t>
    <rPh sb="8" eb="10">
      <t>モジ</t>
    </rPh>
    <phoneticPr fontId="4"/>
  </si>
  <si>
    <t>(utf-8|Shift_JIS|EUC-JP|cp932) Python3では不要</t>
    <rPh sb="40" eb="42">
      <t>フヨウ</t>
    </rPh>
    <phoneticPr fontId="4"/>
  </si>
  <si>
    <t>print("python")</t>
    <phoneticPr fontId="4"/>
  </si>
  <si>
    <t>print(u"array[%d] = %s" % (2,"apple"))</t>
    <phoneticPr fontId="4"/>
  </si>
  <si>
    <t>array[2] = apple</t>
    <phoneticPr fontId="4"/>
  </si>
  <si>
    <t>from datetime import datetime</t>
    <phoneticPr fontId="4"/>
  </si>
  <si>
    <t>time.sleep( 0.001 )</t>
    <phoneticPr fontId="4"/>
  </si>
  <si>
    <t>import os</t>
  </si>
  <si>
    <t>フォルダ 作成（単層）</t>
    <rPh sb="8" eb="10">
      <t>タンソウ</t>
    </rPh>
    <phoneticPr fontId="4"/>
  </si>
  <si>
    <t>フォルダ 作成（複層）</t>
    <rPh sb="8" eb="10">
      <t>フクソウ</t>
    </rPh>
    <phoneticPr fontId="4"/>
  </si>
  <si>
    <t>os.mkdir( trgtpath )</t>
    <phoneticPr fontId="4"/>
  </si>
  <si>
    <t>__file__</t>
    <phoneticPr fontId="4"/>
  </si>
  <si>
    <t>実行スクリプト ファイル絶対パス</t>
    <phoneticPr fontId="4"/>
  </si>
  <si>
    <t>実行スクリプト ファイル名</t>
    <phoneticPr fontId="4"/>
  </si>
  <si>
    <t>os.path.abspath( __file__ )</t>
    <phoneticPr fontId="4"/>
  </si>
  <si>
    <t>os.path.basename( os.path.abspath( __file__ ) )</t>
    <phoneticPr fontId="4"/>
  </si>
  <si>
    <t>sys.argv[0]</t>
    <phoneticPr fontId="4"/>
  </si>
  <si>
    <t>サンプルスクリプト</t>
    <phoneticPr fontId="4"/>
  </si>
  <si>
    <t>フォルダ以外。サブフォルダ配下は無視</t>
    <phoneticPr fontId="4"/>
  </si>
  <si>
    <t>フォルダ内ファイルリスト取得</t>
    <phoneticPr fontId="4"/>
  </si>
  <si>
    <t>ファイル/ディレクトリ判別</t>
    <phoneticPr fontId="4"/>
  </si>
  <si>
    <t>フォルダ配下ファイル/フォルダリスト取得</t>
    <rPh sb="4" eb="6">
      <t>ハイカ</t>
    </rPh>
    <phoneticPr fontId="4"/>
  </si>
  <si>
    <t>シングルクオーテーションでも可(違いなし)</t>
    <rPh sb="14" eb="15">
      <t>カ</t>
    </rPh>
    <rPh sb="16" eb="17">
      <t>チガ</t>
    </rPh>
    <phoneticPr fontId="4"/>
  </si>
  <si>
    <t>文字列表現(複数行)</t>
    <rPh sb="3" eb="5">
      <t>ヒョウゲン</t>
    </rPh>
    <phoneticPr fontId="4"/>
  </si>
  <si>
    <t>文字列表現(単一行)</t>
    <rPh sb="3" eb="5">
      <t>ヒョウゲン</t>
    </rPh>
    <rPh sb="6" eb="8">
      <t>タンイツ</t>
    </rPh>
    <phoneticPr fontId="4"/>
  </si>
  <si>
    <t>文字列表現(エスケープ無視)</t>
    <phoneticPr fontId="4"/>
  </si>
  <si>
    <t>文字列 検索</t>
    <phoneticPr fontId="4"/>
  </si>
  <si>
    <t>文字列 位置検索（前方）</t>
    <rPh sb="4" eb="6">
      <t>イチ</t>
    </rPh>
    <phoneticPr fontId="4"/>
  </si>
  <si>
    <t>"python-izm"</t>
    <phoneticPr fontId="4"/>
  </si>
  <si>
    <t>r"C:\targetdir\sample.txt"</t>
    <phoneticPr fontId="4"/>
  </si>
  <si>
    <t>"python-izm".replace("izm","ism")</t>
    <phoneticPr fontId="4"/>
  </si>
  <si>
    <t>"bc" in "abcdabcd"</t>
    <phoneticPr fontId="4"/>
  </si>
  <si>
    <t>"abcdabcd".rfind("a")</t>
    <phoneticPr fontId="4"/>
  </si>
  <si>
    <t>"abcdabcd".find("a")</t>
    <phoneticPr fontId="4"/>
  </si>
  <si>
    <t>文字列 位置検索（後方）</t>
    <phoneticPr fontId="4"/>
  </si>
  <si>
    <t>"python-izm".split("-")</t>
    <phoneticPr fontId="4"/>
  </si>
  <si>
    <t>['python', 'izm']</t>
  </si>
  <si>
    <t>python-ism</t>
    <phoneticPr fontId="4"/>
  </si>
  <si>
    <t>"abcdabcd"[0]</t>
  </si>
  <si>
    <t>a</t>
    <phoneticPr fontId="4"/>
  </si>
  <si>
    <t>"abcdabcd"[:3]</t>
    <phoneticPr fontId="4"/>
  </si>
  <si>
    <t>"abcdabcd"[1:3]</t>
    <phoneticPr fontId="4"/>
  </si>
  <si>
    <t>"abcdabcd"[2:]</t>
    <phoneticPr fontId="4"/>
  </si>
  <si>
    <t>abc</t>
    <phoneticPr fontId="4"/>
  </si>
  <si>
    <t>bc</t>
    <phoneticPr fontId="4"/>
  </si>
  <si>
    <t>cdabcd</t>
  </si>
  <si>
    <t>LenByte("あaＢ")</t>
    <phoneticPr fontId="4"/>
  </si>
  <si>
    <t>len("あiう".encode('shift-jis'))</t>
  </si>
  <si>
    <t>len("あiう")</t>
    <phoneticPr fontId="4"/>
  </si>
  <si>
    <t>5</t>
    <phoneticPr fontId="4"/>
  </si>
  <si>
    <t>入力（数値入力のみ）</t>
    <phoneticPr fontId="4"/>
  </si>
  <si>
    <t>戻り値は文字列型。</t>
    <phoneticPr fontId="4"/>
  </si>
  <si>
    <t>戻り値は数値型。</t>
    <phoneticPr fontId="4"/>
  </si>
  <si>
    <t>intAnswer = input( "please input &gt;&gt;" )</t>
    <phoneticPr fontId="4"/>
  </si>
  <si>
    <t>strAnswer = raw_input( "please input &gt;&gt;" )</t>
    <phoneticPr fontId="4"/>
  </si>
  <si>
    <t>入力（数値/文字列入力）</t>
    <rPh sb="9" eb="11">
      <t>ニュウリョク</t>
    </rPh>
    <phoneticPr fontId="4"/>
  </si>
  <si>
    <t>sys.exit()</t>
    <phoneticPr fontId="4"/>
  </si>
  <si>
    <t>文字列 数値判定</t>
    <phoneticPr fontId="4"/>
  </si>
  <si>
    <t>文字列 抽出 右</t>
    <phoneticPr fontId="4"/>
  </si>
  <si>
    <t>文字列 抽出 中</t>
    <phoneticPr fontId="4"/>
  </si>
  <si>
    <t>文字列 抽出 左</t>
    <phoneticPr fontId="4"/>
  </si>
  <si>
    <t>文字列 抽出</t>
    <phoneticPr fontId="4"/>
  </si>
  <si>
    <t>文字列 結合</t>
    <phoneticPr fontId="4"/>
  </si>
  <si>
    <t>文字列 分割</t>
    <rPh sb="0" eb="3">
      <t>モジレツ</t>
    </rPh>
    <phoneticPr fontId="4"/>
  </si>
  <si>
    <t>文字列 繰り返し</t>
    <phoneticPr fontId="4"/>
  </si>
  <si>
    <t>ABCDABCD</t>
  </si>
  <si>
    <t>abcdabcd</t>
  </si>
  <si>
    <t>!!!!!!1234</t>
  </si>
  <si>
    <t>"abcdabcd".upper()</t>
    <phoneticPr fontId="4"/>
  </si>
  <si>
    <t>"ABCDABCD".lower()</t>
    <phoneticPr fontId="4"/>
  </si>
  <si>
    <t>"1234".rjust(10,"!")</t>
    <phoneticPr fontId="4"/>
  </si>
  <si>
    <t>"1234".zfill(10)</t>
    <phoneticPr fontId="4"/>
  </si>
  <si>
    <t>"ABC" * 4</t>
    <phoneticPr fontId="4"/>
  </si>
  <si>
    <t>ABCABCABCABC</t>
    <phoneticPr fontId="4"/>
  </si>
  <si>
    <t>"123".isnumeric()</t>
    <phoneticPr fontId="4"/>
  </si>
  <si>
    <t>True</t>
  </si>
  <si>
    <t>os.path.basename( "/home/aaa/bbb/c.txt" )</t>
  </si>
  <si>
    <t>False</t>
    <phoneticPr fontId="4"/>
  </si>
  <si>
    <t>分岐 何もしない処理</t>
    <rPh sb="3" eb="4">
      <t>ナニ</t>
    </rPh>
    <rPh sb="8" eb="10">
      <t>ショリ</t>
    </rPh>
    <phoneticPr fontId="4"/>
  </si>
  <si>
    <t>pass</t>
    <phoneticPr fontId="4"/>
  </si>
  <si>
    <t>e.g. if value == 0: ～ pass。これがないとインデントによるブロック構造の為、エラーが発生してしまう</t>
    <phoneticPr fontId="4"/>
  </si>
  <si>
    <t>メインプログラム実行時にのみ処理実行</t>
    <rPh sb="16" eb="18">
      <t>ジッコウ</t>
    </rPh>
    <phoneticPr fontId="4"/>
  </si>
  <si>
    <t>if __name__ == "__main__":</t>
    <phoneticPr fontId="4"/>
  </si>
  <si>
    <t>import re</t>
    <phoneticPr fontId="4"/>
  </si>
  <si>
    <t>1</t>
    <phoneticPr fontId="4"/>
  </si>
  <si>
    <t>('123, 987', '123', '987')</t>
    <phoneticPr fontId="4"/>
  </si>
  <si>
    <t>987</t>
    <phoneticPr fontId="4"/>
  </si>
  <si>
    <t>検索設定 パターンコンパイル</t>
    <rPh sb="0" eb="2">
      <t>ケンサク</t>
    </rPh>
    <rPh sb="2" eb="4">
      <t>セッテイ</t>
    </rPh>
    <phoneticPr fontId="4"/>
  </si>
  <si>
    <t>検索パターンを使いたい場合はコンパイルする</t>
    <rPh sb="0" eb="2">
      <t>ケンサク</t>
    </rPh>
    <rPh sb="7" eb="8">
      <t>ツカ</t>
    </rPh>
    <rPh sb="11" eb="13">
      <t>バアイ</t>
    </rPh>
    <phoneticPr fontId="4"/>
  </si>
  <si>
    <t>re.I</t>
    <phoneticPr fontId="4"/>
  </si>
  <si>
    <t>compile()やfindall()などの関数に引数として指定する</t>
    <rPh sb="22" eb="24">
      <t>カンスウ</t>
    </rPh>
    <rPh sb="25" eb="27">
      <t>ヒキスウ</t>
    </rPh>
    <rPh sb="30" eb="32">
      <t>シテイ</t>
    </rPh>
    <phoneticPr fontId="4"/>
  </si>
  <si>
    <t>検索設定 大小文字区別無視</t>
    <rPh sb="5" eb="6">
      <t>ダイ</t>
    </rPh>
    <rPh sb="6" eb="9">
      <t>コモジ</t>
    </rPh>
    <rPh sb="9" eb="11">
      <t>クベツ</t>
    </rPh>
    <rPh sb="11" eb="13">
      <t>ムシ</t>
    </rPh>
    <phoneticPr fontId="4"/>
  </si>
  <si>
    <t>pattern = '((\d+), (\d+))'</t>
  </si>
  <si>
    <t>patobj = re.compile(pattern, re.I)</t>
    <phoneticPr fontId="4"/>
  </si>
  <si>
    <t>list型を返却</t>
    <rPh sb="4" eb="5">
      <t>ガタ</t>
    </rPh>
    <rPh sb="6" eb="8">
      <t>ヘンキャク</t>
    </rPh>
    <phoneticPr fontId="4"/>
  </si>
  <si>
    <t>matchlist = patobj.findall(targetstr)</t>
  </si>
  <si>
    <t>matchlist = re.findall(pattern, targetstr)</t>
    <phoneticPr fontId="4"/>
  </si>
  <si>
    <t>if matchlist:</t>
  </si>
  <si>
    <t>len(matchlist)</t>
    <phoneticPr fontId="4"/>
  </si>
  <si>
    <t>len(matchlist[0])</t>
  </si>
  <si>
    <t>matchlist[0][2]</t>
  </si>
  <si>
    <t>検索実行(list) コンパイルあり時</t>
    <rPh sb="0" eb="2">
      <t>ケンサク</t>
    </rPh>
    <rPh sb="2" eb="4">
      <t>ジッコウ</t>
    </rPh>
    <rPh sb="18" eb="19">
      <t>ジ</t>
    </rPh>
    <phoneticPr fontId="4"/>
  </si>
  <si>
    <t>検索結果(list) マッチ有無判定</t>
    <rPh sb="14" eb="16">
      <t>ウム</t>
    </rPh>
    <rPh sb="16" eb="18">
      <t>ハンテイ</t>
    </rPh>
    <phoneticPr fontId="4"/>
  </si>
  <si>
    <t>検索結果(list) マッチ数取得</t>
    <rPh sb="14" eb="15">
      <t>スウ</t>
    </rPh>
    <rPh sb="15" eb="17">
      <t>シュトク</t>
    </rPh>
    <phoneticPr fontId="4"/>
  </si>
  <si>
    <t>検索結果(list) サブマッチ数取得</t>
    <rPh sb="16" eb="17">
      <t>スウ</t>
    </rPh>
    <rPh sb="17" eb="19">
      <t>シュトク</t>
    </rPh>
    <phoneticPr fontId="4"/>
  </si>
  <si>
    <t>検索結果(list) マッチ文字列取得</t>
    <rPh sb="14" eb="17">
      <t>モジレツ</t>
    </rPh>
    <rPh sb="17" eb="19">
      <t>シュトク</t>
    </rPh>
    <phoneticPr fontId="4"/>
  </si>
  <si>
    <t>検索結果(list) サブマッチ文字列取得</t>
    <rPh sb="16" eb="19">
      <t>モジレツ</t>
    </rPh>
    <rPh sb="19" eb="21">
      <t>シュトク</t>
    </rPh>
    <phoneticPr fontId="4"/>
  </si>
  <si>
    <t>検索実行(obj) コンパイルあり時</t>
    <rPh sb="0" eb="2">
      <t>ケンサク</t>
    </rPh>
    <rPh sb="2" eb="4">
      <t>ジッコウ</t>
    </rPh>
    <rPh sb="17" eb="18">
      <t>ジ</t>
    </rPh>
    <phoneticPr fontId="4"/>
  </si>
  <si>
    <t>検索結果(obj) マッチ有無判定</t>
    <rPh sb="13" eb="15">
      <t>ウム</t>
    </rPh>
    <rPh sb="15" eb="17">
      <t>ハンテイ</t>
    </rPh>
    <phoneticPr fontId="4"/>
  </si>
  <si>
    <t>検索結果(obj) マッチ数取得</t>
    <rPh sb="13" eb="14">
      <t>スウ</t>
    </rPh>
    <rPh sb="14" eb="16">
      <t>シュトク</t>
    </rPh>
    <phoneticPr fontId="4"/>
  </si>
  <si>
    <t>検索結果(obj) サブマッチ数取得</t>
    <rPh sb="15" eb="16">
      <t>スウ</t>
    </rPh>
    <rPh sb="16" eb="18">
      <t>シュトク</t>
    </rPh>
    <phoneticPr fontId="4"/>
  </si>
  <si>
    <t>検索結果(obj) マッチ文字列取得</t>
    <rPh sb="13" eb="16">
      <t>モジレツ</t>
    </rPh>
    <rPh sb="16" eb="18">
      <t>シュトク</t>
    </rPh>
    <phoneticPr fontId="4"/>
  </si>
  <si>
    <t>検索結果(obj) サブマッチ文字列取得</t>
    <rPh sb="15" eb="18">
      <t>モジレツ</t>
    </rPh>
    <rPh sb="18" eb="20">
      <t>シュトク</t>
    </rPh>
    <phoneticPr fontId="4"/>
  </si>
  <si>
    <t>matchobj = re.search(pattern, targetstr)</t>
    <phoneticPr fontId="4"/>
  </si>
  <si>
    <t>if matchobj:</t>
    <phoneticPr fontId="4"/>
  </si>
  <si>
    <t>matchobj = patobj.search(targetstr)</t>
    <phoneticPr fontId="4"/>
  </si>
  <si>
    <t>matchobj.group()</t>
    <phoneticPr fontId="4"/>
  </si>
  <si>
    <t>matchobj.group(0)</t>
    <phoneticPr fontId="4"/>
  </si>
  <si>
    <t>123, 987</t>
  </si>
  <si>
    <t>123, 987</t>
    <phoneticPr fontId="4"/>
  </si>
  <si>
    <t>matchobj.start(3)</t>
    <phoneticPr fontId="4"/>
  </si>
  <si>
    <t>matchobj.end(3)</t>
    <phoneticPr fontId="4"/>
  </si>
  <si>
    <t>matchobj.group(3)</t>
    <phoneticPr fontId="4"/>
  </si>
  <si>
    <t>targetstr = r'123, 987, ,adb, 433, end.'</t>
    <phoneticPr fontId="4"/>
  </si>
  <si>
    <t>検索結果(obj) マッチ開始位置取得</t>
    <rPh sb="0" eb="2">
      <t>ケンサク</t>
    </rPh>
    <rPh sb="2" eb="4">
      <t>ケッカ</t>
    </rPh>
    <rPh sb="13" eb="15">
      <t>カイシ</t>
    </rPh>
    <rPh sb="15" eb="17">
      <t>イチ</t>
    </rPh>
    <rPh sb="17" eb="19">
      <t>シュトク</t>
    </rPh>
    <phoneticPr fontId="4"/>
  </si>
  <si>
    <t>検索結果(obj) マッチ終了位置取得</t>
    <rPh sb="0" eb="2">
      <t>ケンサク</t>
    </rPh>
    <rPh sb="2" eb="4">
      <t>ケッカ</t>
    </rPh>
    <rPh sb="13" eb="15">
      <t>シュウリョウ</t>
    </rPh>
    <rPh sb="15" eb="17">
      <t>イチ</t>
    </rPh>
    <rPh sb="17" eb="19">
      <t>シュトク</t>
    </rPh>
    <phoneticPr fontId="4"/>
  </si>
  <si>
    <t>検索実行(obj) コンパイルなし時</t>
    <rPh sb="0" eb="2">
      <t>ケンサク</t>
    </rPh>
    <rPh sb="2" eb="4">
      <t>ジッコウ</t>
    </rPh>
    <phoneticPr fontId="4"/>
  </si>
  <si>
    <t>検索実行(list) コンパイルなし時</t>
    <rPh sb="0" eb="2">
      <t>ケンサク</t>
    </rPh>
    <rPh sb="2" eb="4">
      <t>ジッコウ</t>
    </rPh>
    <rPh sb="18" eb="19">
      <t>ジ</t>
    </rPh>
    <phoneticPr fontId="4"/>
  </si>
  <si>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4"/>
  </si>
  <si>
    <t>シート名変更</t>
    <rPh sb="3" eb="4">
      <t>メイ</t>
    </rPh>
    <rPh sb="4" eb="6">
      <t>ヘンコウ</t>
    </rPh>
    <phoneticPr fontId="4"/>
  </si>
  <si>
    <t>&lt;arg2&gt; True:読み取り専用ファイル削除</t>
    <phoneticPr fontId="4"/>
  </si>
  <si>
    <t>ファイル 拡張子取得</t>
    <phoneticPr fontId="4"/>
  </si>
  <si>
    <t>ファイル/フォルダ 削除(ゴミ箱移動)</t>
    <rPh sb="10" eb="12">
      <t>サクジョ</t>
    </rPh>
    <rPh sb="15" eb="16">
      <t>バコ</t>
    </rPh>
    <rPh sb="16" eb="18">
      <t>イドウ</t>
    </rPh>
    <phoneticPr fontId="4"/>
  </si>
  <si>
    <t>vbs,vba</t>
  </si>
  <si>
    <t>python</t>
  </si>
  <si>
    <t>bat</t>
  </si>
  <si>
    <t>結合</t>
    <rPh sb="0" eb="2">
      <t>ケツゴウ</t>
    </rPh>
    <phoneticPr fontId="4"/>
  </si>
  <si>
    <t>重複チェック</t>
    <rPh sb="0" eb="2">
      <t>チョウフク</t>
    </rPh>
    <phoneticPr fontId="4"/>
  </si>
  <si>
    <t>作業列（重複除去用）</t>
    <rPh sb="4" eb="6">
      <t>チョウフク</t>
    </rPh>
    <rPh sb="6" eb="9">
      <t>ジョキョヨウ</t>
    </rPh>
    <phoneticPr fontId="4"/>
  </si>
  <si>
    <t>idx</t>
    <phoneticPr fontId="4"/>
  </si>
  <si>
    <t>内容</t>
    <rPh sb="0" eb="2">
      <t>ナイヨウ</t>
    </rPh>
    <phoneticPr fontId="4"/>
  </si>
  <si>
    <t>bat</t>
    <phoneticPr fontId="4"/>
  </si>
  <si>
    <t>ＴＸＴ(詳細版) 保存＆クローズ（BOMなしUTF-8出力用）</t>
    <rPh sb="9" eb="11">
      <t>ホゾン</t>
    </rPh>
    <rPh sb="27" eb="29">
      <t>シュツリョク</t>
    </rPh>
    <rPh sb="29" eb="30">
      <t>ヨウ</t>
    </rPh>
    <phoneticPr fontId="4"/>
  </si>
  <si>
    <t xml:space="preserve"> </t>
    <phoneticPr fontId="4"/>
  </si>
  <si>
    <t>os.path.dirname( "/home/aaa/bbb/c.txt" )</t>
    <phoneticPr fontId="4"/>
  </si>
  <si>
    <t>os.path.splitext(os.path.basename( "/home/aaa/bbb/c.txt" ))[0]</t>
    <phoneticPr fontId="4"/>
  </si>
  <si>
    <t>os.path.splitext(os.path.basename( "/home/aaa/bbb/c.txt" ))[1]</t>
    <phoneticPr fontId="4"/>
  </si>
  <si>
    <t>フォルダ コピー（配下全て）</t>
    <rPh sb="9" eb="11">
      <t>ハイカ</t>
    </rPh>
    <rPh sb="11" eb="12">
      <t>スベ</t>
    </rPh>
    <phoneticPr fontId="4"/>
  </si>
  <si>
    <t>フォルダ 削除（配下全て）</t>
    <phoneticPr fontId="4"/>
  </si>
  <si>
    <t>ファイル コピー（ファイル内容+Permission+MetaData）</t>
    <phoneticPr fontId="4"/>
  </si>
  <si>
    <t>ファイル コピー（ファイル内容+Permission）</t>
    <rPh sb="13" eb="15">
      <t>ナイヨウ</t>
    </rPh>
    <phoneticPr fontId="4"/>
  </si>
  <si>
    <t>ファイル コピー（ファイル内容）</t>
    <rPh sb="13" eb="15">
      <t>ナイヨウ</t>
    </rPh>
    <phoneticPr fontId="4"/>
  </si>
  <si>
    <t>フォルダ パーミッション変更</t>
    <rPh sb="12" eb="14">
      <t>ヘンコウ</t>
    </rPh>
    <phoneticPr fontId="4"/>
  </si>
  <si>
    <t>os.chmod('xxx.txt', 0o777)</t>
    <phoneticPr fontId="4"/>
  </si>
  <si>
    <t>shutil.move('temp/dir1/file.txt', 'temp/dir2/')</t>
    <phoneticPr fontId="4"/>
  </si>
  <si>
    <t>shutil.move('temp/dir1/dir/', 'temp/dir2/')</t>
    <phoneticPr fontId="4"/>
  </si>
  <si>
    <t>os.remove('temp/file.txt')</t>
    <phoneticPr fontId="4"/>
  </si>
  <si>
    <t>フォルダ 削除（空ディレクトリのみ）</t>
    <rPh sb="8" eb="9">
      <t>カラ</t>
    </rPh>
    <phoneticPr fontId="4"/>
  </si>
  <si>
    <t>os.rmdir('temp/dir_empty/')</t>
    <phoneticPr fontId="4"/>
  </si>
  <si>
    <t>os.path.dirname( "/mnt/c/codes/sh/aaa" )</t>
    <phoneticPr fontId="4"/>
  </si>
  <si>
    <t>os.path.exists( "/home/aaa/bbb/c.txt" )</t>
    <phoneticPr fontId="4"/>
  </si>
  <si>
    <t>os.path.exists( "/mnt/c/codes/sh/aaa" )</t>
    <phoneticPr fontId="4"/>
  </si>
  <si>
    <t>c.txt</t>
    <phoneticPr fontId="4"/>
  </si>
  <si>
    <t>/home/aaa/bbb</t>
    <phoneticPr fontId="4"/>
  </si>
  <si>
    <t>c</t>
    <phoneticPr fontId="4"/>
  </si>
  <si>
    <t>.txt</t>
    <phoneticPr fontId="4"/>
  </si>
  <si>
    <t>ファイル 存在確認</t>
    <phoneticPr fontId="4"/>
  </si>
  <si>
    <t>OS</t>
    <phoneticPr fontId="4"/>
  </si>
  <si>
    <t>Linux</t>
    <phoneticPr fontId="4"/>
  </si>
  <si>
    <t>Windows</t>
    <phoneticPr fontId="4"/>
  </si>
  <si>
    <t>×</t>
    <phoneticPr fontId="4"/>
  </si>
  <si>
    <t>○</t>
    <phoneticPr fontId="4"/>
  </si>
  <si>
    <t>フォルダ パーミッション確認</t>
    <rPh sb="12" eb="14">
      <t>カクニン</t>
    </rPh>
    <phoneticPr fontId="4"/>
  </si>
  <si>
    <t>oct(os.stat("/home/draemon_ash3/.tmux.conf.org").st_mode)[-3:]</t>
    <phoneticPr fontId="4"/>
  </si>
  <si>
    <t>744</t>
    <phoneticPr fontId="4"/>
  </si>
  <si>
    <t>○</t>
    <phoneticPr fontId="4"/>
  </si>
  <si>
    <t>×</t>
    <phoneticPr fontId="4"/>
  </si>
  <si>
    <t>os.path.expanduser('~/Desktop')</t>
    <phoneticPr fontId="4"/>
  </si>
  <si>
    <t>sys.argv[1]</t>
    <phoneticPr fontId="4"/>
  </si>
  <si>
    <t>len(sys.argv)</t>
    <phoneticPr fontId="4"/>
  </si>
  <si>
    <t>os.path.splitext(os.path.basename( __file__ ))[0]</t>
    <phoneticPr fontId="4"/>
  </si>
  <si>
    <t>実行スクリプト ファイルパス①</t>
    <phoneticPr fontId="4"/>
  </si>
  <si>
    <t>実行スクリプト ファイルパス②</t>
    <phoneticPr fontId="4"/>
  </si>
  <si>
    <t>コマンドラインで指定されたパスをそのまま表示する(python3 ../sample.py aaa → ../sample.py)</t>
    <rPh sb="8" eb="10">
      <t>シテイ</t>
    </rPh>
    <rPh sb="20" eb="22">
      <t>ヒョウジ</t>
    </rPh>
    <phoneticPr fontId="4"/>
  </si>
  <si>
    <t>【注意】pythonコマンドに対する引数の数(i.e."python test.py python" 実行時、2が返ってくる)</t>
    <rPh sb="1" eb="3">
      <t>チュウイ</t>
    </rPh>
    <rPh sb="15" eb="16">
      <t>タイ</t>
    </rPh>
    <rPh sb="18" eb="20">
      <t>ヒキスウ</t>
    </rPh>
    <rPh sb="21" eb="22">
      <t>カズ</t>
    </rPh>
    <rPh sb="57" eb="58">
      <t>カエ</t>
    </rPh>
    <phoneticPr fontId="4"/>
  </si>
  <si>
    <t>os.path.dirname( os.path.abspath( __file__ ) )</t>
    <phoneticPr fontId="4"/>
  </si>
  <si>
    <t>実行スクリプト フォルダパス</t>
    <phoneticPr fontId="4"/>
  </si>
  <si>
    <t>環境変数 値更新</t>
    <phoneticPr fontId="4"/>
  </si>
  <si>
    <t>環境変数 値取得</t>
    <phoneticPr fontId="4"/>
  </si>
  <si>
    <t>os.environ['ENV_PATH'] = '/mnt/c/aaa'</t>
    <phoneticPr fontId="4"/>
  </si>
  <si>
    <t>os.environ.get('ENV_PATH')</t>
    <phoneticPr fontId="4"/>
  </si>
  <si>
    <t>/mnt/c/aaa</t>
    <phoneticPr fontId="4"/>
  </si>
  <si>
    <t>os.symlink("/mnt/c/codes/python/extract_line.py", "/mnt/c/codes/python/_test/extract_line.py")</t>
    <phoneticPr fontId="4"/>
  </si>
  <si>
    <t>シンボリックリンク 作成</t>
    <rPh sb="10" eb="12">
      <t>サクセイ</t>
    </rPh>
    <phoneticPr fontId="4"/>
  </si>
  <si>
    <t>os.readlink( "/mnt/c/codes/python/_test/extract_line.py" )</t>
  </si>
  <si>
    <t>シンボリックリンク 指示先パス取得</t>
    <phoneticPr fontId="4"/>
  </si>
  <si>
    <t>del os.environ['ENV_PATH']</t>
    <phoneticPr fontId="4"/>
  </si>
  <si>
    <t>×</t>
    <phoneticPr fontId="4"/>
  </si>
  <si>
    <t>objFSO.GetFileName( "C:\codes\a.txt" )</t>
  </si>
  <si>
    <t>\cmd</t>
  </si>
  <si>
    <t>コマンド実行(非エイリアス)</t>
  </si>
  <si>
    <t>cmd</t>
    <phoneticPr fontId="4"/>
  </si>
  <si>
    <t>エイリアスを介さない元のコマンドを実行する</t>
    <phoneticPr fontId="4"/>
  </si>
  <si>
    <t>コマンド実行(直近実行コマンド)</t>
    <phoneticPr fontId="4"/>
  </si>
  <si>
    <t>!cmd</t>
  </si>
  <si>
    <t>ex. 最後に実行したlsが `ls -R | grep "babababa" #①` だった場合、そののちに `!ls` と入力すると、①のコマンドが再度実行される</t>
    <phoneticPr fontId="4"/>
  </si>
  <si>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</si>
  <si>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</si>
  <si>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</si>
  <si>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</si>
  <si>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</si>
  <si>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</si>
  <si>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</si>
  <si>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</si>
  <si>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</si>
  <si>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</si>
  <si>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</si>
  <si>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</si>
  <si>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</si>
  <si>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</si>
  <si>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</si>
  <si>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</si>
  <si>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4"/>
  </si>
  <si>
    <t>まとめてコマンド実行(現在シェル)</t>
    <rPh sb="11" eb="13">
      <t>ゲンザイ</t>
    </rPh>
    <phoneticPr fontId="4"/>
  </si>
  <si>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</si>
  <si>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</si>
  <si>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</si>
  <si>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</si>
  <si>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</si>
  <si>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</si>
  <si>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</si>
  <si>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</si>
  <si>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</si>
  <si>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</si>
  <si>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</si>
  <si>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</si>
  <si>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</si>
  <si>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</si>
  <si>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</si>
  <si>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</si>
  <si>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</si>
  <si>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</si>
  <si>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</si>
  <si>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</si>
  <si>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</si>
  <si>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</si>
  <si>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</si>
  <si>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</si>
  <si>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</si>
  <si>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4"/>
  </si>
  <si>
    <t>ブレース展開(例04)</t>
    <phoneticPr fontId="4"/>
  </si>
  <si>
    <t>ブレース展開(例05)</t>
    <phoneticPr fontId="4"/>
  </si>
  <si>
    <t>ブレース展開(例06)</t>
    <phoneticPr fontId="4"/>
  </si>
  <si>
    <t>ブレース展開(例07)</t>
    <phoneticPr fontId="4"/>
  </si>
  <si>
    <t>ブレース展開(例08)</t>
    <phoneticPr fontId="4"/>
  </si>
  <si>
    <t>ブレース展開(例09)</t>
    <phoneticPr fontId="4"/>
  </si>
  <si>
    <t>ブレース展開(例10)</t>
    <phoneticPr fontId="4"/>
  </si>
  <si>
    <t>ブレース展開(例11)</t>
    <phoneticPr fontId="4"/>
  </si>
  <si>
    <t>変数展開</t>
  </si>
  <si>
    <t>参照</t>
  </si>
  <si>
    <t>${hoge}</t>
  </si>
  <si>
    <t>空変数時デフォルト値参照</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</si>
  <si>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</si>
  <si>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</si>
  <si>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</si>
  <si>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</si>
  <si>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</si>
  <si>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</si>
  <si>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</si>
  <si>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</si>
  <si>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</si>
  <si>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</si>
  <si>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</si>
  <si>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</si>
  <si>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</si>
  <si>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</si>
  <si>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</si>
  <si>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</si>
  <si>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</si>
  <si>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</si>
  <si>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</si>
  <si>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</si>
  <si>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</si>
  <si>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</si>
  <si>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</si>
  <si>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</si>
  <si>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</si>
  <si>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</si>
  <si>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</si>
  <si>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前方一致除去(最長一致)</t>
  </si>
  <si>
    <t>後方一致除去(最短一致)</t>
  </si>
  <si>
    <t>後方一致除去(最長一致)</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</si>
  <si>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</si>
  <si>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</si>
  <si>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</si>
  <si>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</si>
  <si>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</si>
  <si>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</si>
  <si>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</si>
  <si>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</si>
  <si>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</si>
  <si>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</si>
  <si>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</si>
  <si>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</si>
  <si>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</si>
  <si>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</si>
  <si>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</si>
  <si>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</si>
  <si>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</si>
  <si>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</si>
  <si>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</si>
  <si>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</si>
  <si>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</si>
  <si>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</si>
  <si>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4"/>
  </si>
  <si>
    <t>#</t>
    <phoneticPr fontId="4"/>
  </si>
  <si>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</si>
  <si>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</si>
  <si>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</si>
  <si>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</si>
  <si>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</si>
  <si>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</si>
  <si>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</si>
  <si>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</si>
  <si>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source sample.sh</t>
  </si>
  <si>
    <t>. sample.sh</t>
  </si>
  <si>
    <t>name='John'</t>
  </si>
  <si>
    <t>${name:+word}</t>
  </si>
  <si>
    <t>${name:-word}</t>
  </si>
  <si>
    <t>${name:=word}</t>
  </si>
  <si>
    <t>${name:?word}</t>
  </si>
  <si>
    <t>ARRAY=(item1 item2 item3 item4)</t>
  </si>
  <si>
    <t>unset lsmo</t>
  </si>
  <si>
    <t>シェルスクリプト実行(現在シェル)</t>
    <phoneticPr fontId="4"/>
  </si>
  <si>
    <t>シェルスクリプト実行(サブシェル)</t>
    <phoneticPr fontId="4"/>
  </si>
  <si>
    <t>./sample.sh</t>
    <phoneticPr fontId="4"/>
  </si>
  <si>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</si>
  <si>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</si>
  <si>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</si>
  <si>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</si>
  <si>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</si>
  <si>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</si>
  <si>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</si>
  <si>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</si>
  <si>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</si>
  <si>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</si>
  <si>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</si>
  <si>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</si>
  <si>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</si>
  <si>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</si>
  <si>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</si>
  <si>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</si>
  <si>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</si>
  <si>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</si>
  <si>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</si>
  <si>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</si>
  <si>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</si>
  <si>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</si>
  <si>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</si>
  <si>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</si>
  <si>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</si>
  <si>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</si>
  <si>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</si>
  <si>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</si>
  <si>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</si>
  <si>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</si>
  <si>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</si>
  <si>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</si>
  <si>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</si>
  <si>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</si>
  <si>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</si>
  <si>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</si>
  <si>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</si>
  <si>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</si>
  <si>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</si>
  <si>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</si>
  <si>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</si>
  <si>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</si>
  <si>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</si>
  <si>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</si>
  <si>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</si>
  <si>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</si>
  <si>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</si>
  <si>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</si>
  <si>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</si>
  <si>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</si>
  <si>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</si>
  <si>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</si>
  <si>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</si>
  <si>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</si>
  <si>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</si>
  <si>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</si>
  <si>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</si>
  <si>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</si>
  <si>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$0</t>
    <phoneticPr fontId="4"/>
  </si>
  <si>
    <t>$@</t>
    <phoneticPr fontId="4"/>
  </si>
  <si>
    <t>"$1" "$2" "$3" ...</t>
  </si>
  <si>
    <t>$*</t>
    <phoneticPr fontId="4"/>
  </si>
  <si>
    <t>"$1 $2 $3 ..."</t>
    <phoneticPr fontId="4"/>
  </si>
  <si>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</si>
  <si>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</si>
  <si>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</si>
  <si>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</si>
  <si>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</si>
  <si>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</si>
  <si>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</si>
  <si>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</si>
  <si>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</si>
  <si>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</si>
  <si>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</si>
  <si>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</si>
  <si>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</si>
  <si>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</si>
  <si>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</si>
  <si>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4"/>
  </si>
  <si>
    <t>if [ "$a" != "$b" ]; then</t>
    <phoneticPr fontId="4"/>
  </si>
  <si>
    <t>if [ -z "$a" ]; then</t>
    <phoneticPr fontId="4"/>
  </si>
  <si>
    <t>if [ -n "$a" ]; then</t>
    <phoneticPr fontId="4"/>
  </si>
  <si>
    <t>$aと$bが同じではない場合TRUE</t>
    <phoneticPr fontId="4"/>
  </si>
  <si>
    <t>$aが何も指定してない場合TRUE</t>
    <phoneticPr fontId="4"/>
  </si>
  <si>
    <t>$aに何かを指定しした場合TRUE</t>
    <phoneticPr fontId="4"/>
  </si>
  <si>
    <t>$aと$bが同じ場合TRUE</t>
    <phoneticPr fontId="4"/>
  </si>
  <si>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</si>
  <si>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</si>
  <si>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</si>
  <si>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</si>
  <si>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</si>
  <si>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</si>
  <si>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</si>
  <si>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</si>
  <si>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</si>
  <si>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</si>
  <si>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</si>
  <si>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</si>
  <si>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</si>
  <si>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</si>
  <si>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</si>
  <si>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</si>
  <si>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</si>
  <si>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</si>
  <si>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</si>
  <si>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</si>
  <si>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</si>
  <si>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</si>
  <si>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</si>
  <si>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</si>
  <si>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</si>
  <si>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</si>
  <si>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論理結合(AND)</t>
  </si>
  <si>
    <t>論理結合(OR)</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</si>
  <si>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</si>
  <si>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</si>
  <si>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</si>
  <si>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</si>
  <si>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</si>
  <si>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</si>
  <si>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</si>
  <si>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</si>
  <si>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</si>
  <si>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</si>
  <si>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</si>
  <si>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</si>
  <si>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</si>
  <si>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</si>
  <si>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</si>
  <si>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</si>
  <si>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</si>
  <si>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</si>
  <si>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</si>
  <si>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4"/>
  </si>
  <si>
    <t>`test 1 -eq 1` と `[ 1 -eq 1]` は同等</t>
    <phoneticPr fontId="4"/>
  </si>
  <si>
    <t>chown o+t</t>
    <phoneticPr fontId="4"/>
  </si>
  <si>
    <t>chown u+s</t>
    <phoneticPr fontId="4"/>
  </si>
  <si>
    <t>chown g+s</t>
    <phoneticPr fontId="4"/>
  </si>
  <si>
    <t>if [ -g ファイル名 ]; then</t>
    <phoneticPr fontId="4"/>
  </si>
  <si>
    <t>if [ -k ファイル名 ]; then</t>
    <phoneticPr fontId="4"/>
  </si>
  <si>
    <t>if [ -u ファイル名 ]; then</t>
    <phoneticPr fontId="4"/>
  </si>
  <si>
    <t>ファイル種別判定(0バイト以上)</t>
    <phoneticPr fontId="4"/>
  </si>
  <si>
    <t>論理結合(否定)</t>
    <phoneticPr fontId="4"/>
  </si>
  <si>
    <t>論理結合(AND+OR)</t>
    <phoneticPr fontId="4"/>
  </si>
  <si>
    <t>97</t>
  </si>
  <si>
    <t>printf "%d" \'a</t>
    <phoneticPr fontId="4"/>
  </si>
  <si>
    <t>printf "%b\n" $(printf '%s%x' '\x' 97)</t>
    <phoneticPr fontId="4"/>
  </si>
  <si>
    <t>算術演算</t>
    <rPh sb="0" eb="2">
      <t>サンジュツ</t>
    </rPh>
    <rPh sb="2" eb="4">
      <t>エンザン</t>
    </rPh>
    <phoneticPr fontId="4"/>
  </si>
  <si>
    <t>echo `expr 10 + 20`</t>
    <phoneticPr fontId="4"/>
  </si>
  <si>
    <t>echo `expr 20 - 10`</t>
    <phoneticPr fontId="4"/>
  </si>
  <si>
    <t>echo `expr 11 * 11`</t>
    <phoneticPr fontId="4"/>
  </si>
  <si>
    <t>echo `expr 10 / 2`</t>
    <phoneticPr fontId="4"/>
  </si>
  <si>
    <t>echo `expr 10 % 4`</t>
    <phoneticPr fontId="4"/>
  </si>
  <si>
    <t>a=$b</t>
    <phoneticPr fontId="4"/>
  </si>
  <si>
    <t>シェル変数設定</t>
    <rPh sb="3" eb="5">
      <t>ヘンスウ</t>
    </rPh>
    <rPh sb="5" eb="7">
      <t>セッテイ</t>
    </rPh>
    <phoneticPr fontId="4"/>
  </si>
  <si>
    <t>/path/to/foo.cpp → /path/to/</t>
    <phoneticPr fontId="4"/>
  </si>
  <si>
    <t>/path/to/foo.cpp → foo.cpp</t>
    <phoneticPr fontId="4"/>
  </si>
  <si>
    <t>${SRCPATH%$BASE}</t>
    <phoneticPr fontId="4"/>
  </si>
  <si>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</si>
  <si>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</si>
  <si>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</si>
  <si>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</si>
  <si>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</si>
  <si>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</si>
  <si>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</si>
  <si>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</si>
  <si>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</si>
  <si>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</si>
  <si>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</si>
  <si>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</si>
  <si>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</si>
  <si>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</si>
  <si>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</si>
  <si>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</si>
  <si>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</si>
  <si>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</si>
  <si>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</si>
  <si>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</si>
  <si>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</si>
  <si>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</si>
  <si>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</si>
  <si>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</si>
  <si>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</si>
  <si>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</si>
  <si>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</si>
  <si>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</si>
  <si>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</si>
  <si>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</si>
  <si>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</si>
  <si>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</si>
  <si>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</si>
  <si>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</si>
  <si>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</si>
  <si>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</si>
  <si>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</si>
  <si>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</si>
  <si>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</si>
  <si>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</si>
  <si>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</si>
  <si>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</si>
  <si>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</si>
  <si>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</si>
  <si>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</si>
  <si>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</si>
  <si>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</si>
  <si>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</si>
  <si>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</si>
  <si>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</si>
  <si>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</si>
  <si>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4"/>
  </si>
  <si>
    <t>TRUE</t>
    <phoneticPr fontId="4"/>
  </si>
  <si>
    <t>コマンド結果をファイルに書きつつ,標準出力にも出力したいときに使う。(リダイレクションでは標準出力されない)</t>
    <phoneticPr fontId="4"/>
  </si>
  <si>
    <t>「sudo apt install -y xclip」でインストールが必要。（WSL2では使えないかも）</t>
    <phoneticPr fontId="4"/>
  </si>
  <si>
    <t>aptはapt-getの設計改良版の位置づけらしい</t>
    <phoneticPr fontId="4"/>
  </si>
  <si>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</si>
  <si>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</si>
  <si>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</si>
  <si>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</si>
  <si>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</si>
  <si>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</si>
  <si>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</si>
  <si>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</si>
  <si>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</si>
  <si>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</si>
  <si>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</si>
  <si>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</si>
  <si>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</si>
  <si>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</si>
  <si>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</si>
  <si>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</si>
  <si>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</si>
  <si>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</si>
  <si>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</si>
  <si>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</si>
  <si>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</si>
  <si>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</si>
  <si>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</si>
  <si>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</si>
  <si>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</si>
  <si>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</si>
  <si>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</si>
  <si>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</si>
  <si>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</si>
  <si>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</si>
  <si>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</si>
  <si>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</si>
  <si>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</si>
  <si>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</si>
  <si>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</si>
  <si>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</si>
  <si>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</si>
  <si>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</si>
  <si>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</si>
  <si>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</si>
  <si>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</si>
  <si>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</si>
  <si>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</si>
  <si>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</si>
  <si>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</si>
  <si>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</si>
  <si>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</si>
  <si>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</si>
  <si>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</si>
  <si>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</si>
  <si>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</si>
  <si>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</si>
  <si>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</si>
  <si>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</si>
  <si>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</si>
  <si>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</si>
  <si>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</si>
  <si>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</si>
  <si>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</si>
  <si>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</si>
  <si>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</si>
  <si>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</si>
  <si>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</si>
  <si>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</si>
  <si>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</si>
  <si>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</si>
  <si>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</si>
  <si>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</si>
  <si>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</si>
  <si>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</si>
  <si>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</si>
  <si>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</si>
  <si>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</si>
  <si>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</si>
  <si>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</si>
  <si>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</si>
  <si>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</si>
  <si>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</si>
  <si>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</si>
  <si>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</si>
  <si>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</si>
  <si>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</si>
  <si>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</si>
  <si>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</si>
  <si>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</si>
  <si>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</si>
  <si>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</si>
  <si>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</si>
  <si>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</si>
  <si>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</si>
  <si>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</si>
  <si>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</si>
  <si>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4"/>
  </si>
  <si>
    <t>ファイルコピー(ブロック単位)</t>
    <phoneticPr fontId="4"/>
  </si>
  <si>
    <t>cp -d file.txt aaa/file2.txt</t>
    <phoneticPr fontId="4"/>
  </si>
  <si>
    <t>cp -r orgdir/ trgtdir/</t>
    <phoneticPr fontId="4"/>
  </si>
  <si>
    <t>由来: permission</t>
    <phoneticPr fontId="4"/>
  </si>
  <si>
    <t>文字コード変換(sjis→utf8)(nkf)</t>
    <phoneticPr fontId="4"/>
  </si>
  <si>
    <t>BASE64。すべてのデータをアルファベット(a~z, A~z)と数字(0~9)、一部の記号(+,/)の64文字で表すエンコード方式</t>
    <phoneticPr fontId="4"/>
  </si>
  <si>
    <t>c(create):新規作成 z:gzip形式圧縮 v:ファイル一覧表示 f:ファイル名指定</t>
    <phoneticPr fontId="4"/>
  </si>
  <si>
    <t>x(extract):展開 z:gzip形式圧縮 v:ファイル一覧表示 f:ファイル名指定</t>
    <phoneticPr fontId="4"/>
  </si>
  <si>
    <t>圧縮(gzip)</t>
    <phoneticPr fontId="4"/>
  </si>
  <si>
    <t>展開(gzip)</t>
    <phoneticPr fontId="4"/>
  </si>
  <si>
    <t>圧縮(tar)</t>
    <phoneticPr fontId="4"/>
  </si>
  <si>
    <t>展開(tar)</t>
    <phoneticPr fontId="4"/>
  </si>
  <si>
    <t>-R：新旧のファイルが反転していると見なす</t>
    <phoneticPr fontId="4"/>
  </si>
  <si>
    <t>-u：差分をunified形式のコンテキストdiffとして解釈</t>
    <phoneticPr fontId="4"/>
  </si>
  <si>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</si>
  <si>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</si>
  <si>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</si>
  <si>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</si>
  <si>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</si>
  <si>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</si>
  <si>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</si>
  <si>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</si>
  <si>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ファイル一覧出力</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</si>
  <si>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</si>
  <si>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</si>
  <si>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</si>
  <si>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</si>
  <si>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</si>
  <si>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</si>
  <si>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</si>
  <si>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</si>
  <si>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</si>
  <si>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</si>
  <si>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</si>
  <si>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</si>
  <si>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</si>
  <si>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</si>
  <si>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</si>
  <si>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</si>
  <si>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</si>
  <si>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</si>
  <si>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</si>
  <si>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</si>
  <si>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</si>
  <si>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</si>
  <si>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</si>
  <si>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</si>
  <si>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</si>
  <si>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</si>
  <si>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</si>
  <si>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</si>
  <si>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</si>
  <si>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</si>
  <si>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</si>
  <si>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</si>
  <si>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</si>
  <si>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</si>
  <si>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</si>
  <si>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</si>
  <si>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</si>
  <si>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</si>
  <si>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</si>
  <si>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</si>
  <si>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</si>
  <si>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</si>
  <si>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</si>
  <si>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</si>
  <si>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</si>
  <si>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</si>
  <si>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</si>
  <si>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</si>
  <si>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</si>
  <si>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</si>
  <si>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</si>
  <si>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</si>
  <si>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</si>
  <si>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</si>
  <si>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</si>
  <si>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</si>
  <si>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</si>
  <si>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</si>
  <si>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</si>
  <si>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</si>
  <si>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</si>
  <si>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</si>
  <si>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</si>
  <si>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</si>
  <si>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</si>
  <si>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</si>
  <si>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</si>
  <si>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</si>
  <si>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</si>
  <si>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</si>
  <si>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</si>
  <si>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</si>
  <si>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</si>
  <si>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</si>
  <si>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</si>
  <si>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</si>
  <si>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</si>
  <si>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</si>
  <si>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</si>
  <si>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</si>
  <si>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</si>
  <si>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</si>
  <si>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</si>
  <si>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</si>
  <si>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</si>
  <si>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</si>
  <si>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</si>
  <si>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</si>
  <si>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</si>
  <si>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</si>
  <si>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</si>
  <si>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</si>
  <si>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</si>
  <si>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</si>
  <si>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</si>
  <si>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</si>
  <si>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</si>
  <si>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</si>
  <si>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</si>
  <si>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</si>
  <si>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</si>
  <si>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</si>
  <si>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</si>
  <si>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</si>
  <si>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</si>
  <si>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</si>
  <si>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</si>
  <si>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</si>
  <si>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</si>
  <si>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</si>
  <si>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</si>
  <si>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</si>
  <si>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</si>
  <si>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</si>
  <si>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</si>
  <si>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</si>
  <si>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</si>
  <si>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</si>
  <si>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</si>
  <si>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</si>
  <si>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</si>
  <si>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4"/>
  </si>
  <si>
    <t>for 文で回すための一覧作成用</t>
    <phoneticPr fontId="4"/>
  </si>
  <si>
    <t>cut -c 1-5 test.txt</t>
    <phoneticPr fontId="4"/>
  </si>
  <si>
    <t>cut -d: -f 5 test.txt</t>
    <phoneticPr fontId="4"/>
  </si>
  <si>
    <t>paste -d"," date1.txt date2.txt</t>
    <phoneticPr fontId="4"/>
  </si>
  <si>
    <t>「data1.txt」と「data2.txt」を、区切り文字「,」として列結合</t>
    <phoneticPr fontId="4"/>
  </si>
  <si>
    <t>join -j 1 data1.txt data2.txt</t>
    <phoneticPr fontId="4"/>
  </si>
  <si>
    <t>「data1.txt」と「data2.txt」の第1フィールドに基づいて列結合</t>
    <phoneticPr fontId="4"/>
  </si>
  <si>
    <t>ファイル比較</t>
    <phoneticPr fontId="4"/>
  </si>
  <si>
    <t>ファイル比較(3ファイル)</t>
    <phoneticPr fontId="4"/>
  </si>
  <si>
    <t>SHA-1ダイジェスト計算</t>
    <phoneticPr fontId="4"/>
  </si>
  <si>
    <t>Grep(複数行マッチ)</t>
    <phoneticPr fontId="4"/>
  </si>
  <si>
    <t>バイナリの一致確認時に使用する</t>
    <phoneticPr fontId="4"/>
  </si>
  <si>
    <t>ls --color 時の色意味</t>
  </si>
  <si>
    <t>文字列操作</t>
    <rPh sb="0" eb="3">
      <t>モジレツ</t>
    </rPh>
    <rPh sb="3" eb="5">
      <t>ソウサ</t>
    </rPh>
    <phoneticPr fontId="4"/>
  </si>
  <si>
    <t>文字列置換(文字単位)(translate)</t>
  </si>
  <si>
    <t>テキスト置換</t>
  </si>
  <si>
    <t>echo "hello world" | sed 's/hello/welcome/g'</t>
  </si>
  <si>
    <t>テキスト置換(ファイル直接編集)</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</si>
  <si>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</si>
  <si>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</si>
  <si>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</si>
  <si>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</si>
  <si>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</si>
  <si>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</si>
  <si>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</si>
  <si>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</si>
  <si>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</si>
  <si>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</si>
  <si>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</si>
  <si>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</si>
  <si>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</si>
  <si>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</si>
  <si>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</si>
  <si>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</si>
  <si>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4"/>
  </si>
  <si>
    <t xml:space="preserve">data.txtファイルにある小文字全てを大文字に変更 </t>
    <phoneticPr fontId="4"/>
  </si>
  <si>
    <t xml:space="preserve">cat data.txt | tr 'a-z' 'a-z' </t>
    <phoneticPr fontId="4"/>
  </si>
  <si>
    <t>cat data.txt | tr [:lower:] [:uppder:]</t>
    <phoneticPr fontId="4"/>
  </si>
  <si>
    <t>1048576</t>
  </si>
  <si>
    <t>numfmt --from=auto 1Mi</t>
    <phoneticPr fontId="4"/>
  </si>
  <si>
    <t>numfmt --to=si 500000</t>
    <phoneticPr fontId="4"/>
  </si>
  <si>
    <t>500K</t>
  </si>
  <si>
    <t>tr -d : &lt; file1</t>
    <phoneticPr fontId="4"/>
  </si>
  <si>
    <t>data.txtファイルにある「：」を削除して表示</t>
    <phoneticPr fontId="4"/>
  </si>
  <si>
    <t>dirname aaa/bbb/test.txt</t>
    <phoneticPr fontId="4"/>
  </si>
  <si>
    <t>aaa/bbb</t>
  </si>
  <si>
    <t>basename aaa/bbb/test.txt</t>
    <phoneticPr fontId="4"/>
  </si>
  <si>
    <t>test.txt</t>
  </si>
  <si>
    <t>システム</t>
    <phoneticPr fontId="4"/>
  </si>
  <si>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</si>
  <si>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</si>
  <si>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</si>
  <si>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</si>
  <si>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</si>
  <si>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</si>
  <si>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</si>
  <si>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</si>
  <si>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</si>
  <si>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</si>
  <si>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</si>
  <si>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</si>
  <si>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</si>
  <si>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</si>
  <si>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</si>
  <si>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</si>
  <si>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</si>
  <si>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</si>
  <si>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</si>
  <si>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</si>
  <si>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</si>
  <si>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</si>
  <si>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</si>
  <si>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</si>
  <si>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</si>
  <si>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</si>
  <si>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</si>
  <si>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</si>
  <si>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</si>
  <si>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</si>
  <si>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</si>
  <si>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</si>
  <si>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</si>
  <si>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</si>
  <si>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</si>
  <si>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</si>
  <si>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</si>
  <si>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</si>
  <si>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</si>
  <si>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</si>
  <si>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</si>
  <si>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</si>
  <si>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</si>
  <si>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</si>
  <si>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</si>
  <si>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</si>
  <si>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</si>
  <si>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</si>
  <si>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</si>
  <si>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</si>
  <si>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リソース制限(CPU時間最大値(秒数)設定)</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</si>
  <si>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</si>
  <si>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</si>
  <si>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</si>
  <si>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</si>
  <si>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</si>
  <si>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</si>
  <si>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</si>
  <si>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</si>
  <si>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</si>
  <si>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</si>
  <si>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</si>
  <si>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</si>
  <si>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</si>
  <si>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</si>
  <si>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</si>
  <si>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</si>
  <si>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</si>
  <si>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</si>
  <si>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</si>
  <si>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</si>
  <si>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</si>
  <si>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</si>
  <si>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</si>
  <si>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</si>
  <si>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</si>
  <si>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</si>
  <si>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</si>
  <si>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</si>
  <si>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</si>
  <si>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</si>
  <si>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</si>
  <si>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</si>
  <si>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</si>
  <si>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</si>
  <si>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</si>
  <si>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</si>
  <si>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</si>
  <si>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</si>
  <si>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</si>
  <si>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</si>
  <si>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</si>
  <si>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</si>
  <si>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</si>
  <si>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</si>
  <si>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</si>
  <si>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</si>
  <si>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</si>
  <si>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</si>
  <si>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</si>
  <si>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</si>
  <si>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</si>
  <si>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</si>
  <si>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</si>
  <si>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</si>
  <si>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</si>
  <si>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</si>
  <si>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</si>
  <si>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</si>
  <si>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</si>
  <si>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</si>
  <si>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</si>
  <si>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</si>
  <si>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</si>
  <si>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</si>
  <si>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</si>
  <si>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4"/>
  </si>
  <si>
    <t>date 11132330</t>
    <phoneticPr fontId="4"/>
  </si>
  <si>
    <t>11/13 23:30にセット</t>
  </si>
  <si>
    <t>hwclock -w</t>
    <phoneticPr fontId="4"/>
  </si>
  <si>
    <t>システムクロックの時刻をハードウェアクロックに反映</t>
  </si>
  <si>
    <t>nohup &lt;コマンド&gt; &amp;</t>
    <phoneticPr fontId="4"/>
  </si>
  <si>
    <t>シェルを終了させても起動中のコマンドを実行させる</t>
  </si>
  <si>
    <t>disown -h %&lt;ジョブID&gt;</t>
    <phoneticPr fontId="4"/>
  </si>
  <si>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</si>
  <si>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</si>
  <si>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</si>
  <si>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</si>
  <si>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</si>
  <si>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</si>
  <si>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</si>
  <si>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</si>
  <si>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</si>
  <si>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</si>
  <si>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</si>
  <si>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</si>
  <si>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</si>
  <si>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</si>
  <si>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</si>
  <si>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</si>
  <si>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</si>
  <si>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</si>
  <si>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</si>
  <si>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</si>
  <si>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</si>
  <si>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</si>
  <si>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</si>
  <si>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</si>
  <si>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</si>
  <si>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</si>
  <si>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</si>
  <si>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</si>
  <si>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</si>
  <si>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</si>
  <si>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</si>
  <si>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</si>
  <si>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</si>
  <si>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</si>
  <si>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</si>
  <si>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</si>
  <si>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</si>
  <si>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</si>
  <si>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</si>
  <si>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</si>
  <si>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</si>
  <si>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</si>
  <si>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</si>
  <si>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</si>
  <si>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</si>
  <si>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</si>
  <si>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</si>
  <si>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</si>
  <si>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</si>
  <si>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</si>
  <si>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</si>
  <si>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</si>
  <si>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</si>
  <si>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</si>
  <si>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4"/>
  </si>
  <si>
    <t>特殊ファイル作成</t>
    <phoneticPr fontId="4"/>
  </si>
  <si>
    <t>awk</t>
    <phoneticPr fontId="4"/>
  </si>
  <si>
    <t>awk(出力)</t>
    <phoneticPr fontId="4"/>
  </si>
  <si>
    <t>awk(数値判定)</t>
    <phoneticPr fontId="4"/>
  </si>
  <si>
    <t>awk(文字列判定)</t>
    <phoneticPr fontId="4"/>
  </si>
  <si>
    <t>awk(区切り文字指定)</t>
    <phoneticPr fontId="4"/>
  </si>
  <si>
    <t>awk(スクリプト実行)</t>
    <phoneticPr fontId="4"/>
  </si>
  <si>
    <t>awk(パターンマッチ)</t>
    <phoneticPr fontId="4"/>
  </si>
  <si>
    <t>シンボル情報表示</t>
    <phoneticPr fontId="4"/>
  </si>
  <si>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</si>
  <si>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</si>
  <si>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</si>
  <si>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</si>
  <si>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</si>
  <si>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</si>
  <si>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</si>
  <si>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</si>
  <si>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</si>
  <si>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4"/>
  </si>
  <si>
    <t>第1フィールド先頭が#で始まっていたらマッチ</t>
    <phoneticPr fontId="4"/>
  </si>
  <si>
    <t>factor 60</t>
    <phoneticPr fontId="4"/>
  </si>
  <si>
    <t>60: 2 2 3 5</t>
  </si>
  <si>
    <t>#!/bin/bash</t>
  </si>
  <si>
    <t>シェバン(shebang)</t>
  </si>
  <si>
    <t>コメント</t>
    <phoneticPr fontId="4"/>
  </si>
  <si>
    <t>chmod 755 *.sh</t>
    <phoneticPr fontId="4"/>
  </si>
  <si>
    <t>cmd1 | xargs cmd2</t>
    <phoneticPr fontId="4"/>
  </si>
  <si>
    <t>date | xargs -I? echo "date is &lt;?&gt; now."</t>
  </si>
  <si>
    <t>date is &lt;Tue Dec 14 16:16:04 JST 2021&gt; now.</t>
  </si>
  <si>
    <t>xargs コマンドの間に展開(-I)</t>
    <phoneticPr fontId="4"/>
  </si>
  <si>
    <t>xargs コマンドライン引数受取後実行</t>
    <phoneticPr fontId="4"/>
  </si>
  <si>
    <t>${SRCPATH##*/}</t>
    <phoneticPr fontId="4"/>
  </si>
  <si>
    <t>rename _o .o fort.33*</t>
    <phoneticPr fontId="4"/>
  </si>
  <si>
    <t>rename s/_o/.o/g fort.33*</t>
    <phoneticPr fontId="4"/>
  </si>
  <si>
    <t>readlink -f _lib</t>
    <phoneticPr fontId="4"/>
  </si>
  <si>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</si>
  <si>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</si>
  <si>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</si>
  <si>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</si>
  <si>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</si>
  <si>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</si>
  <si>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</si>
  <si>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</si>
  <si>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</si>
  <si>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</si>
  <si>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</si>
  <si>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4"/>
  </si>
  <si>
    <t>find dirpath -type f | grep .md</t>
    <phoneticPr fontId="4"/>
  </si>
  <si>
    <t>find dirpath -name '*.md' -type f</t>
    <phoneticPr fontId="4"/>
  </si>
  <si>
    <t>locate "*.txt"</t>
    <phoneticPr fontId="4"/>
  </si>
  <si>
    <t>ar qc libgraphics.a *.o</t>
    <phoneticPr fontId="4"/>
  </si>
  <si>
    <t>他</t>
    <rPh sb="0" eb="1">
      <t>ホカ</t>
    </rPh>
    <phoneticPr fontId="4"/>
  </si>
  <si>
    <t>現在シェル表示</t>
    <phoneticPr fontId="4"/>
  </si>
  <si>
    <t>cmd1をバックグラウンドで実行する</t>
  </si>
  <si>
    <t>cmd1 &amp; cmd2</t>
    <phoneticPr fontId="4"/>
  </si>
  <si>
    <t>$?</t>
    <phoneticPr fontId="4"/>
  </si>
  <si>
    <t>直前コマンドの実行結果</t>
    <rPh sb="7" eb="9">
      <t>ジッコウ</t>
    </rPh>
    <rPh sb="9" eb="11">
      <t>ケッカ</t>
    </rPh>
    <phoneticPr fontId="4"/>
  </si>
  <si>
    <t>echo ${name}</t>
    <phoneticPr fontId="4"/>
  </si>
  <si>
    <t>John</t>
  </si>
  <si>
    <t>echo "Hi $name"</t>
    <phoneticPr fontId="4"/>
  </si>
  <si>
    <t>Hi John</t>
  </si>
  <si>
    <t>echo 'Hi $name'</t>
    <phoneticPr fontId="4"/>
  </si>
  <si>
    <t>Hi $name</t>
  </si>
  <si>
    <t>成功時:0(true)、失敗時:1(false)</t>
    <rPh sb="0" eb="2">
      <t>セイコウ</t>
    </rPh>
    <rPh sb="2" eb="3">
      <t>ジ</t>
    </rPh>
    <rPh sb="12" eb="14">
      <t>シッパイ</t>
    </rPh>
    <rPh sb="14" eb="15">
      <t>ジ</t>
    </rPh>
    <phoneticPr fontId="4"/>
  </si>
  <si>
    <t>ファイル名取得＆操作</t>
    <phoneticPr fontId="4"/>
  </si>
  <si>
    <t>for(リスト指定)</t>
    <rPh sb="7" eb="9">
      <t>シテイ</t>
    </rPh>
    <phoneticPr fontId="4"/>
  </si>
  <si>
    <t>while(無限ループ)</t>
    <rPh sb="6" eb="8">
      <t>ムゲン</t>
    </rPh>
    <phoneticPr fontId="4"/>
  </si>
  <si>
    <t>[]内に終了条件を記載する</t>
    <rPh sb="2" eb="3">
      <t>ナイ</t>
    </rPh>
    <rPh sb="4" eb="6">
      <t>シュウリョウ</t>
    </rPh>
    <rPh sb="6" eb="8">
      <t>ジョウケン</t>
    </rPh>
    <rPh sb="9" eb="11">
      <t>キサイ</t>
    </rPh>
    <phoneticPr fontId="4"/>
  </si>
  <si>
    <t>[]内に継続条件を記載する</t>
    <rPh sb="2" eb="3">
      <t>ナイ</t>
    </rPh>
    <rPh sb="4" eb="6">
      <t>ケイゾク</t>
    </rPh>
    <rPh sb="6" eb="8">
      <t>ジョウケン</t>
    </rPh>
    <rPh sb="9" eb="11">
      <t>キサイ</t>
    </rPh>
    <phoneticPr fontId="4"/>
  </si>
  <si>
    <t>set</t>
  </si>
  <si>
    <t>set -o</t>
  </si>
  <si>
    <t>set -u</t>
  </si>
  <si>
    <t>set -x</t>
  </si>
  <si>
    <t>set -v</t>
  </si>
  <si>
    <t>set -e</t>
    <phoneticPr fontId="4"/>
  </si>
  <si>
    <t>＝set -o errexit</t>
  </si>
  <si>
    <t>set -f</t>
    <phoneticPr fontId="4"/>
  </si>
  <si>
    <t>＝「set -o noglob」。アスタリスクなどでのワイルドカードでの展開を無効化する</t>
  </si>
  <si>
    <t>set -n</t>
    <phoneticPr fontId="4"/>
  </si>
  <si>
    <t>＝「set -o noexec」</t>
  </si>
  <si>
    <t>set +B</t>
    <phoneticPr fontId="4"/>
  </si>
  <si>
    <t>＝「set +o braceexpand」。デフォルトは有効(ブレース展開する)</t>
  </si>
  <si>
    <t>set -C</t>
    <phoneticPr fontId="4"/>
  </si>
  <si>
    <t>＝「set -o noclobber」。リダイレクト時の追記はできる。</t>
  </si>
  <si>
    <t>set -a</t>
    <phoneticPr fontId="4"/>
  </si>
  <si>
    <t>＝「set -o allexport」。シェル変数の定義と同時にexportし、環境変数としても使用可能にする。</t>
  </si>
  <si>
    <t>set(変数一覧表示)</t>
    <phoneticPr fontId="4"/>
  </si>
  <si>
    <t>set(シェルオプション表示)</t>
    <phoneticPr fontId="4"/>
  </si>
  <si>
    <t>set(エラー発生時強制終了)</t>
    <phoneticPr fontId="4"/>
  </si>
  <si>
    <t>set(未定義変数使用時強制終了)</t>
    <phoneticPr fontId="4"/>
  </si>
  <si>
    <t>set(パス名展開無効化)</t>
    <phoneticPr fontId="4"/>
  </si>
  <si>
    <t>set(実行コマンド出力)</t>
    <phoneticPr fontId="4"/>
  </si>
  <si>
    <t>set(構文チェックのみ実施(実行しない))</t>
    <phoneticPr fontId="4"/>
  </si>
  <si>
    <t>set(ブレース展開無効化)</t>
    <phoneticPr fontId="4"/>
  </si>
  <si>
    <t>set(リダイレクト時ファイル上書き無効化)</t>
    <phoneticPr fontId="4"/>
  </si>
  <si>
    <t>set(作成/変更変数の自動的エクスポート)</t>
    <phoneticPr fontId="4"/>
  </si>
  <si>
    <t>シェル設定</t>
    <rPh sb="3" eb="5">
      <t>セッテイ</t>
    </rPh>
    <phoneticPr fontId="4"/>
  </si>
  <si>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</si>
  <si>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</si>
  <si>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</si>
  <si>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</si>
  <si>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</si>
  <si>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</si>
  <si>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</si>
  <si>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</si>
  <si>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</si>
  <si>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</si>
  <si>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</si>
  <si>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4"/>
  </si>
  <si>
    <t>shopt -s nullglob</t>
    <phoneticPr fontId="4"/>
  </si>
  <si>
    <t>shopt</t>
    <phoneticPr fontId="4"/>
  </si>
  <si>
    <t>dotfilesもワイルドカードにマッチさせる</t>
    <phoneticPr fontId="4"/>
  </si>
  <si>
    <t>GNU ranlib プログラムは GNU ar の別名。`ranlib` と `ar -s` は完全に等価。</t>
    <phoneticPr fontId="4"/>
  </si>
  <si>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4"/>
  </si>
  <si>
    <t>printf "%03d\n" 10</t>
    <phoneticPr fontId="4"/>
  </si>
  <si>
    <t>010</t>
    <phoneticPr fontId="4"/>
  </si>
  <si>
    <t>セクションサイズ取得</t>
    <rPh sb="8" eb="10">
      <t>シュトク</t>
    </rPh>
    <phoneticPr fontId="4"/>
  </si>
  <si>
    <t>nkf -Lm xxx.txt &gt; mac.txt</t>
    <phoneticPr fontId="4"/>
  </si>
  <si>
    <t>nkf -Lu xxx.txt &gt; unix.txt</t>
    <phoneticPr fontId="4"/>
  </si>
  <si>
    <t>nkf -Lw xxx.txt &gt; windows.txt</t>
    <phoneticPr fontId="4"/>
  </si>
  <si>
    <t>nkf -Lw --overwrite unix.txt</t>
    <phoneticPr fontId="4"/>
  </si>
  <si>
    <t>nkf --guess xxx.txt</t>
    <phoneticPr fontId="4"/>
  </si>
  <si>
    <t>文字コード判定</t>
    <rPh sb="0" eb="2">
      <t>モジ</t>
    </rPh>
    <rPh sb="5" eb="7">
      <t>ハンテイ</t>
    </rPh>
    <phoneticPr fontId="4"/>
  </si>
  <si>
    <t>sed -i 's/$/\r/g' unix.txt</t>
    <phoneticPr fontId="4"/>
  </si>
  <si>
    <t>sed -i 's/\r//g' windows.txt</t>
    <phoneticPr fontId="4"/>
  </si>
  <si>
    <t>sed -i 's/\r/\n/g' mac.txt</t>
    <phoneticPr fontId="4"/>
  </si>
  <si>
    <t>改行コード変換＠sed(Mac→Unix)</t>
    <phoneticPr fontId="4"/>
  </si>
  <si>
    <t>改行コード変換＠sed(Windows→Unix)</t>
    <phoneticPr fontId="4"/>
  </si>
  <si>
    <t>改行コード変換＠sed(Unix→Windows)</t>
    <phoneticPr fontId="4"/>
  </si>
  <si>
    <t>改行コード変換＠nkf(xxx→Unix)</t>
    <phoneticPr fontId="4"/>
  </si>
  <si>
    <t>改行コード変換＠nkf(xxx→Windows)</t>
    <phoneticPr fontId="4"/>
  </si>
  <si>
    <t>改行コード変換＠nkf(xxx→Mac)</t>
    <phoneticPr fontId="4"/>
  </si>
  <si>
    <t>改行コード変換＠nkf 上書き</t>
    <rPh sb="12" eb="14">
      <t>ウワガ</t>
    </rPh>
    <phoneticPr fontId="4"/>
  </si>
  <si>
    <t>改行コード判定＠nkf</t>
    <rPh sb="0" eb="2">
      <t>カイギョウ</t>
    </rPh>
    <rPh sb="5" eb="7">
      <t>ハンテイ</t>
    </rPh>
    <phoneticPr fontId="4"/>
  </si>
  <si>
    <t>所有者変更(change owner)</t>
    <rPh sb="0" eb="3">
      <t>ショユウシャ</t>
    </rPh>
    <rPh sb="3" eb="5">
      <t>ヘンコウ</t>
    </rPh>
    <phoneticPr fontId="4"/>
  </si>
  <si>
    <t>chown &lt;owner_name&gt; file</t>
  </si>
  <si>
    <t>awk -f standard_deviation.awk nrand.txt</t>
    <phoneticPr fontId="4"/>
  </si>
  <si>
    <t>TCP/IPアドレス情報表示(MACアドレス取得)</t>
    <rPh sb="22" eb="24">
      <t>シュトク</t>
    </rPh>
    <phoneticPr fontId="4"/>
  </si>
  <si>
    <t>ifconfig wifi0 | grep "ether"</t>
    <phoneticPr fontId="4"/>
  </si>
  <si>
    <t>ifconfig wifi0 | grep "inet "</t>
    <phoneticPr fontId="4"/>
  </si>
  <si>
    <t>TCP/IPアドレス情報表示(IPアドレス取得)</t>
    <rPh sb="21" eb="23">
      <t>シュトク</t>
    </rPh>
    <phoneticPr fontId="4"/>
  </si>
  <si>
    <t>実行優先度を「15」低くして、updatedbコマンドを実行。niceness…プロセスの優先度を示す値(＝アプリケーション実行順序)(≠スケジュール優先度)。デフォルトは+10</t>
    <phoneticPr fontId="4"/>
  </si>
  <si>
    <t>スクリプト自動実行＠at</t>
    <phoneticPr fontId="4"/>
  </si>
  <si>
    <t>crontab -e</t>
    <phoneticPr fontId="4"/>
  </si>
  <si>
    <t>スクリプト自動実行＠cron 設定</t>
    <rPh sb="15" eb="17">
      <t>セッテイ</t>
    </rPh>
    <phoneticPr fontId="4"/>
  </si>
  <si>
    <t>crontab -l</t>
    <phoneticPr fontId="4"/>
  </si>
  <si>
    <t>スクリプト自動実行＠cron 設定情報表示</t>
    <rPh sb="15" eb="17">
      <t>セッテイ</t>
    </rPh>
    <rPh sb="17" eb="19">
      <t>ジョウホウ</t>
    </rPh>
    <rPh sb="19" eb="21">
      <t>ヒョウジ</t>
    </rPh>
    <phoneticPr fontId="4"/>
  </si>
  <si>
    <t>スクリプト自動実行＠cron 設定削除</t>
    <rPh sb="15" eb="17">
      <t>セッテイ</t>
    </rPh>
    <rPh sb="17" eb="19">
      <t>サクジョ</t>
    </rPh>
    <phoneticPr fontId="4"/>
  </si>
  <si>
    <t>crontab -r</t>
    <phoneticPr fontId="4"/>
  </si>
  <si>
    <t>例）毎月10日の午前4時59日にコマンド「/home/test01/test.sh」を実行する場合、「59 04 10 * * /home/test01/test.sh」とする</t>
    <rPh sb="0" eb="1">
      <t>レイ</t>
    </rPh>
    <rPh sb="47" eb="49">
      <t>バアイ</t>
    </rPh>
    <phoneticPr fontId="4"/>
  </si>
  <si>
    <t>開発</t>
    <rPh sb="0" eb="2">
      <t>カイハツ</t>
    </rPh>
    <phoneticPr fontId="4"/>
  </si>
  <si>
    <t>ネットワーク</t>
    <phoneticPr fontId="4"/>
  </si>
  <si>
    <t>午後4時にスクリプトを自動実行。atコマンドは未来に一度だけコマンドを実行してほしい場合に使用する。</t>
    <rPh sb="45" eb="47">
      <t>シヨウ</t>
    </rPh>
    <phoneticPr fontId="4"/>
  </si>
  <si>
    <t>正規表現一致確認</t>
    <rPh sb="0" eb="2">
      <t>セイキ</t>
    </rPh>
    <rPh sb="2" eb="4">
      <t>ヒョウゲン</t>
    </rPh>
    <rPh sb="4" eb="6">
      <t>イッチ</t>
    </rPh>
    <rPh sb="6" eb="8">
      <t>カクニン</t>
    </rPh>
    <phoneticPr fontId="4"/>
  </si>
  <si>
    <t>aaa bbbb</t>
    <phoneticPr fontId="4"/>
  </si>
  <si>
    <t>排他ロック</t>
    <rPh sb="0" eb="2">
      <t>ハイタ</t>
    </rPh>
    <phoneticPr fontId="4"/>
  </si>
  <si>
    <t>共有ロック</t>
    <rPh sb="0" eb="2">
      <t>キョウユウ</t>
    </rPh>
    <phoneticPr fontId="4"/>
  </si>
  <si>
    <t>flock -x /tmp/test_lockfile vim xxx.txt</t>
    <phoneticPr fontId="4"/>
  </si>
  <si>
    <t>flock -s /tmp/test_lockfile vim xxx.txt</t>
    <phoneticPr fontId="4"/>
  </si>
  <si>
    <t>排他ロックは更新と参照を禁止する。そのため、他ターミナルにおいてxxx.txtは参照すらできない。</t>
    <rPh sb="0" eb="2">
      <t>ハイタ</t>
    </rPh>
    <rPh sb="22" eb="23">
      <t>ホカ</t>
    </rPh>
    <rPh sb="40" eb="42">
      <t>サンショウ</t>
    </rPh>
    <phoneticPr fontId="4"/>
  </si>
  <si>
    <t>共有ロックは更新のみを禁止する。そのため、他ターミナルにおいてxxx.txtは参照できるが、更新はできない。</t>
    <rPh sb="0" eb="2">
      <t>キョウユウ</t>
    </rPh>
    <rPh sb="46" eb="48">
      <t>コウシン</t>
    </rPh>
    <phoneticPr fontId="4"/>
  </si>
  <si>
    <t>shell</t>
    <phoneticPr fontId="4"/>
  </si>
  <si>
    <t>shell</t>
    <phoneticPr fontId="4"/>
  </si>
  <si>
    <t>ファイルリネーム1</t>
    <phoneticPr fontId="4"/>
  </si>
  <si>
    <t>ファイルリネーム2</t>
    <phoneticPr fontId="4"/>
  </si>
  <si>
    <t>ファイルコピー(パーミッション保持)</t>
  </si>
  <si>
    <t>cp -p file.txt aaa/file2.txt</t>
    <phoneticPr fontId="4"/>
  </si>
  <si>
    <t>ファイル読込（一行ずつ）</t>
    <phoneticPr fontId="4"/>
  </si>
  <si>
    <t>一時的空ファイル/ディレクトリ作成</t>
    <phoneticPr fontId="4"/>
  </si>
  <si>
    <t>ファイルコピー(ディレクトリ作成＆コピー)</t>
    <rPh sb="14" eb="16">
      <t>サクセイ</t>
    </rPh>
    <phoneticPr fontId="4"/>
  </si>
  <si>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</si>
  <si>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4"/>
  </si>
  <si>
    <t>ブック指定（ブック名指定）</t>
    <rPh sb="3" eb="5">
      <t>シテイ</t>
    </rPh>
    <rPh sb="9" eb="10">
      <t>メイ</t>
    </rPh>
    <rPh sb="10" eb="12">
      <t>シテイ</t>
    </rPh>
    <phoneticPr fontId="4"/>
  </si>
  <si>
    <t>ブック指定（インデックス指定）</t>
    <rPh sb="3" eb="5">
      <t>シテイ</t>
    </rPh>
    <rPh sb="12" eb="14">
      <t>シテイ</t>
    </rPh>
    <phoneticPr fontId="4"/>
  </si>
  <si>
    <t>ブック指定（アクティブ）</t>
    <rPh sb="3" eb="5">
      <t>シテイ</t>
    </rPh>
    <phoneticPr fontId="4"/>
  </si>
  <si>
    <t>ブック指定（自ブック）</t>
    <rPh sb="3" eb="5">
      <t>シテイ</t>
    </rPh>
    <rPh sb="6" eb="7">
      <t>ジ</t>
    </rPh>
    <phoneticPr fontId="4"/>
  </si>
  <si>
    <t>Workbooks("ブック名")</t>
    <phoneticPr fontId="4"/>
  </si>
  <si>
    <t>Workbooks(1)</t>
    <phoneticPr fontId="4"/>
  </si>
  <si>
    <t>1オリジン</t>
    <phoneticPr fontId="4"/>
  </si>
  <si>
    <t>ActiveWorkbook</t>
    <phoneticPr fontId="4"/>
  </si>
  <si>
    <t>ThisWorkbook</t>
    <phoneticPr fontId="4"/>
  </si>
  <si>
    <t>Worksheets("シート名")</t>
    <phoneticPr fontId="4"/>
  </si>
  <si>
    <t>Worksheets(1)</t>
    <phoneticPr fontId="4"/>
  </si>
  <si>
    <t>ActiveSheet</t>
    <phoneticPr fontId="4"/>
  </si>
  <si>
    <t>シート指定（インデックス指定）</t>
    <rPh sb="3" eb="5">
      <t>シテイ</t>
    </rPh>
    <rPh sb="12" eb="14">
      <t>シテイ</t>
    </rPh>
    <phoneticPr fontId="4"/>
  </si>
  <si>
    <t>シート指定（アクティブ）</t>
    <rPh sb="3" eb="5">
      <t>シテイ</t>
    </rPh>
    <phoneticPr fontId="4"/>
  </si>
  <si>
    <t>シート指定（シート名指定）</t>
    <rPh sb="3" eb="5">
      <t>シテイ</t>
    </rPh>
    <rPh sb="9" eb="10">
      <t>メイ</t>
    </rPh>
    <rPh sb="10" eb="12">
      <t>シテイ</t>
    </rPh>
    <phoneticPr fontId="4"/>
  </si>
  <si>
    <t>シート指定（自シート）</t>
    <rPh sb="3" eb="5">
      <t>シテイ</t>
    </rPh>
    <rPh sb="6" eb="7">
      <t>ジ</t>
    </rPh>
    <phoneticPr fontId="4"/>
  </si>
  <si>
    <t>Worksheets(Me.Name)</t>
    <phoneticPr fontId="4"/>
  </si>
  <si>
    <t>各シートオブジェクト内でのみ使用可能</t>
    <rPh sb="0" eb="1">
      <t>カク</t>
    </rPh>
    <rPh sb="10" eb="11">
      <t>ナイ</t>
    </rPh>
    <rPh sb="14" eb="16">
      <t>シヨウ</t>
    </rPh>
    <rPh sb="16" eb="18">
      <t>カノウ</t>
    </rPh>
    <phoneticPr fontId="4"/>
  </si>
  <si>
    <t>: # 何もしない</t>
    <phoneticPr fontId="4"/>
  </si>
  <si>
    <t>if (何もしない)</t>
    <rPh sb="4" eb="5">
      <t>ナニ</t>
    </rPh>
    <phoneticPr fontId="4"/>
  </si>
  <si>
    <t xml:space="preserve"> </t>
    <phoneticPr fontId="4"/>
  </si>
  <si>
    <t>for(引数操作＠for each形式)</t>
    <rPh sb="4" eb="6">
      <t>ヒキスウ</t>
    </rPh>
    <rPh sb="6" eb="8">
      <t>ソウサ</t>
    </rPh>
    <rPh sb="17" eb="19">
      <t>ケイシキ</t>
    </rPh>
    <phoneticPr fontId="4"/>
  </si>
  <si>
    <t>for(引数操作＠配列形式)</t>
    <rPh sb="4" eb="6">
      <t>ヒキスウ</t>
    </rPh>
    <rPh sb="6" eb="8">
      <t>ソウサ</t>
    </rPh>
    <rPh sb="9" eb="11">
      <t>ハイレツ</t>
    </rPh>
    <rPh sb="11" eb="13">
      <t>ケイシキ</t>
    </rPh>
    <phoneticPr fontId="4"/>
  </si>
  <si>
    <t>dpkg -l &lt;package&gt;</t>
    <phoneticPr fontId="4"/>
  </si>
  <si>
    <t>dpkg -L &lt;package&gt;</t>
    <phoneticPr fontId="4"/>
  </si>
  <si>
    <t>パッケージ格納先確認</t>
    <rPh sb="5" eb="7">
      <t>カクノウ</t>
    </rPh>
    <rPh sb="7" eb="8">
      <t>サキ</t>
    </rPh>
    <rPh sb="8" eb="10">
      <t>カクニン</t>
    </rPh>
    <phoneticPr fontId="4"/>
  </si>
  <si>
    <t>パッケージ検索</t>
    <rPh sb="5" eb="7">
      <t>ケンサク</t>
    </rPh>
    <phoneticPr fontId="4"/>
  </si>
  <si>
    <t>パッケージ一覧表示</t>
    <phoneticPr fontId="4"/>
  </si>
  <si>
    <t>パッケージバージョン一覧確認</t>
    <phoneticPr fontId="4"/>
  </si>
  <si>
    <t>アップブレード可能パッケージ確認</t>
    <rPh sb="7" eb="9">
      <t>カノウ</t>
    </rPh>
    <rPh sb="14" eb="16">
      <t>カクニン</t>
    </rPh>
    <phoneticPr fontId="4"/>
  </si>
  <si>
    <t>パッケージ更新(特定パッケージのみ)</t>
    <rPh sb="5" eb="7">
      <t>コウシン</t>
    </rPh>
    <rPh sb="8" eb="10">
      <t>トクテイ</t>
    </rPh>
    <phoneticPr fontId="4"/>
  </si>
  <si>
    <t>パッケージインストール</t>
  </si>
  <si>
    <t>パッケージ一覧更新</t>
  </si>
  <si>
    <t>パッケージ更新</t>
  </si>
  <si>
    <t>パッケージ情報表示</t>
    <rPh sb="5" eb="7">
      <t>ジョウホウ</t>
    </rPh>
    <rPh sb="7" eb="9">
      <t>ヒョウジ</t>
    </rPh>
    <phoneticPr fontId="4"/>
  </si>
  <si>
    <t>パッケージインストールファイル表示</t>
    <phoneticPr fontId="4"/>
  </si>
  <si>
    <t>パッケージ名はワイルドカードで指定可能</t>
    <rPh sb="5" eb="6">
      <t>メイ</t>
    </rPh>
    <rPh sb="15" eb="17">
      <t>シテイ</t>
    </rPh>
    <rPh sb="17" eb="19">
      <t>カノウ</t>
    </rPh>
    <phoneticPr fontId="4"/>
  </si>
  <si>
    <t>パッケージ削除(不要なものを自動削除)</t>
    <rPh sb="8" eb="10">
      <t>フヨウ</t>
    </rPh>
    <rPh sb="14" eb="16">
      <t>ジドウ</t>
    </rPh>
    <rPh sb="16" eb="18">
      <t>サクジョ</t>
    </rPh>
    <phoneticPr fontId="4"/>
  </si>
  <si>
    <t>sudo apt install &lt;package&gt;</t>
  </si>
  <si>
    <t>sudo apt install --only-upgrade &lt;package&gt;</t>
  </si>
  <si>
    <t>sudo apt update</t>
  </si>
  <si>
    <t>sudo apt upgrade &lt;package&gt;</t>
  </si>
  <si>
    <t>sudo apt remove &lt;package&gt;</t>
  </si>
  <si>
    <t>sudo apt list --installed</t>
  </si>
  <si>
    <t>sudo apt list -a &lt;package&gt;</t>
  </si>
  <si>
    <t>sudo apt list --upgradable</t>
  </si>
  <si>
    <t>sudo apt show &lt;package&gt;</t>
  </si>
  <si>
    <t>sudo apt purge &lt;package&gt;</t>
    <phoneticPr fontId="4"/>
  </si>
  <si>
    <t>パッケージ削除(パッケージ＋設定削除)</t>
    <rPh sb="14" eb="16">
      <t>セッテイ</t>
    </rPh>
    <rPh sb="16" eb="18">
      <t>サクジョ</t>
    </rPh>
    <phoneticPr fontId="4"/>
  </si>
  <si>
    <t>パッケージ削除(パッケージのみ削除)</t>
    <phoneticPr fontId="4"/>
  </si>
  <si>
    <t>sudo apt autoremove</t>
    <phoneticPr fontId="4"/>
  </si>
  <si>
    <t xml:space="preserve"> </t>
    <phoneticPr fontId="4"/>
  </si>
  <si>
    <t>netsh int ip set address "Wi-Fi" static &lt;IPアドレス&gt; &lt;サブネットマスク&gt; &lt;デフォルトゲートウェイ&gt;</t>
    <phoneticPr fontId="4"/>
  </si>
  <si>
    <t>netsh int ip set address "Wi-Fi" dhcp</t>
    <phoneticPr fontId="4"/>
  </si>
  <si>
    <t>動的IPアドレス化</t>
    <rPh sb="8" eb="9">
      <t>カ</t>
    </rPh>
    <phoneticPr fontId="4"/>
  </si>
  <si>
    <t>静的IPアドレス化</t>
    <rPh sb="0" eb="2">
      <t>セイテキ</t>
    </rPh>
    <rPh sb="8" eb="9">
      <t>カ</t>
    </rPh>
    <phoneticPr fontId="4"/>
  </si>
  <si>
    <t>grep -lr 'source_keyword' | xargs sed -i -e 's/source_keyword/target_keyword/g'</t>
    <phoneticPr fontId="4"/>
  </si>
  <si>
    <t>出力（改行付与なし）</t>
    <rPh sb="3" eb="5">
      <t>カイギョウ</t>
    </rPh>
    <rPh sb="5" eb="7">
      <t>フヨ</t>
    </rPh>
    <phoneticPr fontId="4"/>
  </si>
  <si>
    <t>出力（改行付与）</t>
    <rPh sb="3" eb="5">
      <t>カイギョウ</t>
    </rPh>
    <rPh sb="5" eb="7">
      <t>フヨ</t>
    </rPh>
    <phoneticPr fontId="4"/>
  </si>
  <si>
    <t>print("python", end="")</t>
    <phoneticPr fontId="4"/>
  </si>
  <si>
    <t>出力（printf形式）</t>
    <rPh sb="9" eb="11">
      <t>ケイシキ</t>
    </rPh>
    <phoneticPr fontId="4"/>
  </si>
  <si>
    <t>print()とは違い、文字列末尾に改行を付与せず出力する</t>
    <rPh sb="9" eb="10">
      <t>チガ</t>
    </rPh>
    <rPh sb="12" eb="15">
      <t>モジレツ</t>
    </rPh>
    <phoneticPr fontId="4"/>
  </si>
  <si>
    <t>list = ['1','2','3','4','5'] → 5, 4, 3, 2, 1</t>
    <phoneticPr fontId="4"/>
  </si>
  <si>
    <t>リスト 反転（イテレータ）</t>
    <rPh sb="4" eb="6">
      <t>ハンテン</t>
    </rPh>
    <phoneticPr fontId="4"/>
  </si>
  <si>
    <t>list.reverse()</t>
    <phoneticPr fontId="4"/>
  </si>
  <si>
    <t>リスト 反転</t>
    <phoneticPr fontId="4"/>
  </si>
  <si>
    <t>list = ['1','2','3','4','5'] → ['5', '4', '3', '2', '1']</t>
    <phoneticPr fontId="4"/>
  </si>
  <si>
    <t>プロセス情報表示(親子関係表示)</t>
  </si>
  <si>
    <t>プロセス情報表示(他ユーザプロセス表示)</t>
  </si>
  <si>
    <t>プロセス情報表示(ユーザ名表示)</t>
  </si>
  <si>
    <t>プロセス情報表示(制御端末にないデーモン等のプロセス表示)</t>
  </si>
  <si>
    <t>プロセス情報表示(全プロセス表示)</t>
  </si>
  <si>
    <t>プロセス情報表示(詳細情報表示)</t>
  </si>
  <si>
    <t>プロセス情報表示(特定PIDプロセス情報のみ表示)</t>
  </si>
  <si>
    <t>プロセス情報表示(指定プロセスのみ表示)</t>
  </si>
  <si>
    <t>プロセス情報表示(長い行折り返し表示)</t>
  </si>
  <si>
    <t>ps f</t>
  </si>
  <si>
    <t>ps a</t>
  </si>
  <si>
    <t>ps u</t>
  </si>
  <si>
    <t>ps x</t>
  </si>
  <si>
    <t>ps e</t>
  </si>
  <si>
    <t>ps l</t>
  </si>
  <si>
    <t>ps p</t>
  </si>
  <si>
    <t>ps -C &lt;process_name&gt;</t>
  </si>
  <si>
    <t>ps w</t>
  </si>
  <si>
    <t>import math</t>
    <phoneticPr fontId="4"/>
  </si>
  <si>
    <t>少数 正数 四捨五入（整数）</t>
    <rPh sb="11" eb="13">
      <t>セイスウ</t>
    </rPh>
    <phoneticPr fontId="4"/>
  </si>
  <si>
    <t>少数 正数 切り上げ（整数）</t>
    <rPh sb="11" eb="13">
      <t>セイスウ</t>
    </rPh>
    <phoneticPr fontId="4"/>
  </si>
  <si>
    <t>少数 負数 切り上げ（第一位）</t>
    <phoneticPr fontId="4"/>
  </si>
  <si>
    <t>少数 正数 切り上げ（第一位）</t>
    <phoneticPr fontId="4"/>
  </si>
  <si>
    <t>少数 負数 切り上げ（整数）</t>
    <phoneticPr fontId="4"/>
  </si>
  <si>
    <t>少数 正数 切り捨て（整数）</t>
    <phoneticPr fontId="4"/>
  </si>
  <si>
    <t>少数 負数 切り捨て（整数）</t>
    <phoneticPr fontId="4"/>
  </si>
  <si>
    <t>少数 正数 四捨五入（第一位）</t>
    <phoneticPr fontId="4"/>
  </si>
  <si>
    <t>実行結果</t>
    <rPh sb="0" eb="2">
      <t>ジッコウ</t>
    </rPh>
    <rPh sb="2" eb="4">
      <t>ケッカ</t>
    </rPh>
    <phoneticPr fontId="4"/>
  </si>
  <si>
    <t>matchobj.group(3)の開始位置を返却</t>
    <rPh sb="18" eb="20">
      <t>カイシ</t>
    </rPh>
    <rPh sb="20" eb="22">
      <t>イチ</t>
    </rPh>
    <rPh sb="23" eb="25">
      <t>ヘンキャク</t>
    </rPh>
    <phoneticPr fontId="4"/>
  </si>
  <si>
    <t>matchobj.group(3)の終了位置を返却</t>
    <rPh sb="18" eb="20">
      <t>シュウリョウ</t>
    </rPh>
    <phoneticPr fontId="4"/>
  </si>
  <si>
    <t>8</t>
    <phoneticPr fontId="4"/>
  </si>
  <si>
    <t xml:space="preserve"> </t>
    <phoneticPr fontId="4"/>
  </si>
  <si>
    <t>1</t>
    <phoneticPr fontId="4"/>
  </si>
  <si>
    <t>先頭の要素のみ</t>
    <phoneticPr fontId="4"/>
  </si>
  <si>
    <t>0</t>
    <phoneticPr fontId="4"/>
  </si>
  <si>
    <t>第二引数:開始位置(0オリジン、省略可)、第三引数:終了位置(0オリジン、省略可)、見つからない場合は「-1」が返される</t>
    <rPh sb="5" eb="7">
      <t>カイシ</t>
    </rPh>
    <rPh sb="7" eb="9">
      <t>イチ</t>
    </rPh>
    <rPh sb="16" eb="18">
      <t>ショウリャク</t>
    </rPh>
    <rPh sb="18" eb="19">
      <t>カ</t>
    </rPh>
    <rPh sb="21" eb="23">
      <t>ダイサン</t>
    </rPh>
    <rPh sb="26" eb="28">
      <t>シュウリョウ</t>
    </rPh>
    <phoneticPr fontId="4"/>
  </si>
  <si>
    <t>4</t>
    <phoneticPr fontId="4"/>
  </si>
  <si>
    <t>3.5555 =&gt; 4</t>
    <phoneticPr fontId="4"/>
  </si>
  <si>
    <t>3.5555 =&gt; 3.6</t>
    <phoneticPr fontId="4"/>
  </si>
  <si>
    <t>3.5555 =&gt; 3.56</t>
    <phoneticPr fontId="4"/>
  </si>
  <si>
    <t>round()は偶数へ丸めるため、quantize()を使用する</t>
    <rPh sb="8" eb="10">
      <t>グウスウ</t>
    </rPh>
    <rPh sb="11" eb="12">
      <t>マル</t>
    </rPh>
    <rPh sb="28" eb="30">
      <t>シヨウ</t>
    </rPh>
    <phoneticPr fontId="4"/>
  </si>
  <si>
    <t>math.floor(3.5555)</t>
    <phoneticPr fontId="4"/>
  </si>
  <si>
    <t>math.ceil(-3.5555)</t>
    <phoneticPr fontId="4"/>
  </si>
  <si>
    <t>3.5555 =&gt; 3</t>
    <phoneticPr fontId="4"/>
  </si>
  <si>
    <t>3.5555 =&gt; 3.55</t>
    <phoneticPr fontId="4"/>
  </si>
  <si>
    <t>3.5555 =&gt; -3</t>
    <phoneticPr fontId="4"/>
  </si>
  <si>
    <t>3.5555 =&gt; -3.55</t>
    <phoneticPr fontId="4"/>
  </si>
  <si>
    <t>正数の場合は、切り捨て＝切り下げ</t>
    <rPh sb="0" eb="2">
      <t>セイスウ</t>
    </rPh>
    <rPh sb="3" eb="5">
      <t>バアイ</t>
    </rPh>
    <rPh sb="7" eb="8">
      <t>キ</t>
    </rPh>
    <rPh sb="9" eb="10">
      <t>ス</t>
    </rPh>
    <rPh sb="12" eb="13">
      <t>キ</t>
    </rPh>
    <rPh sb="14" eb="15">
      <t>サ</t>
    </rPh>
    <phoneticPr fontId="4"/>
  </si>
  <si>
    <t>負数の場合は、切り捨て＝切り上げ</t>
    <rPh sb="0" eb="2">
      <t>フスウ</t>
    </rPh>
    <rPh sb="3" eb="5">
      <t>バアイ</t>
    </rPh>
    <rPh sb="12" eb="13">
      <t>キ</t>
    </rPh>
    <rPh sb="14" eb="15">
      <t>ア</t>
    </rPh>
    <phoneticPr fontId="4"/>
  </si>
  <si>
    <t>少数 正数 切り捨て（第一位）</t>
    <phoneticPr fontId="4"/>
  </si>
  <si>
    <t>少数 正数 切り捨て（第二位）</t>
    <rPh sb="12" eb="13">
      <t>ニ</t>
    </rPh>
    <phoneticPr fontId="4"/>
  </si>
  <si>
    <t>少数 負数 切り捨て（第一位）</t>
    <phoneticPr fontId="4"/>
  </si>
  <si>
    <t>少数 負数 切り捨て（第二位）</t>
    <rPh sb="12" eb="13">
      <t>ニ</t>
    </rPh>
    <phoneticPr fontId="4"/>
  </si>
  <si>
    <t>3.5555 =&gt; 3.5</t>
    <phoneticPr fontId="4"/>
  </si>
  <si>
    <t>3.5555 =&gt; -3.5</t>
    <phoneticPr fontId="4"/>
  </si>
  <si>
    <t>3.5555 =&gt; -4</t>
    <phoneticPr fontId="4"/>
  </si>
  <si>
    <t>3.5555 =&gt; -3.6</t>
    <phoneticPr fontId="4"/>
  </si>
  <si>
    <t>3.5555 =&gt; -3.56</t>
    <phoneticPr fontId="4"/>
  </si>
  <si>
    <t>math.ceil(3.5555)</t>
    <phoneticPr fontId="4"/>
  </si>
  <si>
    <t>math.floor(-3.5555)</t>
    <phoneticPr fontId="4"/>
  </si>
  <si>
    <t>少数 負数 四捨五入（整数）</t>
    <phoneticPr fontId="4"/>
  </si>
  <si>
    <t>-3.5555 =&gt; -4</t>
    <phoneticPr fontId="4"/>
  </si>
  <si>
    <t>-3.5555 =&gt; -3.6</t>
    <phoneticPr fontId="4"/>
  </si>
  <si>
    <t>-3.5555 =&gt; -3.56</t>
    <phoneticPr fontId="4"/>
  </si>
  <si>
    <t>リスト 初期化</t>
    <rPh sb="4" eb="7">
      <t>ショキカ</t>
    </rPh>
    <phoneticPr fontId="4"/>
  </si>
  <si>
    <t>0 オリジン</t>
  </si>
  <si>
    <t>0 オリジンの1番目の要素をpop</t>
    <rPh sb="8" eb="9">
      <t>バン</t>
    </rPh>
    <rPh sb="9" eb="10">
      <t>メ</t>
    </rPh>
    <rPh sb="11" eb="13">
      <t>ヨウソ</t>
    </rPh>
    <phoneticPr fontId="4"/>
  </si>
  <si>
    <t>タプル 初期化</t>
    <rPh sb="4" eb="7">
      <t>ショキカ</t>
    </rPh>
    <phoneticPr fontId="4"/>
  </si>
  <si>
    <t>タプル 参照</t>
  </si>
  <si>
    <t>タプル 削除</t>
  </si>
  <si>
    <t>タプル 末尾取り出し</t>
  </si>
  <si>
    <t>タプル 要素番号取得</t>
  </si>
  <si>
    <t>タプル 要素数取得</t>
  </si>
  <si>
    <t>タプル 連結</t>
  </si>
  <si>
    <t>タプル 反転</t>
  </si>
  <si>
    <t xml:space="preserve"> </t>
    <phoneticPr fontId="4"/>
  </si>
  <si>
    <t>position = ("123-4567", "東京都・・・", 35.686321, 139.782211)</t>
    <phoneticPr fontId="4"/>
  </si>
  <si>
    <t>position[0]</t>
    <phoneticPr fontId="4"/>
  </si>
  <si>
    <t>123-4567</t>
    <phoneticPr fontId="4"/>
  </si>
  <si>
    <t>-</t>
    <phoneticPr fontId="4"/>
  </si>
  <si>
    <t>len(position)</t>
    <phoneticPr fontId="4"/>
  </si>
  <si>
    <t>タプル 追加</t>
    <phoneticPr fontId="4"/>
  </si>
  <si>
    <t>タプルは変更不可（タプルの作り直しが必要）</t>
    <rPh sb="4" eb="6">
      <t>ヘンコウ</t>
    </rPh>
    <rPh sb="6" eb="8">
      <t>フカ</t>
    </rPh>
    <rPh sb="13" eb="14">
      <t>ツク</t>
    </rPh>
    <rPh sb="15" eb="16">
      <t>ナオ</t>
    </rPh>
    <rPh sb="18" eb="20">
      <t>ヒツヨウ</t>
    </rPh>
    <phoneticPr fontId="4"/>
  </si>
  <si>
    <t>4</t>
    <phoneticPr fontId="4"/>
  </si>
  <si>
    <t>タプル 参照（複数要素）</t>
    <rPh sb="7" eb="9">
      <t>フクスウ</t>
    </rPh>
    <rPh sb="9" eb="11">
      <t>ヨウソ</t>
    </rPh>
    <phoneticPr fontId="4"/>
  </si>
  <si>
    <t>position[0:2]</t>
    <phoneticPr fontId="4"/>
  </si>
  <si>
    <t>('123-4567', '東京都・・・')</t>
  </si>
  <si>
    <t>0:2は、0始まりで2個分の要素を取り出すという意味</t>
    <rPh sb="6" eb="7">
      <t>ハジ</t>
    </rPh>
    <rPh sb="11" eb="13">
      <t>コブン</t>
    </rPh>
    <rPh sb="14" eb="16">
      <t>ヨウソ</t>
    </rPh>
    <rPh sb="17" eb="18">
      <t>ト</t>
    </rPh>
    <rPh sb="19" eb="20">
      <t>ダ</t>
    </rPh>
    <rPh sb="24" eb="26">
      <t>イミ</t>
    </rPh>
    <phoneticPr fontId="4"/>
  </si>
  <si>
    <t>yuubin, address, latitude, longitude = position</t>
    <phoneticPr fontId="4"/>
  </si>
  <si>
    <t>要素番号取得は不可</t>
    <rPh sb="0" eb="2">
      <t>ヨウソ</t>
    </rPh>
    <rPh sb="2" eb="4">
      <t>バンゴウ</t>
    </rPh>
    <rPh sb="4" eb="6">
      <t>シュトク</t>
    </rPh>
    <rPh sb="7" eb="9">
      <t>フカ</t>
    </rPh>
    <phoneticPr fontId="4"/>
  </si>
  <si>
    <t>リスト（≒変数配列）</t>
    <phoneticPr fontId="4"/>
  </si>
  <si>
    <t>タプル（≒定数配列）</t>
    <rPh sb="5" eb="7">
      <t>テイスウ</t>
    </rPh>
    <rPh sb="7" eb="9">
      <t>ハイレツ</t>
    </rPh>
    <phoneticPr fontId="4"/>
  </si>
  <si>
    <t>#!/usr/bin/env python3</t>
    <phoneticPr fontId="4"/>
  </si>
  <si>
    <t>input("press any key...")</t>
    <phoneticPr fontId="4"/>
  </si>
  <si>
    <t>クラス 定義</t>
    <rPh sb="4" eb="6">
      <t>テイギ</t>
    </rPh>
    <phoneticPr fontId="4"/>
  </si>
  <si>
    <t>クラス インスタンス生成</t>
    <phoneticPr fontId="4"/>
  </si>
  <si>
    <t>クラス インスタンス破棄</t>
    <phoneticPr fontId="4"/>
  </si>
  <si>
    <t>sample_instance = SampleClass(1, 2)</t>
    <phoneticPr fontId="4"/>
  </si>
  <si>
    <t>del sample_instance</t>
    <phoneticPr fontId="4"/>
  </si>
  <si>
    <t>アクセス修飾子は指定できず、すべてpublicとなる。privateとして扱いたい場合は識別子の先頭に"_"を付与する慣習がある。</t>
    <rPh sb="4" eb="7">
      <t>シュウショクシ</t>
    </rPh>
    <rPh sb="8" eb="10">
      <t>シテイ</t>
    </rPh>
    <rPh sb="37" eb="38">
      <t>アツカ</t>
    </rPh>
    <rPh sb="41" eb="43">
      <t>バアイ</t>
    </rPh>
    <rPh sb="44" eb="47">
      <t>シキベツシ</t>
    </rPh>
    <rPh sb="48" eb="50">
      <t>セントウ</t>
    </rPh>
    <rPh sb="55" eb="57">
      <t>フヨ</t>
    </rPh>
    <rPh sb="59" eb="61">
      <t>カンシュウ</t>
    </rPh>
    <phoneticPr fontId="4"/>
  </si>
  <si>
    <t>pythonでは「array」も使用できるが、listで実現できる</t>
    <rPh sb="16" eb="18">
      <t>シヨウ</t>
    </rPh>
    <rPh sb="28" eb="30">
      <t>ジツゲン</t>
    </rPh>
    <phoneticPr fontId="4"/>
  </si>
  <si>
    <t>type(int_var)</t>
    <phoneticPr fontId="4"/>
  </si>
  <si>
    <t>type(str_var)</t>
    <phoneticPr fontId="4"/>
  </si>
  <si>
    <t>&lt;class 'int'&gt;</t>
    <phoneticPr fontId="4"/>
  </si>
  <si>
    <t>&lt;class 'str'&gt;</t>
    <phoneticPr fontId="4"/>
  </si>
  <si>
    <t>0xff</t>
    <phoneticPr fontId="4"/>
  </si>
  <si>
    <t>0b111</t>
    <phoneticPr fontId="4"/>
  </si>
  <si>
    <t>数値リテラル(16進数)</t>
    <rPh sb="0" eb="2">
      <t>スウチ</t>
    </rPh>
    <phoneticPr fontId="4"/>
  </si>
  <si>
    <t>数値リテラル(2進数)</t>
    <rPh sb="0" eb="2">
      <t>スウチ</t>
    </rPh>
    <phoneticPr fontId="4"/>
  </si>
  <si>
    <t>2023/07/08 17:31:53</t>
    <phoneticPr fontId="4"/>
  </si>
  <si>
    <t>年月日時刻出力</t>
    <rPh sb="0" eb="3">
      <t>ネンガッピ</t>
    </rPh>
    <rPh sb="5" eb="7">
      <t>シュツリョク</t>
    </rPh>
    <phoneticPr fontId="4"/>
  </si>
  <si>
    <t>cur_datetime = datetime.now()</t>
    <phoneticPr fontId="4"/>
  </si>
  <si>
    <t>cur_datetime.strftime("%Y/%m/%d %H:%M:%S")</t>
    <phoneticPr fontId="4"/>
  </si>
  <si>
    <t>if cur_datetime &gt; prev_datetime:</t>
    <phoneticPr fontId="4"/>
  </si>
  <si>
    <t>日時設定</t>
    <rPh sb="0" eb="2">
      <t>ニチジ</t>
    </rPh>
    <rPh sb="2" eb="4">
      <t>セッテイ</t>
    </rPh>
    <phoneticPr fontId="4"/>
  </si>
  <si>
    <t>prev_datetime = datetime(2022, 12, 31, 23, 12, 59)</t>
    <phoneticPr fontId="4"/>
  </si>
  <si>
    <t>日時取得(現在)</t>
    <rPh sb="0" eb="2">
      <t>ニチジ</t>
    </rPh>
    <rPh sb="2" eb="4">
      <t>シュトク</t>
    </rPh>
    <phoneticPr fontId="4"/>
  </si>
  <si>
    <t>日時抽出(年)</t>
    <rPh sb="0" eb="2">
      <t>ニチジ</t>
    </rPh>
    <rPh sb="2" eb="4">
      <t>チュウシュツ</t>
    </rPh>
    <rPh sb="5" eb="6">
      <t>ネン</t>
    </rPh>
    <phoneticPr fontId="4"/>
  </si>
  <si>
    <t>prev_datetime.year</t>
  </si>
  <si>
    <t>prev_datetime.month</t>
  </si>
  <si>
    <t>prev_datetime.day</t>
  </si>
  <si>
    <t>prev_datetime.hour</t>
  </si>
  <si>
    <t>prev_datetime.minute</t>
  </si>
  <si>
    <t>prev_datetime.second</t>
  </si>
  <si>
    <t>日時設定(月)</t>
    <rPh sb="0" eb="2">
      <t>ニチジ</t>
    </rPh>
    <rPh sb="2" eb="4">
      <t>セッテイ</t>
    </rPh>
    <rPh sb="5" eb="6">
      <t>ツキ</t>
    </rPh>
    <phoneticPr fontId="4"/>
  </si>
  <si>
    <t>日時設定(日)</t>
    <rPh sb="0" eb="2">
      <t>ニチジ</t>
    </rPh>
    <rPh sb="2" eb="4">
      <t>セッテイ</t>
    </rPh>
    <rPh sb="5" eb="6">
      <t>ヒ</t>
    </rPh>
    <phoneticPr fontId="4"/>
  </si>
  <si>
    <t>日時設定(時)</t>
    <rPh sb="0" eb="2">
      <t>ニチジ</t>
    </rPh>
    <rPh sb="2" eb="4">
      <t>セッテイ</t>
    </rPh>
    <rPh sb="5" eb="6">
      <t>ジ</t>
    </rPh>
    <phoneticPr fontId="4"/>
  </si>
  <si>
    <t>日時設定(分)</t>
    <rPh sb="0" eb="2">
      <t>ニチジ</t>
    </rPh>
    <rPh sb="2" eb="4">
      <t>セッテイ</t>
    </rPh>
    <rPh sb="5" eb="6">
      <t>フン</t>
    </rPh>
    <phoneticPr fontId="4"/>
  </si>
  <si>
    <t>日時設定(秒)</t>
    <rPh sb="0" eb="2">
      <t>ニチジ</t>
    </rPh>
    <rPh sb="2" eb="4">
      <t>セッテイ</t>
    </rPh>
    <rPh sb="5" eb="6">
      <t>ビョウ</t>
    </rPh>
    <phoneticPr fontId="4"/>
  </si>
  <si>
    <t>2022</t>
  </si>
  <si>
    <t>12</t>
  </si>
  <si>
    <t>31</t>
  </si>
  <si>
    <t>23</t>
  </si>
  <si>
    <t>59</t>
  </si>
  <si>
    <t xml:space="preserve"> </t>
    <phoneticPr fontId="4"/>
  </si>
  <si>
    <t>(cur_datetime - prev_datetime).days</t>
  </si>
  <si>
    <t>(cur_datetime - prev_datetime).seconds</t>
  </si>
  <si>
    <t>(cur_datetime - prev_datetime).microseconds</t>
  </si>
  <si>
    <t>(cur_datetime - prev_datetime).total_seconds()</t>
  </si>
  <si>
    <t>-</t>
    <phoneticPr fontId="4"/>
  </si>
  <si>
    <t>経過時間(日)</t>
    <rPh sb="0" eb="2">
      <t>ケイカ</t>
    </rPh>
    <rPh sb="2" eb="4">
      <t>ジカン</t>
    </rPh>
    <rPh sb="5" eb="6">
      <t>ヒ</t>
    </rPh>
    <phoneticPr fontId="4"/>
  </si>
  <si>
    <t>経過時間(時)</t>
    <rPh sb="0" eb="2">
      <t>ケイカ</t>
    </rPh>
    <rPh sb="2" eb="4">
      <t>ジカン</t>
    </rPh>
    <rPh sb="5" eb="6">
      <t>ジ</t>
    </rPh>
    <phoneticPr fontId="4"/>
  </si>
  <si>
    <t>経過時間(秒)</t>
    <rPh sb="0" eb="2">
      <t>ケイカ</t>
    </rPh>
    <rPh sb="2" eb="4">
      <t>ジカン</t>
    </rPh>
    <rPh sb="5" eb="6">
      <t>ビョウ</t>
    </rPh>
    <phoneticPr fontId="4"/>
  </si>
  <si>
    <t>経過時間(ミリ秒)</t>
    <rPh sb="0" eb="2">
      <t>ケイカ</t>
    </rPh>
    <rPh sb="2" eb="4">
      <t>ジカン</t>
    </rPh>
    <rPh sb="7" eb="8">
      <t>ビョウ</t>
    </rPh>
    <phoneticPr fontId="4"/>
  </si>
  <si>
    <t>経過時間(マイクロ秒)</t>
    <rPh sb="0" eb="2">
      <t>ケイカ</t>
    </rPh>
    <rPh sb="2" eb="4">
      <t>ジカン</t>
    </rPh>
    <rPh sb="9" eb="10">
      <t>ビョウ</t>
    </rPh>
    <phoneticPr fontId="4"/>
  </si>
  <si>
    <t>経過時間(総時間)</t>
    <rPh sb="0" eb="2">
      <t>ケイカ</t>
    </rPh>
    <rPh sb="2" eb="4">
      <t>ジカン</t>
    </rPh>
    <rPh sb="5" eb="6">
      <t>ソウ</t>
    </rPh>
    <rPh sb="6" eb="8">
      <t>ジカン</t>
    </rPh>
    <phoneticPr fontId="4"/>
  </si>
  <si>
    <t>188</t>
  </si>
  <si>
    <t>67160</t>
  </si>
  <si>
    <t>551098</t>
  </si>
  <si>
    <t>16310360.551098</t>
  </si>
  <si>
    <t>ミリ秒の経過時間取得は不可</t>
    <rPh sb="2" eb="3">
      <t>ビョウ</t>
    </rPh>
    <rPh sb="4" eb="6">
      <t>ケイカ</t>
    </rPh>
    <rPh sb="6" eb="8">
      <t>ジカン</t>
    </rPh>
    <rPh sb="8" eb="10">
      <t>シュトク</t>
    </rPh>
    <rPh sb="11" eb="13">
      <t>フカ</t>
    </rPh>
    <phoneticPr fontId="4"/>
  </si>
  <si>
    <t>時間の経過時間取得は不可</t>
    <rPh sb="0" eb="2">
      <t>ジカン</t>
    </rPh>
    <rPh sb="3" eb="5">
      <t>ケイカ</t>
    </rPh>
    <rPh sb="5" eb="7">
      <t>ジカン</t>
    </rPh>
    <rPh sb="7" eb="9">
      <t>シュトク</t>
    </rPh>
    <rPh sb="10" eb="12">
      <t>フカ</t>
    </rPh>
    <phoneticPr fontId="4"/>
  </si>
  <si>
    <t>りんご</t>
    <phoneticPr fontId="4"/>
  </si>
  <si>
    <t>fruits = {"apple": "りんご", "orange": "みかん", "peach": "もも"}</t>
    <phoneticPr fontId="4"/>
  </si>
  <si>
    <t>fruits["grape"] = "ぶどう"</t>
    <phoneticPr fontId="4"/>
  </si>
  <si>
    <t>fruits["apple"]</t>
    <phoneticPr fontId="4"/>
  </si>
  <si>
    <t>fruits["apple"] = "あおりんご"</t>
    <phoneticPr fontId="4"/>
  </si>
  <si>
    <t>del fruits["orange"]</t>
    <phoneticPr fontId="4"/>
  </si>
  <si>
    <t>len(fruits)</t>
    <phoneticPr fontId="4"/>
  </si>
  <si>
    <t>if "apple" in fruits:</t>
    <phoneticPr fontId="4"/>
  </si>
  <si>
    <t>連想配列 項目取得（For Each）</t>
    <rPh sb="5" eb="7">
      <t>コウモク</t>
    </rPh>
    <phoneticPr fontId="4"/>
  </si>
  <si>
    <t>連想配列 キー/項目取得（For Each）</t>
    <rPh sb="8" eb="10">
      <t>コウモク</t>
    </rPh>
    <phoneticPr fontId="4"/>
  </si>
  <si>
    <t>pythonの連想配列には順序がない。そのため、インデックスでの取得はできない。</t>
    <rPh sb="7" eb="9">
      <t>レンソウ</t>
    </rPh>
    <rPh sb="9" eb="11">
      <t>ハイレツ</t>
    </rPh>
    <rPh sb="13" eb="15">
      <t>ジュンジョ</t>
    </rPh>
    <rPh sb="32" eb="34">
      <t>シュトク</t>
    </rPh>
    <phoneticPr fontId="4"/>
  </si>
  <si>
    <t>fruits.clear()</t>
    <phoneticPr fontId="4"/>
  </si>
  <si>
    <t>連想配列 キー/項目削除(Pop)</t>
    <phoneticPr fontId="4"/>
  </si>
  <si>
    <t>for fruit_key in fruits.keys():</t>
    <phoneticPr fontId="4"/>
  </si>
  <si>
    <t>for fruit_value in fruits.values():</t>
    <phoneticPr fontId="4"/>
  </si>
  <si>
    <t>for fruit_key, fruit_value in fruits.items():</t>
    <phoneticPr fontId="4"/>
  </si>
  <si>
    <t>removed_value = fruits.pop('peach')</t>
    <phoneticPr fontId="4"/>
  </si>
  <si>
    <t>連想配列 配列結合</t>
    <rPh sb="7" eb="9">
      <t>ケツゴウ</t>
    </rPh>
    <phoneticPr fontId="4"/>
  </si>
  <si>
    <t>fruits.update(fruits2)</t>
    <phoneticPr fontId="4"/>
  </si>
  <si>
    <t>fruitsにfruits2を追加する。キーがかぶっている場合は値を上書きする。</t>
    <rPh sb="15" eb="17">
      <t>ツイカ</t>
    </rPh>
    <phoneticPr fontId="4"/>
  </si>
  <si>
    <t>list(fruits.keys())</t>
    <phoneticPr fontId="4"/>
  </si>
  <si>
    <t>list(fruits.values())</t>
    <phoneticPr fontId="4"/>
  </si>
  <si>
    <t>連想配列 項目変更</t>
    <rPh sb="5" eb="7">
      <t>コウモク</t>
    </rPh>
    <rPh sb="7" eb="9">
      <t>ヘンコウ</t>
    </rPh>
    <phoneticPr fontId="4"/>
  </si>
  <si>
    <t>for fruit_key in fruits:</t>
    <phoneticPr fontId="4"/>
  </si>
  <si>
    <t>例外</t>
    <rPh sb="0" eb="2">
      <t>レイガイ</t>
    </rPh>
    <phoneticPr fontId="4"/>
  </si>
  <si>
    <t>try:</t>
    <phoneticPr fontId="4"/>
  </si>
  <si>
    <t>トライ</t>
    <phoneticPr fontId="4"/>
  </si>
  <si>
    <t>except ZeroDivisionError as e:</t>
    <phoneticPr fontId="4"/>
  </si>
  <si>
    <t>キャッチ（特定エラー）</t>
    <rPh sb="5" eb="7">
      <t>トクテイ</t>
    </rPh>
    <phoneticPr fontId="4"/>
  </si>
  <si>
    <t>except Exception as e:</t>
    <phoneticPr fontId="4"/>
  </si>
  <si>
    <t>キャッチ（全エラー）</t>
    <rPh sb="5" eb="6">
      <t>ゼン</t>
    </rPh>
    <phoneticPr fontId="4"/>
  </si>
  <si>
    <t>except:</t>
    <phoneticPr fontId="4"/>
  </si>
  <si>
    <t>キャッチ（複数エラー）</t>
    <rPh sb="5" eb="7">
      <t>フクスウ</t>
    </rPh>
    <phoneticPr fontId="4"/>
  </si>
  <si>
    <t>except (ZeroDivisionError, TypeError) as e:</t>
    <phoneticPr fontId="4"/>
  </si>
  <si>
    <t>正常時の処理</t>
    <rPh sb="0" eb="2">
      <t>セイジョウ</t>
    </rPh>
    <rPh sb="2" eb="3">
      <t>ジ</t>
    </rPh>
    <rPh sb="4" eb="6">
      <t>ショリ</t>
    </rPh>
    <phoneticPr fontId="4"/>
  </si>
  <si>
    <t>else:</t>
    <phoneticPr fontId="4"/>
  </si>
  <si>
    <t>finally:</t>
    <phoneticPr fontId="4"/>
  </si>
  <si>
    <t>終了時に常に行う処理</t>
    <rPh sb="0" eb="3">
      <t>シュウリョウジ</t>
    </rPh>
    <rPh sb="4" eb="5">
      <t>ツネ</t>
    </rPh>
    <rPh sb="6" eb="7">
      <t>オコナ</t>
    </rPh>
    <rPh sb="8" eb="10">
      <t>ショリ</t>
    </rPh>
    <phoneticPr fontId="4"/>
  </si>
  <si>
    <t>例外を無視</t>
    <rPh sb="0" eb="2">
      <t>レイガイ</t>
    </rPh>
    <rPh sb="3" eb="5">
      <t>ムシ</t>
    </rPh>
    <phoneticPr fontId="4"/>
  </si>
  <si>
    <t>キャッチできるエラーの内容はこちら</t>
    <rPh sb="11" eb="13">
      <t>ナイヨウ</t>
    </rPh>
    <phoneticPr fontId="4"/>
  </si>
  <si>
    <t>os.system("cat " + r"~/test.txt")</t>
    <phoneticPr fontId="4"/>
  </si>
  <si>
    <t>？</t>
    <phoneticPr fontId="4"/>
  </si>
  <si>
    <t>shutil.copyfile("/home/draemon_ash3/testdir/test.txt", "/home/draemon_ash3/testdir/test2.txt")</t>
  </si>
  <si>
    <t>shutil.copy("/home/draemon_ash3/testdir/test.txt", "/home/draemon_ash3/testdir/test3.txt")</t>
  </si>
  <si>
    <t>shutil.copytree("/home/draemon_ash3/testdir", "/home/draemon_ash3/testdir2")</t>
    <phoneticPr fontId="4"/>
  </si>
  <si>
    <t>shutil.rmtree("/home/draemon_ash3/testdir2")</t>
    <phoneticPr fontId="4"/>
  </si>
  <si>
    <t>ファイル/ディレクトリが存在しない場合もFalseとなる</t>
    <rPh sb="12" eb="14">
      <t>ソンザイ</t>
    </rPh>
    <rPh sb="17" eb="19">
      <t>バアイ</t>
    </rPh>
    <phoneticPr fontId="4"/>
  </si>
  <si>
    <t>os.path.isdir("/home/draemon_ash3/testdir/test.txt")</t>
    <phoneticPr fontId="4"/>
  </si>
  <si>
    <t>/mnt/c/codes/python/_tp/cmn/tp.py</t>
    <phoneticPr fontId="4"/>
  </si>
  <si>
    <t>tp.py</t>
    <phoneticPr fontId="4"/>
  </si>
  <si>
    <t>homedir = os.environ['HOME']</t>
    <phoneticPr fontId="4"/>
  </si>
  <si>
    <t>文中の改行</t>
    <rPh sb="0" eb="2">
      <t>ブンチュウ</t>
    </rPh>
    <rPh sb="3" eb="5">
      <t>カイギョウ</t>
    </rPh>
    <phoneticPr fontId="4"/>
  </si>
  <si>
    <t>import(関数)</t>
    <rPh sb="7" eb="9">
      <t>カンスウ</t>
    </rPh>
    <phoneticPr fontId="4"/>
  </si>
  <si>
    <t>import(モジュール)</t>
    <phoneticPr fontId="4"/>
  </si>
  <si>
    <t>from &lt;module_name&gt; import &lt;func_name&gt;</t>
    <phoneticPr fontId="4"/>
  </si>
  <si>
    <t>import &lt;module_name&gt;</t>
    <phoneticPr fontId="4"/>
  </si>
  <si>
    <t>実行時のカレントディレクトリ。~/aaa上で~/aaa/bbb/tp.pyを実行した場合、~/aaaが取得できる</t>
  </si>
  <si>
    <t>作業ディレクトリ フォルダパス</t>
    <rPh sb="0" eb="2">
      <t>サギョウ</t>
    </rPh>
    <phoneticPr fontId="4"/>
  </si>
  <si>
    <t>os.getcwd()</t>
  </si>
  <si>
    <t>「モジュールとして読み込まれた時」は実行されない</t>
    <rPh sb="18" eb="20">
      <t>ジッコウ</t>
    </rPh>
    <phoneticPr fontId="4"/>
  </si>
  <si>
    <t>__name__</t>
    <phoneticPr fontId="4"/>
  </si>
  <si>
    <t>モジュール名 取得</t>
    <rPh sb="5" eb="6">
      <t>メイ</t>
    </rPh>
    <phoneticPr fontId="4"/>
  </si>
  <si>
    <t>メインプログラムとして実行中は” __main__” をセットする。ファイルが他のモジュールからインポートされている場合は、__name__には、そのモジュール名が入る。</t>
    <phoneticPr fontId="4"/>
  </si>
  <si>
    <t>少数 四捨五入用関数定義</t>
    <rPh sb="7" eb="8">
      <t>ヨウ</t>
    </rPh>
    <rPh sb="8" eb="10">
      <t>カンスウ</t>
    </rPh>
    <rPh sb="10" eb="12">
      <t>テイギ</t>
    </rPh>
    <phoneticPr fontId="4"/>
  </si>
  <si>
    <t>round_(3.5555, 0)</t>
    <phoneticPr fontId="4"/>
  </si>
  <si>
    <t>round_(3.5555, 1)</t>
    <phoneticPr fontId="4"/>
  </si>
  <si>
    <t>round_(3.5555, 2)</t>
    <phoneticPr fontId="4"/>
  </si>
  <si>
    <t>「少数 四捨五入用関数定義」の関数を利用する</t>
    <rPh sb="15" eb="17">
      <t>カンスウ</t>
    </rPh>
    <rPh sb="18" eb="20">
      <t>リヨウ</t>
    </rPh>
    <phoneticPr fontId="4"/>
  </si>
  <si>
    <t>round_(-3.5555, 0)</t>
    <phoneticPr fontId="4"/>
  </si>
  <si>
    <t>round_(-3.5555, 1)</t>
    <phoneticPr fontId="4"/>
  </si>
  <si>
    <t>round_(-3.5555, 2)</t>
    <phoneticPr fontId="4"/>
  </si>
  <si>
    <t>import</t>
    <phoneticPr fontId="4"/>
  </si>
  <si>
    <t>from dataclasses import field,dataclass</t>
    <phoneticPr fontId="4"/>
  </si>
  <si>
    <t>import(構造体)</t>
    <rPh sb="7" eb="10">
      <t>コウゾウタイ</t>
    </rPh>
    <phoneticPr fontId="4"/>
  </si>
  <si>
    <t>from &lt;module_name&gt; import &lt;struct_name&gt;</t>
    <phoneticPr fontId="4"/>
  </si>
  <si>
    <t>class_def.py の構造体PositionとSizeを利用する場合は、「from class_def import Position, Size」</t>
    <phoneticPr fontId="4"/>
  </si>
  <si>
    <t xml:space="preserve"> </t>
    <phoneticPr fontId="4"/>
  </si>
  <si>
    <t>アクセス権限付与</t>
    <rPh sb="4" eb="6">
      <t>ケンゲン</t>
    </rPh>
    <rPh sb="6" eb="8">
      <t>フヨ</t>
    </rPh>
    <phoneticPr fontId="4"/>
  </si>
  <si>
    <t>os.chmod(file_path, stat.S_IREAD | stat.S_IWRITE | stat.S_IEXEC)</t>
    <phoneticPr fontId="4"/>
  </si>
  <si>
    <t>指定できる種別はS_IREAD|S_IWRITE|S_IEXEC|S_IRGRP|S_IWGRP|S_IXGRP|S_IROTH|S_IWOTH|S_IXOTHの9種類</t>
    <phoneticPr fontId="4"/>
  </si>
  <si>
    <t>yaml読み込み オープン</t>
    <rPh sb="4" eb="5">
      <t>ヨ</t>
    </rPh>
    <rPh sb="6" eb="7">
      <t>コ</t>
    </rPh>
    <phoneticPr fontId="4"/>
  </si>
  <si>
    <t>yaml読み込み アクセス</t>
    <rPh sb="4" eb="5">
      <t>ヨ</t>
    </rPh>
    <rPh sb="6" eb="7">
      <t>コ</t>
    </rPh>
    <phoneticPr fontId="4"/>
  </si>
  <si>
    <t>yml_root[0]["faces"]["placeable_work_infos"][1]["num_x"]</t>
    <phoneticPr fontId="4"/>
  </si>
  <si>
    <t>プロセスID取得</t>
    <rPh sb="6" eb="8">
      <t>シュトク</t>
    </rPh>
    <phoneticPr fontId="4"/>
  </si>
  <si>
    <t>pidof "&lt;コマンド名&gt;"</t>
    <rPh sb="12" eb="13">
      <t>メイ</t>
    </rPh>
    <phoneticPr fontId="4"/>
  </si>
  <si>
    <t>コメント</t>
    <phoneticPr fontId="4"/>
  </si>
  <si>
    <t>配列参照</t>
    <rPh sb="2" eb="4">
      <t>サンショウ</t>
    </rPh>
    <phoneticPr fontId="4"/>
  </si>
  <si>
    <t>vbsはデフォルト引数(Optional)未対応</t>
    <rPh sb="9" eb="11">
      <t>ヒキスウ</t>
    </rPh>
    <rPh sb="21" eb="24">
      <t>ミタイオウ</t>
    </rPh>
    <phoneticPr fontId="4"/>
  </si>
  <si>
    <t>-pN: 先頭から数えてN層分のディレクトリを無視する</t>
    <rPh sb="5" eb="7">
      <t>セントウ</t>
    </rPh>
    <rPh sb="9" eb="10">
      <t>カゾ</t>
    </rPh>
    <rPh sb="13" eb="14">
      <t>ソウ</t>
    </rPh>
    <rPh sb="14" eb="15">
      <t>ブン</t>
    </rPh>
    <rPh sb="23" eb="25">
      <t>ムシ</t>
    </rPh>
    <phoneticPr fontId="4"/>
  </si>
  <si>
    <t>operation は省略可能。（初期値は1）。</t>
    <phoneticPr fontId="4"/>
  </si>
  <si>
    <t>関数定義(型ヒントあり)</t>
    <rPh sb="5" eb="6">
      <t>カタ</t>
    </rPh>
    <phoneticPr fontId="4"/>
  </si>
  <si>
    <t>パーサー用関数定義</t>
    <rPh sb="4" eb="5">
      <t>ヨウ</t>
    </rPh>
    <rPh sb="5" eb="7">
      <t>カンスウ</t>
    </rPh>
    <rPh sb="7" eb="9">
      <t>テイギ</t>
    </rPh>
    <phoneticPr fontId="4"/>
  </si>
  <si>
    <t>パーサー定義</t>
    <rPh sb="4" eb="6">
      <t>テイギ</t>
    </rPh>
    <phoneticPr fontId="4"/>
  </si>
  <si>
    <t>引数定義（短縮オプションあり）</t>
    <rPh sb="0" eb="2">
      <t>ヒキスウ</t>
    </rPh>
    <rPh sb="2" eb="4">
      <t>テイギ</t>
    </rPh>
    <rPh sb="5" eb="7">
      <t>タンシュク</t>
    </rPh>
    <phoneticPr fontId="4"/>
  </si>
  <si>
    <t>引数定義（短縮オプションなし）（enum）</t>
    <rPh sb="0" eb="2">
      <t>ヒキスウ</t>
    </rPh>
    <rPh sb="2" eb="4">
      <t>テイギ</t>
    </rPh>
    <phoneticPr fontId="4"/>
  </si>
  <si>
    <t>引数定義（短縮オプションなし）（float）</t>
    <rPh sb="0" eb="2">
      <t>ヒキスウ</t>
    </rPh>
    <rPh sb="2" eb="4">
      <t>テイギ</t>
    </rPh>
    <phoneticPr fontId="4"/>
  </si>
  <si>
    <t>引数定義（短縮オプションなし）（int）</t>
    <rPh sb="0" eb="2">
      <t>ヒキスウ</t>
    </rPh>
    <rPh sb="2" eb="4">
      <t>テイギ</t>
    </rPh>
    <phoneticPr fontId="4"/>
  </si>
  <si>
    <t>引数代入（bool）</t>
    <rPh sb="0" eb="2">
      <t>ヒキスウ</t>
    </rPh>
    <rPh sb="2" eb="4">
      <t>ダイニュウ</t>
    </rPh>
    <phoneticPr fontId="4"/>
  </si>
  <si>
    <t>place_stack_num_max = str2bool(args.place_stack_num_max)</t>
    <phoneticPr fontId="4"/>
  </si>
  <si>
    <t>place_mode = PlaceMode[args.place_mode]</t>
    <phoneticPr fontId="4"/>
  </si>
  <si>
    <t>引数代入（enum）</t>
    <rPh sb="0" eb="2">
      <t>ヒキスウ</t>
    </rPh>
    <rPh sb="2" eb="4">
      <t>ダイニュウ</t>
    </rPh>
    <phoneticPr fontId="4"/>
  </si>
  <si>
    <t>引数代入（float）</t>
    <rPh sb="0" eb="2">
      <t>ヒキスウ</t>
    </rPh>
    <rPh sb="2" eb="4">
      <t>ダイニュウ</t>
    </rPh>
    <phoneticPr fontId="4"/>
  </si>
  <si>
    <t>引数代入（int）</t>
    <rPh sb="0" eb="2">
      <t>ヒキスウ</t>
    </rPh>
    <rPh sb="2" eb="4">
      <t>ダイニュウ</t>
    </rPh>
    <phoneticPr fontId="4"/>
  </si>
  <si>
    <t>narrow_width_rate = args.narrow_width_rate</t>
    <phoneticPr fontId="4"/>
  </si>
  <si>
    <t>output_file_num = args.output_file_num</t>
    <phoneticPr fontId="4"/>
  </si>
  <si>
    <t>引数定義（短縮オプションなし）（str）</t>
    <rPh sb="0" eb="2">
      <t>ヒキスウ</t>
    </rPh>
    <rPh sb="2" eb="4">
      <t>テイギ</t>
    </rPh>
    <phoneticPr fontId="4"/>
  </si>
  <si>
    <t>引数代入（str）</t>
    <rPh sb="0" eb="2">
      <t>ヒキスウ</t>
    </rPh>
    <rPh sb="2" eb="4">
      <t>ダイニュウ</t>
    </rPh>
    <phoneticPr fontId="4"/>
  </si>
  <si>
    <t>env_spec_info_yaml = args.env_spec_info_yaml</t>
    <phoneticPr fontId="4"/>
  </si>
  <si>
    <t>import argparse</t>
    <phoneticPr fontId="4"/>
  </si>
  <si>
    <t>スクリプト引数パーサーargparse</t>
    <rPh sb="5" eb="7">
      <t>ヒキスウ</t>
    </rPh>
    <phoneticPr fontId="4"/>
  </si>
  <si>
    <t>空行削除</t>
    <rPh sb="0" eb="2">
      <t>クウギョウ</t>
    </rPh>
    <rPh sb="2" eb="4">
      <t>サクジョ</t>
    </rPh>
    <phoneticPr fontId="4"/>
  </si>
  <si>
    <t>sed -i '/^$/d' targetfile.txt</t>
    <phoneticPr fontId="4"/>
  </si>
  <si>
    <t>${hoge:-"default"}</t>
    <phoneticPr fontId="4"/>
  </si>
  <si>
    <t>画像拡大縮小（解像度指定）</t>
    <rPh sb="0" eb="2">
      <t>ガゾウ</t>
    </rPh>
    <rPh sb="2" eb="4">
      <t>カクダイ</t>
    </rPh>
    <rPh sb="4" eb="6">
      <t>シュクショウ</t>
    </rPh>
    <rPh sb="7" eb="10">
      <t>カイゾウド</t>
    </rPh>
    <rPh sb="10" eb="12">
      <t>シテイ</t>
    </rPh>
    <phoneticPr fontId="4"/>
  </si>
  <si>
    <t>画像拡大縮小（割合指定）</t>
    <rPh sb="7" eb="9">
      <t>ワリアイ</t>
    </rPh>
    <phoneticPr fontId="4"/>
  </si>
  <si>
    <t>convert -geometry 640x480 original.jpg converted.jpg</t>
    <phoneticPr fontId="4"/>
  </si>
  <si>
    <t>convert -geometry "50%" original.jpg converted.jpg</t>
    <phoneticPr fontId="4"/>
  </si>
  <si>
    <t>mkdir "c:\test\a"</t>
    <phoneticPr fontId="4"/>
  </si>
  <si>
    <t>複数階層もそのまま作成できる。例えば、c:\testが存在しなくても、左記のコマンドでc:\test\aを作成できる。</t>
    <rPh sb="0" eb="2">
      <t>フクスウ</t>
    </rPh>
    <rPh sb="2" eb="4">
      <t>カイソウ</t>
    </rPh>
    <rPh sb="9" eb="11">
      <t>サクセイ</t>
    </rPh>
    <rPh sb="15" eb="16">
      <t>タト</t>
    </rPh>
    <rPh sb="27" eb="29">
      <t>ソンザイ</t>
    </rPh>
    <rPh sb="35" eb="37">
      <t>サキ</t>
    </rPh>
    <rPh sb="53" eb="55">
      <t>サクセイ</t>
    </rPh>
    <phoneticPr fontId="4"/>
  </si>
  <si>
    <t>スクリプトファイルパス取得</t>
    <rPh sb="11" eb="13">
      <t>シュトク</t>
    </rPh>
    <phoneticPr fontId="4"/>
  </si>
  <si>
    <t>スクリプトファイル名取得</t>
    <rPh sb="9" eb="10">
      <t>メイ</t>
    </rPh>
    <phoneticPr fontId="4"/>
  </si>
  <si>
    <t>スクリプトファイルベース名取得</t>
    <rPh sb="12" eb="13">
      <t>メイ</t>
    </rPh>
    <phoneticPr fontId="4"/>
  </si>
  <si>
    <t>スクリプトファイル拡張子取得</t>
    <rPh sb="9" eb="12">
      <t>カクチョウシ</t>
    </rPh>
    <phoneticPr fontId="4"/>
  </si>
  <si>
    <t>filename=$(basename $0)</t>
    <phoneticPr fontId="4"/>
  </si>
  <si>
    <t>filepath=$(cd $(dirname $0); pwd)/${filename}</t>
    <phoneticPr fontId="4"/>
  </si>
  <si>
    <t>filebasename=${filename%%.*}</t>
    <phoneticPr fontId="4"/>
  </si>
  <si>
    <t>fileextname=${filename#*.}</t>
    <phoneticPr fontId="4"/>
  </si>
  <si>
    <t>test.sh</t>
  </si>
  <si>
    <t>sh</t>
  </si>
  <si>
    <t>スクリプトファイル格納先パス取得</t>
    <rPh sb="9" eb="11">
      <t>カクノウ</t>
    </rPh>
    <rPh sb="11" eb="12">
      <t>サキ</t>
    </rPh>
    <rPh sb="14" eb="16">
      <t>シュトク</t>
    </rPh>
    <phoneticPr fontId="4"/>
  </si>
  <si>
    <t>filedirpath=$(dirname ${filepath})</t>
    <phoneticPr fontId="4"/>
  </si>
  <si>
    <t>/home/user</t>
  </si>
  <si>
    <t>exec 1&gt;&gt; ${logfilepath}</t>
  </si>
  <si>
    <t>exec 2&gt;&gt; ${logfilepath}</t>
  </si>
  <si>
    <t>ログ出力先指定toファイル（標準出力）</t>
    <rPh sb="2" eb="4">
      <t>シュツリョク</t>
    </rPh>
    <rPh sb="4" eb="5">
      <t>サキ</t>
    </rPh>
    <rPh sb="5" eb="7">
      <t>シテイ</t>
    </rPh>
    <rPh sb="14" eb="16">
      <t>ヒョウジュン</t>
    </rPh>
    <rPh sb="16" eb="18">
      <t>シュツリョク</t>
    </rPh>
    <phoneticPr fontId="4"/>
  </si>
  <si>
    <t>ログ出力先指定toファイル（標準エラー出力）</t>
    <rPh sb="2" eb="4">
      <t>シュツリョク</t>
    </rPh>
    <rPh sb="4" eb="5">
      <t>サキ</t>
    </rPh>
    <rPh sb="5" eb="7">
      <t>シテイ</t>
    </rPh>
    <rPh sb="14" eb="16">
      <t>ヒョウジュン</t>
    </rPh>
    <rPh sb="19" eb="21">
      <t>シュツリョク</t>
    </rPh>
    <phoneticPr fontId="4"/>
  </si>
  <si>
    <t>ログ出力先指定toファイル＆画面（標準エラー出力）</t>
    <rPh sb="2" eb="4">
      <t>シュツリョク</t>
    </rPh>
    <rPh sb="4" eb="5">
      <t>サキ</t>
    </rPh>
    <rPh sb="5" eb="7">
      <t>シテイ</t>
    </rPh>
    <rPh sb="14" eb="16">
      <t>ガメン</t>
    </rPh>
    <rPh sb="17" eb="19">
      <t>ヒョウジュン</t>
    </rPh>
    <rPh sb="22" eb="24">
      <t>シュツリョク</t>
    </rPh>
    <phoneticPr fontId="4"/>
  </si>
  <si>
    <t>ログ出力先指定toファイル＆画面（標準出力）</t>
    <rPh sb="2" eb="4">
      <t>シュツリョク</t>
    </rPh>
    <rPh sb="4" eb="5">
      <t>サキ</t>
    </rPh>
    <rPh sb="5" eb="7">
      <t>シテイ</t>
    </rPh>
    <rPh sb="17" eb="19">
      <t>ヒョウジュン</t>
    </rPh>
    <rPh sb="19" eb="21">
      <t>シュツリョク</t>
    </rPh>
    <phoneticPr fontId="4"/>
  </si>
  <si>
    <t>VBScript</t>
    <phoneticPr fontId="4"/>
  </si>
  <si>
    <t>VBA</t>
    <phoneticPr fontId="4"/>
  </si>
  <si>
    <t>コマンド実行（管理者権限）</t>
    <rPh sb="4" eb="6">
      <t>ジッコウ</t>
    </rPh>
    <rPh sb="7" eb="10">
      <t>カンリシャ</t>
    </rPh>
    <rPh sb="10" eb="12">
      <t>ケンゲン</t>
    </rPh>
    <phoneticPr fontId="4"/>
  </si>
  <si>
    <t xml:space="preserve"> </t>
    <phoneticPr fontId="4"/>
  </si>
  <si>
    <t>区切り文字を「:」として、第5フィールドのみ切り出す（1オリジン）</t>
    <phoneticPr fontId="4"/>
  </si>
  <si>
    <t>1～5文字目を取出す（1オリジン）</t>
    <phoneticPr fontId="4"/>
  </si>
  <si>
    <t>$args.Length</t>
    <phoneticPr fontId="4"/>
  </si>
  <si>
    <t>$args[0]</t>
  </si>
  <si>
    <t>0オリジン</t>
    <phoneticPr fontId="4"/>
  </si>
  <si>
    <t>「./test.ps1 aaa bbb ccc」の場合、引数の数は4</t>
    <rPh sb="25" eb="27">
      <t>バアイ</t>
    </rPh>
    <rPh sb="28" eb="30">
      <t>ヒキスウ</t>
    </rPh>
    <rPh sb="31" eb="32">
      <t>カズ</t>
    </rPh>
    <phoneticPr fontId="4"/>
  </si>
  <si>
    <t>-a (AND)は非推奨</t>
    <phoneticPr fontId="4"/>
  </si>
  <si>
    <t>-o (OR)は非推奨</t>
    <phoneticPr fontId="4"/>
  </si>
  <si>
    <t>if { [ $V1 = "aaa" ] &amp;&amp; [ $V2 = "bbb" ]; } || { [ ! $V3 = "ccc" ]; }; then</t>
    <phoneticPr fontId="4"/>
  </si>
  <si>
    <t>if [ $V1 = "aaa" ] &amp;&amp; [ $V2 = "bbb" ]; then</t>
    <phoneticPr fontId="4"/>
  </si>
  <si>
    <t>if [ $V1 = "aaa" ] || [ $V2 = "bbb" ]; then</t>
    <phoneticPr fontId="4"/>
  </si>
  <si>
    <t>if [ ! $V1 = "aaa" ]; then</t>
    <phoneticPr fontId="4"/>
  </si>
  <si>
    <t>if 論理結合(AND)</t>
    <phoneticPr fontId="4"/>
  </si>
  <si>
    <t>if 論理結合(OR)</t>
    <phoneticPr fontId="4"/>
  </si>
  <si>
    <t>if 論理結合(AND+OR)</t>
    <phoneticPr fontId="4"/>
  </si>
  <si>
    <t>if (否定)</t>
    <phoneticPr fontId="4"/>
  </si>
  <si>
    <t>if [ -f ファイル名 ]; then</t>
    <phoneticPr fontId="4"/>
  </si>
  <si>
    <t>if [ $(readlink ファイル名) ]; then</t>
    <phoneticPr fontId="4"/>
  </si>
  <si>
    <t>■検索</t>
    <rPh sb="1" eb="3">
      <t>ケンサク</t>
    </rPh>
    <phoneticPr fontId="14"/>
  </si>
  <si>
    <t>説明</t>
  </si>
  <si>
    <t>秀丸</t>
    <rPh sb="0" eb="2">
      <t>ヒデマル</t>
    </rPh>
    <phoneticPr fontId="14"/>
  </si>
  <si>
    <t>BRE(*1)</t>
    <phoneticPr fontId="14"/>
  </si>
  <si>
    <t>ERE(*2)</t>
    <phoneticPr fontId="14"/>
  </si>
  <si>
    <t>python</t>
    <phoneticPr fontId="14"/>
  </si>
  <si>
    <t>備考</t>
  </si>
  <si>
    <t>:---</t>
    <phoneticPr fontId="14"/>
  </si>
  <si>
    <t>選択の区切り</t>
  </si>
  <si>
    <t>|</t>
  </si>
  <si>
    <t>×</t>
    <phoneticPr fontId="14"/>
  </si>
  <si>
    <t>|</t>
    <phoneticPr fontId="14"/>
  </si>
  <si>
    <t>グループ化</t>
    <phoneticPr fontId="4"/>
  </si>
  <si>
    <t>(...)</t>
  </si>
  <si>
    <t>\(...\)</t>
    <phoneticPr fontId="14"/>
  </si>
  <si>
    <t>[...]内の任意の1文字</t>
    <phoneticPr fontId="4"/>
  </si>
  <si>
    <t>[...]</t>
  </si>
  <si>
    <t>[...]内の任意の1文字以外の文字</t>
    <rPh sb="13" eb="15">
      <t>イガイ</t>
    </rPh>
    <rPh sb="16" eb="18">
      <t>モジ</t>
    </rPh>
    <phoneticPr fontId="4"/>
  </si>
  <si>
    <t>[^...]</t>
    <phoneticPr fontId="14"/>
  </si>
  <si>
    <t>任意の1文字</t>
    <phoneticPr fontId="4"/>
  </si>
  <si>
    <t>.</t>
  </si>
  <si>
    <t>先頭</t>
    <rPh sb="0" eb="2">
      <t>セントウ</t>
    </rPh>
    <phoneticPr fontId="4"/>
  </si>
  <si>
    <t>^</t>
  </si>
  <si>
    <t>末尾</t>
    <phoneticPr fontId="4"/>
  </si>
  <si>
    <t>$</t>
  </si>
  <si>
    <t>英単語([0-9A-Za-z_])</t>
    <rPh sb="0" eb="3">
      <t>エイタンゴ</t>
    </rPh>
    <phoneticPr fontId="4"/>
  </si>
  <si>
    <t>\w</t>
  </si>
  <si>
    <t>\c</t>
    <phoneticPr fontId="14"/>
  </si>
  <si>
    <t>[a-zA-Z_0-9]</t>
    <phoneticPr fontId="14"/>
  </si>
  <si>
    <t>英単語以外([^0-9A-Za-z_])</t>
    <rPh sb="3" eb="5">
      <t>イガイ</t>
    </rPh>
    <phoneticPr fontId="4"/>
  </si>
  <si>
    <t>\W</t>
  </si>
  <si>
    <t>\C</t>
    <phoneticPr fontId="14"/>
  </si>
  <si>
    <t>[^a-zA-Z_0-9]</t>
    <phoneticPr fontId="14"/>
  </si>
  <si>
    <t>英字([A-Za-z_])</t>
    <rPh sb="0" eb="2">
      <t>エイジ</t>
    </rPh>
    <phoneticPr fontId="4"/>
  </si>
  <si>
    <t>[a-zA-Z_]</t>
    <phoneticPr fontId="14"/>
  </si>
  <si>
    <t>\i or \w</t>
    <phoneticPr fontId="14"/>
  </si>
  <si>
    <t>英字以外([^A-Za-z_])</t>
    <rPh sb="2" eb="4">
      <t>イガイ</t>
    </rPh>
    <phoneticPr fontId="4"/>
  </si>
  <si>
    <t>[^a-zA-Z_]</t>
    <phoneticPr fontId="14"/>
  </si>
  <si>
    <t>\I or \W</t>
    <phoneticPr fontId="14"/>
  </si>
  <si>
    <t>数字([0-9])</t>
  </si>
  <si>
    <t>\d</t>
  </si>
  <si>
    <t>[0-9]</t>
    <phoneticPr fontId="14"/>
  </si>
  <si>
    <t>数字以外([^0-9])</t>
    <phoneticPr fontId="14"/>
  </si>
  <si>
    <t>\D</t>
  </si>
  <si>
    <t>[^0-9]</t>
    <phoneticPr fontId="14"/>
  </si>
  <si>
    <t>空白文字</t>
    <phoneticPr fontId="4"/>
  </si>
  <si>
    <t>\s</t>
  </si>
  <si>
    <t>[ \f\n\r\t]</t>
    <phoneticPr fontId="14"/>
  </si>
  <si>
    <t>空白文字以外</t>
  </si>
  <si>
    <t>\S</t>
  </si>
  <si>
    <t>[^ \f\n\r\t]</t>
    <phoneticPr fontId="14"/>
  </si>
  <si>
    <t>単語境界 先頭</t>
  </si>
  <si>
    <t>\&lt;</t>
    <phoneticPr fontId="4"/>
  </si>
  <si>
    <t>\y (*4)</t>
    <phoneticPr fontId="4"/>
  </si>
  <si>
    <t>\b</t>
  </si>
  <si>
    <t>単語境界 末尾</t>
    <rPh sb="5" eb="7">
      <t>マツビ</t>
    </rPh>
    <phoneticPr fontId="4"/>
  </si>
  <si>
    <t>\&gt;</t>
    <phoneticPr fontId="4"/>
  </si>
  <si>
    <t>単語以外</t>
    <rPh sb="2" eb="4">
      <t>イガイ</t>
    </rPh>
    <phoneticPr fontId="4"/>
  </si>
  <si>
    <t>\B</t>
    <phoneticPr fontId="14"/>
  </si>
  <si>
    <t>改行</t>
    <rPh sb="0" eb="2">
      <t>カイギョウ</t>
    </rPh>
    <phoneticPr fontId="4"/>
  </si>
  <si>
    <t>\n</t>
    <phoneticPr fontId="14"/>
  </si>
  <si>
    <t>繰り返し(最長マッチ) 0回以上</t>
  </si>
  <si>
    <t>*</t>
  </si>
  <si>
    <t>繰り返し(最長マッチ) 1回以上</t>
  </si>
  <si>
    <t>+</t>
  </si>
  <si>
    <t>×(\+)</t>
    <phoneticPr fontId="14"/>
  </si>
  <si>
    <t>+</t>
    <phoneticPr fontId="14"/>
  </si>
  <si>
    <t>繰り返し(最長マッチ) 0 or 1回</t>
  </si>
  <si>
    <t>?</t>
  </si>
  <si>
    <t>×(\?)</t>
    <phoneticPr fontId="14"/>
  </si>
  <si>
    <t>繰り返し(最長マッチ) n回</t>
  </si>
  <si>
    <t>{n}</t>
    <phoneticPr fontId="14"/>
  </si>
  <si>
    <t>\{n\}</t>
    <phoneticPr fontId="14"/>
  </si>
  <si>
    <t>繰り返し(最長マッチ) n回以上</t>
  </si>
  <si>
    <t>{n,}</t>
    <phoneticPr fontId="14"/>
  </si>
  <si>
    <t>\{n,\}</t>
    <phoneticPr fontId="14"/>
  </si>
  <si>
    <t>繰り返し(最長マッチ) n回以上m回以下</t>
  </si>
  <si>
    <t>{n,m}</t>
  </si>
  <si>
    <t>{n,m}</t>
    <phoneticPr fontId="14"/>
  </si>
  <si>
    <t>\{n,m\}</t>
    <phoneticPr fontId="14"/>
  </si>
  <si>
    <t>繰り返し(最短マッチ) 0回以上</t>
  </si>
  <si>
    <t>{-}</t>
  </si>
  <si>
    <t>*?</t>
    <phoneticPr fontId="14"/>
  </si>
  <si>
    <t>繰り返し(最短マッチ) 1回以上</t>
  </si>
  <si>
    <t>{-1,}</t>
  </si>
  <si>
    <t>+?</t>
  </si>
  <si>
    <t>+?</t>
    <phoneticPr fontId="14"/>
  </si>
  <si>
    <t>繰り返し(最短マッチ) 0 or 1回</t>
  </si>
  <si>
    <t>{-0,1}</t>
  </si>
  <si>
    <t>??</t>
  </si>
  <si>
    <t>繰り返し(最短マッチ) n回</t>
  </si>
  <si>
    <t>{-n}</t>
    <phoneticPr fontId="14"/>
  </si>
  <si>
    <t>{n}?</t>
    <phoneticPr fontId="14"/>
  </si>
  <si>
    <t>繰り返し(最短マッチ) n回以上</t>
    <phoneticPr fontId="14"/>
  </si>
  <si>
    <t>{-n,}</t>
    <phoneticPr fontId="14"/>
  </si>
  <si>
    <t>{n,}?</t>
    <phoneticPr fontId="14"/>
  </si>
  <si>
    <t>繰り返し(最短マッチ) n回以上m回以下</t>
  </si>
  <si>
    <t>{-n,m}</t>
  </si>
  <si>
    <t>{n,m}?</t>
  </si>
  <si>
    <t>肯定先読み</t>
    <phoneticPr fontId="14"/>
  </si>
  <si>
    <t>atom@=</t>
  </si>
  <si>
    <t>(?=atom)</t>
  </si>
  <si>
    <t>kimura( takuya)@= （後に" takuya"が含まれる"kimura"を検索）</t>
    <phoneticPr fontId="14"/>
  </si>
  <si>
    <t>否定先読み</t>
  </si>
  <si>
    <t>atom@!</t>
  </si>
  <si>
    <t>(?!atom)</t>
  </si>
  <si>
    <t>kimura( takuya)@! （後に" takuya"が含まれない"kimura"を検索</t>
    <phoneticPr fontId="14"/>
  </si>
  <si>
    <t>肯定後読み</t>
  </si>
  <si>
    <t>atom@&lt;=</t>
  </si>
  <si>
    <t>(?&lt;=atom)</t>
  </si>
  <si>
    <t>(kimura )@&lt;=takuya （前に"kimura "が含まれる"takuya"を検索）</t>
    <phoneticPr fontId="14"/>
  </si>
  <si>
    <t>否定後読み</t>
  </si>
  <si>
    <t>atom@&lt;!</t>
    <phoneticPr fontId="14"/>
  </si>
  <si>
    <t>(?&lt;!atom)</t>
    <phoneticPr fontId="14"/>
  </si>
  <si>
    <t>(?&lt;\!atom)</t>
  </si>
  <si>
    <t>(kimura )@&lt;!takuya（前に"kimura "が含まれない"takuya"を検索）</t>
    <phoneticPr fontId="14"/>
  </si>
  <si>
    <t>atom@&gt;</t>
  </si>
  <si>
    <t>グループ化して部分正規表現としてカウントしない★</t>
    <phoneticPr fontId="4"/>
  </si>
  <si>
    <t>%(...)</t>
  </si>
  <si>
    <t>(?:...)</t>
  </si>
  <si>
    <t>■置換後</t>
    <rPh sb="1" eb="3">
      <t>チカン</t>
    </rPh>
    <rPh sb="3" eb="4">
      <t>ゴ</t>
    </rPh>
    <phoneticPr fontId="14"/>
  </si>
  <si>
    <t xml:space="preserve"> </t>
  </si>
  <si>
    <t>&amp;</t>
    <phoneticPr fontId="14"/>
  </si>
  <si>
    <t>■備考</t>
    <rPh sb="1" eb="3">
      <t>ビコウ</t>
    </rPh>
    <phoneticPr fontId="14"/>
  </si>
  <si>
    <t>(\*1) BRE（基本正規表現）</t>
    <phoneticPr fontId="14"/>
  </si>
  <si>
    <t>sed、ex、grep(-Eなし)、more、sed、viなどで使用</t>
    <rPh sb="32" eb="34">
      <t>シヨウ</t>
    </rPh>
    <phoneticPr fontId="14"/>
  </si>
  <si>
    <t>(\*2) ERE（拡張正規表現）</t>
    <phoneticPr fontId="14"/>
  </si>
  <si>
    <t>egrep、grep(-Eあり)などで使用</t>
    <rPh sb="19" eb="21">
      <t>シヨウ</t>
    </rPh>
    <phoneticPr fontId="14"/>
  </si>
  <si>
    <t>(\*3) ERE（拡張正規表現）AWKサブセット</t>
    <phoneticPr fontId="14"/>
  </si>
  <si>
    <t>(\*4) 英単語(\c)の単語区切りは「\y」、文字(\w)の単語区切りは「\&lt;,\&gt;」</t>
    <rPh sb="6" eb="9">
      <t>エイタンゴ</t>
    </rPh>
    <rPh sb="14" eb="16">
      <t>タンゴ</t>
    </rPh>
    <rPh sb="16" eb="18">
      <t>クギ</t>
    </rPh>
    <rPh sb="25" eb="27">
      <t>モジ</t>
    </rPh>
    <rPh sb="32" eb="34">
      <t>タンゴ</t>
    </rPh>
    <rPh sb="34" eb="36">
      <t>クギ</t>
    </rPh>
    <phoneticPr fontId="14"/>
  </si>
  <si>
    <t>https://qiita.com/richmikan@github/items/b6fb641e5b2b9af3522e</t>
    <phoneticPr fontId="14"/>
  </si>
  <si>
    <t>ERE(awk)
(*3)</t>
    <phoneticPr fontId="14"/>
  </si>
  <si>
    <t>★エスケープ必要文字まとめ</t>
    <rPh sb="6" eb="8">
      <t>ヒツヨウ</t>
    </rPh>
    <rPh sb="8" eb="10">
      <t>モジ</t>
    </rPh>
    <phoneticPr fontId="4"/>
  </si>
  <si>
    <t>VBA</t>
    <phoneticPr fontId="14"/>
  </si>
  <si>
    <r>
      <t>V</t>
    </r>
    <r>
      <rPr>
        <sz val="9"/>
        <color theme="1"/>
        <rFont val="ＭＳ ゴシック"/>
        <family val="3"/>
        <charset val="128"/>
      </rPr>
      <t>BS</t>
    </r>
    <phoneticPr fontId="14"/>
  </si>
  <si>
    <r>
      <t>?</t>
    </r>
    <r>
      <rPr>
        <sz val="9"/>
        <color theme="1"/>
        <rFont val="ＭＳ ゴシック"/>
        <family val="3"/>
        <charset val="128"/>
      </rPr>
      <t>?</t>
    </r>
    <phoneticPr fontId="4"/>
  </si>
  <si>
    <t>(?&lt;!atom)</t>
    <phoneticPr fontId="4"/>
  </si>
  <si>
    <t>(?&gt;atom)</t>
    <phoneticPr fontId="4"/>
  </si>
  <si>
    <t>\0</t>
    <phoneticPr fontId="4"/>
  </si>
  <si>
    <t>ログ表示</t>
  </si>
  <si>
    <t>git log</t>
  </si>
  <si>
    <t>ログ表示(2件のみ)</t>
  </si>
  <si>
    <t>git log -2</t>
  </si>
  <si>
    <t>ログ表示(1行表示)</t>
  </si>
  <si>
    <t>git log --oneline</t>
  </si>
  <si>
    <t>ログ表示(グラフ表示)</t>
  </si>
  <si>
    <t>git log --graph</t>
  </si>
  <si>
    <t>ログ表示(書式指定表示)</t>
  </si>
  <si>
    <t>git log --oneline --pretty=format:"%Cred%ad%Creset ::::: %Cblue%h%Creset ::::: %Cgreen%an%Creset ::::: %C(yellow)%s"</t>
  </si>
  <si>
    <t>ログ表示(内容詳細)</t>
  </si>
  <si>
    <t>git show ハッシュ値</t>
  </si>
  <si>
    <t>変更状態確認</t>
  </si>
  <si>
    <t>git status</t>
  </si>
  <si>
    <t>クローン</t>
  </si>
  <si>
    <t>プッシュ</t>
  </si>
  <si>
    <t>git push</t>
  </si>
  <si>
    <t>プル</t>
  </si>
  <si>
    <t>git pull</t>
  </si>
  <si>
    <t>フェッチ(取得)</t>
  </si>
  <si>
    <t>git fecth</t>
  </si>
  <si>
    <t>リモートの「master」ブランチ → ローカルの「origin/master」ブランチ</t>
  </si>
  <si>
    <t>フェッチ後のマージ</t>
  </si>
  <si>
    <t>git merge</t>
  </si>
  <si>
    <t>ローカルの「origin/master」ブランチ → ローカルの「master」ブランチ</t>
  </si>
  <si>
    <t>ローカルリポジトリ作成</t>
  </si>
  <si>
    <t>git init</t>
  </si>
  <si>
    <t>リモートリポジトリ作成</t>
  </si>
  <si>
    <t>git remote add origin URL</t>
  </si>
  <si>
    <t>リモートリポジトリ紐づけ確認</t>
  </si>
  <si>
    <t>git remote</t>
  </si>
  <si>
    <t>originになっていれば完了</t>
  </si>
  <si>
    <t>リモートリポジトリ紐づけ削除</t>
  </si>
  <si>
    <t>git rm origin</t>
  </si>
  <si>
    <t>リモートリポジトリURL表示</t>
  </si>
  <si>
    <t>git remote -v</t>
  </si>
  <si>
    <t>初回プッシュ</t>
  </si>
  <si>
    <t>git push --set-upstream origin master</t>
  </si>
  <si>
    <t>初回プル</t>
  </si>
  <si>
    <t>git pull origin ブランチ名</t>
  </si>
  <si>
    <t>ブランチ作成</t>
  </si>
  <si>
    <t>git checkout -b ブランチ名</t>
  </si>
  <si>
    <t>ブランチ切替</t>
  </si>
  <si>
    <t>git checkout ブランチ名</t>
  </si>
  <si>
    <t>ブランチ一覧表示(ローカル)</t>
  </si>
  <si>
    <t>git branch</t>
  </si>
  <si>
    <t>ブランチ一覧表示(リモート)</t>
  </si>
  <si>
    <t>ブランチ一覧表示(ローカル＆リモート)</t>
  </si>
  <si>
    <t>git branch -a</t>
  </si>
  <si>
    <t>ブランチ削除(ローカル)</t>
  </si>
  <si>
    <t>git branch -d ブランチ名</t>
  </si>
  <si>
    <t>ブランチ削除(リモート)</t>
  </si>
  <si>
    <t>ブランチ名変更(現在ブランチ)</t>
  </si>
  <si>
    <t>ブランチ名変更(ブランチ指定)</t>
  </si>
  <si>
    <t>git branch -m 旧ブランチ名 新ブランチ名</t>
  </si>
  <si>
    <t>コミット(追加)</t>
  </si>
  <si>
    <t>git commit -m "命令形メッセージ"</t>
  </si>
  <si>
    <t>コミット(追加)(メッセージ改行あり)</t>
  </si>
  <si>
    <t>git commit -F- &lt;&lt; EOM</t>
  </si>
  <si>
    <t>コミット(上書き)</t>
  </si>
  <si>
    <t>git commit --amend</t>
  </si>
  <si>
    <t>コミット(内容追加)</t>
  </si>
  <si>
    <t>git commit --amend --no-edit</t>
  </si>
  <si>
    <t>前回のコミットメッセージのまま</t>
  </si>
  <si>
    <t>コミット(コメント修正)</t>
  </si>
  <si>
    <t>ステージング＆コミット(追加)</t>
  </si>
  <si>
    <t>git commit -a -m "命令形メッセージ"</t>
  </si>
  <si>
    <t>日付 : ハッシュ（短縮形）: Author : コミットメッセージ</t>
    <phoneticPr fontId="4"/>
  </si>
  <si>
    <t>ファイル名変更</t>
  </si>
  <si>
    <t>git mv 旧ファイル名 新ファイル名</t>
  </si>
  <si>
    <t>インデックス追加(ファイル)</t>
  </si>
  <si>
    <t>git add ファイル名</t>
  </si>
  <si>
    <t>インデックス追加(全て)</t>
  </si>
  <si>
    <t>git add -u</t>
  </si>
  <si>
    <t>すべての modified を staged にする</t>
  </si>
  <si>
    <t>git add -A</t>
  </si>
  <si>
    <t>すべての untracked とすべての modified を staged にする</t>
  </si>
  <si>
    <t>git add \*</t>
  </si>
  <si>
    <t>インデックス削除(ファイル)</t>
  </si>
  <si>
    <t>git rm ファイル名</t>
  </si>
  <si>
    <t>インデックスリネーム</t>
  </si>
  <si>
    <t>作業ツリー巻戻し</t>
  </si>
  <si>
    <t>git checkout ハッシュ値</t>
  </si>
  <si>
    <t>作業ツリー巻戻し(ファイル)</t>
  </si>
  <si>
    <t>git checkout ファイル名</t>
  </si>
  <si>
    <t>作業ツリー巻戻し(全て)</t>
  </si>
  <si>
    <t>git checkout \*</t>
  </si>
  <si>
    <t>untrackedファイルは削除しない</t>
  </si>
  <si>
    <t>追跡対象外ファイル削除</t>
  </si>
  <si>
    <t>git clean -fdx</t>
  </si>
  <si>
    <t>-f:強制実行、-d:ディレクトリを削除、-x:.gitignore等で指定されているファイルを除外せず削除</t>
  </si>
  <si>
    <t>特定コミット時点のファイル閲覧</t>
  </si>
  <si>
    <t>行範囲指定1</t>
  </si>
  <si>
    <t>git blame -L 50,60 ファイル名</t>
  </si>
  <si>
    <t>50～60行目の最新コミットハッシュ値/コミッター表示</t>
  </si>
  <si>
    <t>行範囲指定2</t>
  </si>
  <si>
    <t>git blame -L 125,+5 ファイル名</t>
  </si>
  <si>
    <t>125行目から5行分の最新コミットハッシュ値/コミッター表示</t>
  </si>
  <si>
    <t>正規表現指定1</t>
  </si>
  <si>
    <t>git blame -L /ABC/,/DEF/ file.txt</t>
  </si>
  <si>
    <t>/ABC/ にマッチする行から /DEF/ にマッチする行まで</t>
  </si>
  <si>
    <t>正規表現指定2</t>
  </si>
  <si>
    <t>git blame -L ,/ABC/ file.txt</t>
  </si>
  <si>
    <t>ファイルの先頭から /ABC/ にマッチする行まで</t>
  </si>
  <si>
    <t>正規表現指定3</t>
  </si>
  <si>
    <t>git blame -L /ABC/ file.txt</t>
  </si>
  <si>
    <t>/ABC/ にマッチする行からファイルの末尾まで</t>
  </si>
  <si>
    <t>変更取消し 作業ツリーのみ</t>
  </si>
  <si>
    <t>変更取消し インデックスのみ</t>
  </si>
  <si>
    <t>git addが取り消されるのみで、作業ツリーに対する変更は残る。</t>
  </si>
  <si>
    <t>変更取消し コミット後1</t>
  </si>
  <si>
    <t>git revert HEAD</t>
  </si>
  <si>
    <t>変更を打ち消すコミットを作成</t>
  </si>
  <si>
    <t>変更取消し コミット後2</t>
  </si>
  <si>
    <t>git reset HEAD</t>
  </si>
  <si>
    <t>直前のコミットを消去する</t>
  </si>
  <si>
    <t>変更取消し プッシュ後1</t>
  </si>
  <si>
    <t>git reset --hard ハッシュ値</t>
  </si>
  <si>
    <t>変更取消し プッシュ後2</t>
  </si>
  <si>
    <t>git reset --hard HEAD^</t>
  </si>
  <si>
    <t>直前コミット消去</t>
  </si>
  <si>
    <t>直前reset取消し</t>
  </si>
  <si>
    <t>git reset --hard ORIG\_HEAD</t>
  </si>
  <si>
    <t>全変更取消し インデックス変更後</t>
  </si>
  <si>
    <t>git checkout -f</t>
  </si>
  <si>
    <t>ファイル変更削除</t>
  </si>
  <si>
    <t>git checkout -- ファイル名</t>
  </si>
  <si>
    <t>アンドゥ(reflog) 対象確認</t>
  </si>
  <si>
    <t>git reflog</t>
  </si>
  <si>
    <t>アンドゥ(reflog) 実行</t>
  </si>
  <si>
    <t>N : 1以上の数値</t>
  </si>
  <si>
    <t>変更差分表示 Work⇔Idx間</t>
  </si>
  <si>
    <t>git diff</t>
  </si>
  <si>
    <t>変更差分表示 Work⇔Idx間(ファイル名)</t>
  </si>
  <si>
    <t>git diff -- ファイルパスA</t>
  </si>
  <si>
    <t>変更差分表示 Work⇔Lcl(HEAD)間</t>
  </si>
  <si>
    <t>git diff HEAD</t>
  </si>
  <si>
    <t>変更差分表示 Idx⇔Lcl(HEAD)間</t>
  </si>
  <si>
    <t>git diff --cached</t>
  </si>
  <si>
    <t>変更差分表示 Lcl⇔Rmt間</t>
  </si>
  <si>
    <t>git diff HEAD..リモート名/ブランチ名</t>
  </si>
  <si>
    <t>変更差分表示 Rmt Rev間</t>
  </si>
  <si>
    <t>git log -p ファイル名</t>
  </si>
  <si>
    <t>git diff --histogram</t>
  </si>
  <si>
    <t>マージ(Non Fast-Forward)</t>
  </si>
  <si>
    <t>マージ(Fast-Forward)</t>
  </si>
  <si>
    <t>マージ取消し</t>
  </si>
  <si>
    <t>git revert -m 1 ハッシュ値</t>
  </si>
  <si>
    <t>リベース</t>
  </si>
  <si>
    <t>git rebase master</t>
  </si>
  <si>
    <t>最新のマスターをブランチに反映させるために使う</t>
  </si>
  <si>
    <t>リベース中断</t>
  </si>
  <si>
    <t>git rebase --abort</t>
  </si>
  <si>
    <t>コミット編集</t>
  </si>
  <si>
    <t>git rebase -i</t>
  </si>
  <si>
    <t>入力後、エディタが立ち上がり、以下のコマンドでコミットを編集する</t>
  </si>
  <si>
    <t>特定コミット取込み(コミットする)</t>
  </si>
  <si>
    <t>git cherry-pick ハッシュ値</t>
  </si>
  <si>
    <t>特定コミット取込み(コミットしない)</t>
  </si>
  <si>
    <t>git cherry-pick -n ハッシュ値</t>
  </si>
  <si>
    <t>特定コミット取込み(リビジョン範囲指定)</t>
  </si>
  <si>
    <t>git cherry-pick 古いハッシュ値..新しいハッシュ値</t>
  </si>
  <si>
    <t>スタッシュ 保存1</t>
  </si>
  <si>
    <t>git stash</t>
  </si>
  <si>
    <t>untracked fileを含めない</t>
  </si>
  <si>
    <t>スタッシュ 保存2</t>
  </si>
  <si>
    <t>git stash -u</t>
  </si>
  <si>
    <t>untracked fileも含める</t>
  </si>
  <si>
    <t>スタッシュ 保存(メッセージ付き)</t>
  </si>
  <si>
    <t>git stash save "message"</t>
  </si>
  <si>
    <t>現在の作業を一時的に退避する</t>
  </si>
  <si>
    <t>スタッシュ 復元1</t>
  </si>
  <si>
    <t>git stash pop</t>
  </si>
  <si>
    <t>退避した作業を復元する(スタッシュ削除)</t>
  </si>
  <si>
    <t>スタッシュ 復元2</t>
  </si>
  <si>
    <t>git stash apply</t>
  </si>
  <si>
    <t>退避した作業を復元する(スタッシュ保持)</t>
  </si>
  <si>
    <t>スタッシュ 一覧表示</t>
  </si>
  <si>
    <t>git stash list</t>
  </si>
  <si>
    <t>スタッシュ 削除(最新分)</t>
  </si>
  <si>
    <t>git stash drop</t>
  </si>
  <si>
    <t>スタッシュ 削除(番号指定)</t>
  </si>
  <si>
    <t>スタッシュ 全削除</t>
  </si>
  <si>
    <t>git stash clear</t>
  </si>
  <si>
    <t>特定箇所最終更新閲覧</t>
  </si>
  <si>
    <t>スタッシュ（変更差分を一時的に退避する）</t>
    <phoneticPr fontId="4"/>
  </si>
  <si>
    <t>マージ</t>
    <phoneticPr fontId="4"/>
  </si>
  <si>
    <t>変更差分表示</t>
    <phoneticPr fontId="4"/>
  </si>
  <si>
    <t>変更取消し</t>
    <phoneticPr fontId="4"/>
  </si>
  <si>
    <t>★</t>
    <phoneticPr fontId="4"/>
  </si>
  <si>
    <t>diffアルゴリズム変更</t>
    <phoneticPr fontId="4"/>
  </si>
  <si>
    <t>スクリプト</t>
    <phoneticPr fontId="4"/>
  </si>
  <si>
    <t>github上から指定ファイル完全消去</t>
  </si>
  <si>
    <t>find . -name .ファイル名 -print0 | xargs -0 git rm</t>
  </si>
  <si>
    <t>github上でrevertした場合は必ずプルリクエストまで出す</t>
  </si>
  <si>
    <t>問題箇所特定</t>
    <phoneticPr fontId="4"/>
  </si>
  <si>
    <t>そのほか</t>
    <phoneticPr fontId="4"/>
  </si>
  <si>
    <t>最新コミットハッシュ値取得</t>
    <phoneticPr fontId="4"/>
  </si>
  <si>
    <t>git rev-parse HEAD</t>
  </si>
  <si>
    <t>直近タグバージョン番号表示</t>
    <phoneticPr fontId="4"/>
  </si>
  <si>
    <t>git describe</t>
    <phoneticPr fontId="4"/>
  </si>
  <si>
    <t>消したはずのリモートブランチがローカルで表示される時に削除する方法</t>
    <phoneticPr fontId="4"/>
  </si>
  <si>
    <t>該当ブランチ表示</t>
    <phoneticPr fontId="4"/>
  </si>
  <si>
    <t>未ステージングのファイルを抽出してadd</t>
    <phoneticPr fontId="4"/>
  </si>
  <si>
    <t>コミットをまとめる</t>
    <phoneticPr fontId="4"/>
  </si>
  <si>
    <t>ローカル→リモート</t>
    <phoneticPr fontId="4"/>
  </si>
  <si>
    <t>リモート→ローカル</t>
    <phoneticPr fontId="4"/>
  </si>
  <si>
    <t>git merge [--no-ff] マージ元ブランチ名</t>
    <rPh sb="23" eb="24">
      <t>モト</t>
    </rPh>
    <phoneticPr fontId="4"/>
  </si>
  <si>
    <t>git merge --ff マージ元ブランチ名</t>
    <phoneticPr fontId="4"/>
  </si>
  <si>
    <t>スタッシュ 差分確認</t>
    <rPh sb="6" eb="8">
      <t>サブン</t>
    </rPh>
    <rPh sb="8" eb="10">
      <t>カクニン</t>
    </rPh>
    <phoneticPr fontId="4"/>
  </si>
  <si>
    <r>
      <t>git stash drop stash@{</t>
    </r>
    <r>
      <rPr>
        <b/>
        <sz val="9"/>
        <color theme="1"/>
        <rFont val="ＭＳ ゴシック"/>
        <family val="3"/>
        <charset val="128"/>
      </rPr>
      <t>N</t>
    </r>
    <r>
      <rPr>
        <sz val="9"/>
        <color theme="1"/>
        <rFont val="ＭＳ ゴシック"/>
        <family val="3"/>
        <charset val="128"/>
      </rPr>
      <t>}</t>
    </r>
  </si>
  <si>
    <r>
      <t>git diff stash@{</t>
    </r>
    <r>
      <rPr>
        <b/>
        <sz val="9"/>
        <color theme="1"/>
        <rFont val="ＭＳ ゴシック"/>
        <family val="3"/>
        <charset val="128"/>
      </rPr>
      <t>N</t>
    </r>
    <r>
      <rPr>
        <sz val="9"/>
        <color theme="1"/>
        <rFont val="ＭＳ ゴシック"/>
        <family val="3"/>
        <charset val="128"/>
      </rPr>
      <t>}</t>
    </r>
    <phoneticPr fontId="4"/>
  </si>
  <si>
    <t>Nは0オリジンの番号。git stash listで確認可能。</t>
    <rPh sb="8" eb="10">
      <t>バンゴウ</t>
    </rPh>
    <rPh sb="26" eb="28">
      <t>カクニン</t>
    </rPh>
    <rPh sb="28" eb="30">
      <t>カノウ</t>
    </rPh>
    <phoneticPr fontId="4"/>
  </si>
  <si>
    <t>Nは2以上の数字。3とした場合は、HEADを含めた3つ分をまとめる。</t>
    <rPh sb="3" eb="5">
      <t>イジョウ</t>
    </rPh>
    <rPh sb="6" eb="8">
      <t>スウジ</t>
    </rPh>
    <phoneticPr fontId="4"/>
  </si>
  <si>
    <t>exec 1&gt; &gt;(tee -a ${logfilepath})</t>
    <phoneticPr fontId="4"/>
  </si>
  <si>
    <t>exec 2&gt; &gt;(tee -a ${logfilepath})</t>
    <phoneticPr fontId="4"/>
  </si>
  <si>
    <t>引数パーサー</t>
    <rPh sb="0" eb="2">
      <t>ヒキスウ</t>
    </rPh>
    <phoneticPr fontId="4"/>
  </si>
  <si>
    <t>bash sample.sh</t>
    <phoneticPr fontId="4"/>
  </si>
  <si>
    <t>変数定義(配列)１</t>
    <phoneticPr fontId="4"/>
  </si>
  <si>
    <t>変数定義(配列)２</t>
    <phoneticPr fontId="4"/>
  </si>
  <si>
    <t>${ARRAY[@]}</t>
    <phoneticPr fontId="4"/>
  </si>
  <si>
    <t>変数参照(配列)</t>
    <phoneticPr fontId="4"/>
  </si>
  <si>
    <t>変数参照(配列サイズ)</t>
    <rPh sb="5" eb="7">
      <t>ハイレツ</t>
    </rPh>
    <phoneticPr fontId="4"/>
  </si>
  <si>
    <t>${ARRAY[0]}</t>
    <phoneticPr fontId="4"/>
  </si>
  <si>
    <t>os.makedirs( trgtpath, exist_ok=True )</t>
    <phoneticPr fontId="4"/>
  </si>
  <si>
    <t>exist_ok=Trueの場合、既に存在しているディレクトリを指定してもエラーにならない。(デフォルトはFalse）</t>
    <rPh sb="14" eb="16">
      <t>バアイ</t>
    </rPh>
    <phoneticPr fontId="4"/>
  </si>
  <si>
    <t>import time</t>
    <phoneticPr fontId="4"/>
  </si>
  <si>
    <t>git show ハッシュ値:ファイル名</t>
    <phoneticPr fontId="4"/>
  </si>
  <si>
    <t>文字置換(文字単位)(translate)</t>
    <rPh sb="0" eb="2">
      <t>モジ</t>
    </rPh>
    <phoneticPr fontId="4"/>
  </si>
  <si>
    <t>文字置換(文字単位)(translate)</t>
    <phoneticPr fontId="4"/>
  </si>
  <si>
    <t>文字列置換</t>
  </si>
  <si>
    <t>文字列挿入1(5行目の前)</t>
  </si>
  <si>
    <t>文字列挿入1(5行目の後)</t>
  </si>
  <si>
    <t>文字列挿入2(5行目の前)</t>
  </si>
  <si>
    <t>文字列挿入2(5行目の後)</t>
  </si>
  <si>
    <t>文字列削除(10行目)</t>
  </si>
  <si>
    <t>文字列出力(5行目)</t>
  </si>
  <si>
    <t>文字列置換(正規表現置換)</t>
    <rPh sb="6" eb="8">
      <t>セイキ</t>
    </rPh>
    <rPh sb="8" eb="10">
      <t>ヒョウゲン</t>
    </rPh>
    <rPh sb="10" eb="12">
      <t>チカン</t>
    </rPh>
    <phoneticPr fontId="4"/>
  </si>
  <si>
    <t>echo "link name=aaa type=bbb" | sed "s/link name=\(.*\) type=\(.*\)/link name=\2 type=\1/g"</t>
    <phoneticPr fontId="4"/>
  </si>
  <si>
    <t>「link name=bbb type=aaa」が出力される。sedは「BRE（基本正規表現）」を利用する。</t>
    <rPh sb="25" eb="27">
      <t>シュツリョク</t>
    </rPh>
    <rPh sb="49" eb="51">
      <t>リヨウ</t>
    </rPh>
    <phoneticPr fontId="4"/>
  </si>
  <si>
    <t>${#ARRAY[@]}</t>
    <phoneticPr fontId="4"/>
  </si>
  <si>
    <t>0オリジン</t>
    <phoneticPr fontId="4"/>
  </si>
  <si>
    <t>変数参照(配列全要素取り出し)</t>
    <rPh sb="5" eb="7">
      <t>ハイレツ</t>
    </rPh>
    <rPh sb="7" eb="10">
      <t>ゼンヨウソ</t>
    </rPh>
    <rPh sb="10" eb="11">
      <t>ト</t>
    </rPh>
    <rPh sb="12" eb="13">
      <t>ダ</t>
    </rPh>
    <phoneticPr fontId="4"/>
  </si>
  <si>
    <t>シェルスクリプトを非source実行する際は、「return」ではなく「exit」を利用する。</t>
    <phoneticPr fontId="4"/>
  </si>
  <si>
    <t>終了コマンド(スクリプト/ターミナル)</t>
    <phoneticPr fontId="4"/>
  </si>
  <si>
    <t>終了コマンド(関数)</t>
  </si>
  <si>
    <t>シェルスクリプト内で関数を介さず実行する場合、source実行時は実行結果を返却する。非source実行時はエラーが発生して実行できない。</t>
    <rPh sb="8" eb="9">
      <t>ナイ</t>
    </rPh>
    <rPh sb="10" eb="12">
      <t>カンスウ</t>
    </rPh>
    <rPh sb="13" eb="14">
      <t>カイ</t>
    </rPh>
    <rPh sb="16" eb="18">
      <t>ジッコウ</t>
    </rPh>
    <rPh sb="20" eb="22">
      <t>バアイ</t>
    </rPh>
    <rPh sb="33" eb="35">
      <t>ジッコウ</t>
    </rPh>
    <rPh sb="35" eb="37">
      <t>ケッカ</t>
    </rPh>
    <rPh sb="38" eb="40">
      <t>ヘンキャク</t>
    </rPh>
    <rPh sb="58" eb="60">
      <t>ハッセイ</t>
    </rPh>
    <rPh sb="62" eb="64">
      <t>ジッコウ</t>
    </rPh>
    <phoneticPr fontId="4"/>
  </si>
  <si>
    <t>return N</t>
    <phoneticPr fontId="4"/>
  </si>
  <si>
    <t>exit N</t>
    <phoneticPr fontId="4"/>
  </si>
  <si>
    <t>${hoge%.*}</t>
    <phoneticPr fontId="4"/>
  </si>
  <si>
    <t>${hoge%%.*}</t>
    <phoneticPr fontId="4"/>
  </si>
  <si>
    <t>${hoge##*.}</t>
    <phoneticPr fontId="4"/>
  </si>
  <si>
    <t>${hoge#*.}</t>
    <phoneticPr fontId="4"/>
  </si>
  <si>
    <t>aaa.bbb.ccc → bbb.ccc</t>
    <phoneticPr fontId="4"/>
  </si>
  <si>
    <t>aaa.bbb.ccc → ccc</t>
    <phoneticPr fontId="4"/>
  </si>
  <si>
    <t>aaa.bbb.ccc → aaa.bbb</t>
    <phoneticPr fontId="4"/>
  </si>
  <si>
    <t>aaa.bbb.ccc → aaa</t>
    <phoneticPr fontId="4"/>
  </si>
  <si>
    <t>!</t>
    <phoneticPr fontId="4"/>
  </si>
  <si>
    <t>"</t>
    <phoneticPr fontId="4"/>
  </si>
  <si>
    <t>#</t>
    <phoneticPr fontId="4"/>
  </si>
  <si>
    <t>$</t>
    <phoneticPr fontId="4"/>
  </si>
  <si>
    <t>%</t>
    <phoneticPr fontId="4"/>
  </si>
  <si>
    <t>&amp;</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</si>
  <si>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</si>
  <si>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</si>
  <si>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</si>
  <si>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</si>
  <si>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</si>
  <si>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</si>
  <si>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</si>
  <si>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</si>
  <si>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</si>
  <si>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</si>
  <si>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</si>
  <si>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</si>
  <si>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</si>
  <si>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</si>
  <si>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</si>
  <si>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</si>
  <si>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</si>
  <si>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</si>
  <si>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</si>
  <si>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</si>
  <si>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&lt;</t>
    <phoneticPr fontId="4"/>
  </si>
  <si>
    <t>.</t>
    <phoneticPr fontId="4"/>
  </si>
  <si>
    <t>&gt;</t>
    <phoneticPr fontId="4"/>
  </si>
  <si>
    <t>/</t>
    <phoneticPr fontId="4"/>
  </si>
  <si>
    <t>?</t>
    <phoneticPr fontId="4"/>
  </si>
  <si>
    <t>_</t>
    <phoneticPr fontId="4"/>
  </si>
  <si>
    <r>
      <t>vim
(very magic</t>
    </r>
    <r>
      <rPr>
        <sz val="9"/>
        <color theme="1"/>
        <rFont val="ＭＳ ゴシック"/>
        <family val="3"/>
        <charset val="128"/>
      </rPr>
      <t>(\v)</t>
    </r>
    <r>
      <rPr>
        <sz val="9"/>
        <color theme="1"/>
        <rFont val="ＭＳ ゴシック"/>
        <family val="3"/>
        <charset val="128"/>
      </rPr>
      <t>)</t>
    </r>
    <phoneticPr fontId="4"/>
  </si>
  <si>
    <t>○</t>
    <phoneticPr fontId="4"/>
  </si>
  <si>
    <t>■エスケープ要否（○:要、×:不要）</t>
    <rPh sb="6" eb="8">
      <t>ヨウヒ</t>
    </rPh>
    <rPh sb="11" eb="12">
      <t>ヨウ</t>
    </rPh>
    <rPh sb="15" eb="17">
      <t>フヨウ</t>
    </rPh>
    <phoneticPr fontId="14"/>
  </si>
  <si>
    <t>×</t>
    <phoneticPr fontId="4"/>
  </si>
  <si>
    <t>\N</t>
    <phoneticPr fontId="4"/>
  </si>
  <si>
    <t>マッチ文字列(後方参照) N番目</t>
  </si>
  <si>
    <t>マッチ文字列(後方参照) 全体</t>
    <phoneticPr fontId="14"/>
  </si>
  <si>
    <t>\1～\9</t>
    <phoneticPr fontId="4"/>
  </si>
  <si>
    <t>repstr = re.sub(pattern, repstr, targetstr)</t>
    <phoneticPr fontId="4"/>
  </si>
  <si>
    <t>targetstrの中でpatternにマッチした部分のみをrepstrに置き換える。</t>
    <phoneticPr fontId="4"/>
  </si>
  <si>
    <t>○("")</t>
    <phoneticPr fontId="4"/>
  </si>
  <si>
    <t>慣習では、0=正常終了、1=異常終了、それ以外はエラー</t>
    <rPh sb="0" eb="2">
      <t>カンシュウ</t>
    </rPh>
    <phoneticPr fontId="4"/>
  </si>
  <si>
    <t>特殊変数 直前実行したコマンド終了ステータス</t>
    <phoneticPr fontId="4"/>
  </si>
  <si>
    <t>find . -maxdepth 1 -type f | grep ./ | awk -F/ '{ print $2 }'</t>
    <phoneticPr fontId="4"/>
  </si>
  <si>
    <t>for(文字列リスト指定)</t>
    <rPh sb="4" eb="7">
      <t>モジレツ</t>
    </rPh>
    <rPh sb="10" eb="12">
      <t>シテイ</t>
    </rPh>
    <phoneticPr fontId="4"/>
  </si>
  <si>
    <t>for(配列指定)</t>
    <rPh sb="4" eb="6">
      <t>ハイレツ</t>
    </rPh>
    <phoneticPr fontId="4"/>
  </si>
  <si>
    <t>for(ファイル指定)</t>
    <rPh sb="8" eb="10">
      <t>シテイ</t>
    </rPh>
    <phoneticPr fontId="4"/>
  </si>
  <si>
    <t>git branch -r</t>
    <phoneticPr fontId="4"/>
  </si>
  <si>
    <t xml:space="preserve"> </t>
    <phoneticPr fontId="4"/>
  </si>
  <si>
    <t>sudo update-alternatives --install /usr/bin/python3 python3 /usr/bin/python3.9 1001</t>
    <phoneticPr fontId="4"/>
  </si>
  <si>
    <t>「--install &lt;symlink_cmd_path&gt; &lt;cmd_name&gt; &lt;actual_cmd_path&gt; &lt;priority&gt;」を指定する。&lt;priority&gt;が大きいものが優先される(＝auto時に自動適用される)。</t>
    <rPh sb="70" eb="72">
      <t>シテイ</t>
    </rPh>
    <rPh sb="87" eb="88">
      <t>オオ</t>
    </rPh>
    <rPh sb="93" eb="95">
      <t>ユウセン</t>
    </rPh>
    <rPh sb="104" eb="105">
      <t>ジ</t>
    </rPh>
    <phoneticPr fontId="4"/>
  </si>
  <si>
    <t>sudo update-alternatives --config python3</t>
  </si>
  <si>
    <t>sudo update-alternatives --auto python3</t>
  </si>
  <si>
    <t>update-alternatives --display python3</t>
  </si>
  <si>
    <t>コマンドバージョン切替え 切替え対象バージョン追加</t>
    <rPh sb="13" eb="14">
      <t>キ</t>
    </rPh>
    <rPh sb="14" eb="15">
      <t>カ</t>
    </rPh>
    <rPh sb="16" eb="18">
      <t>タイショウ</t>
    </rPh>
    <rPh sb="23" eb="25">
      <t>ツイカ</t>
    </rPh>
    <phoneticPr fontId="4"/>
  </si>
  <si>
    <t>コマンドバージョン切替え 切替え実行（手動）</t>
    <rPh sb="13" eb="14">
      <t>キ</t>
    </rPh>
    <rPh sb="14" eb="15">
      <t>カ</t>
    </rPh>
    <rPh sb="16" eb="18">
      <t>ジッコウ</t>
    </rPh>
    <rPh sb="19" eb="21">
      <t>シュドウ</t>
    </rPh>
    <phoneticPr fontId="4"/>
  </si>
  <si>
    <t>コマンドバージョン切替え 切替え実行（自動）</t>
    <rPh sb="13" eb="14">
      <t>キ</t>
    </rPh>
    <rPh sb="14" eb="15">
      <t>カ</t>
    </rPh>
    <rPh sb="16" eb="18">
      <t>ジッコウ</t>
    </rPh>
    <rPh sb="19" eb="21">
      <t>ジドウ</t>
    </rPh>
    <phoneticPr fontId="4"/>
  </si>
  <si>
    <t>priorityが最大のバージョンに切り替える。</t>
    <rPh sb="9" eb="11">
      <t>サイダイ</t>
    </rPh>
    <rPh sb="18" eb="19">
      <t>キ</t>
    </rPh>
    <rPh sb="20" eb="21">
      <t>カ</t>
    </rPh>
    <phoneticPr fontId="4"/>
  </si>
  <si>
    <t>対話形式で切り替える。</t>
    <rPh sb="0" eb="2">
      <t>タイワ</t>
    </rPh>
    <rPh sb="2" eb="4">
      <t>ケイシキ</t>
    </rPh>
    <rPh sb="5" eb="6">
      <t>キ</t>
    </rPh>
    <rPh sb="7" eb="8">
      <t>カ</t>
    </rPh>
    <phoneticPr fontId="4"/>
  </si>
  <si>
    <t>コマンドバージョン切替え 切替え対象バージョン確認</t>
    <rPh sb="13" eb="15">
      <t>キリカ</t>
    </rPh>
    <rPh sb="16" eb="18">
      <t>タイショウ</t>
    </rPh>
    <rPh sb="23" eb="25">
      <t>カクニン</t>
    </rPh>
    <phoneticPr fontId="4"/>
  </si>
  <si>
    <t>args = parser.parse_args()</t>
    <phoneticPr fontId="4"/>
  </si>
  <si>
    <t>引数取得用変数定義</t>
    <rPh sb="0" eb="2">
      <t>ヒキスウ</t>
    </rPh>
    <rPh sb="2" eb="4">
      <t>シュトク</t>
    </rPh>
    <rPh sb="4" eb="5">
      <t>ヨウ</t>
    </rPh>
    <rPh sb="5" eb="7">
      <t>ヘンスウ</t>
    </rPh>
    <rPh sb="7" eb="9">
      <t>テイギ</t>
    </rPh>
    <phoneticPr fontId="4"/>
  </si>
  <si>
    <t>parser.add_argument('-i', '--base_world_sdf', help='base world sdf file path.', type=str, default="world/base_world.sdf, required=False")</t>
    <phoneticPr fontId="4"/>
  </si>
  <si>
    <t>parser.add_argument('--env_spec_info_yaml', help='env spec info yaml file path.', type=str, default="config/env_spec_info.yaml", required=False)</t>
    <phoneticPr fontId="4"/>
  </si>
  <si>
    <t>parser.add_argument('--narrow_width_rate', help='narrow width rate.', type=float, default=0.2, choices=Range(0.0, 1.0), required=False)</t>
    <phoneticPr fontId="4"/>
  </si>
  <si>
    <t>parser.add_argument('--output_file_num', help='output file number.', type=int, default=3, choices=Range(1, 1000), required=False)</t>
    <phoneticPr fontId="4"/>
  </si>
  <si>
    <t>parser.add_argument('--place_stack_num_max', help='enable stack num max.', type=str, default="true", choices=["false", "true"], required=False)</t>
    <phoneticPr fontId="4"/>
  </si>
  <si>
    <t>parser.add_argument('--place_mode', help='place mode.', type=str, default="ALIGNMENTED", choices=["ALIGNMENTED","RANDOMIZED"], required=False)</t>
    <phoneticPr fontId="4"/>
  </si>
  <si>
    <t>/home/user/</t>
    <phoneticPr fontId="4"/>
  </si>
  <si>
    <t>pip パッケージインストール</t>
    <phoneticPr fontId="4"/>
  </si>
  <si>
    <t>pip パッケージアンインストール</t>
    <phoneticPr fontId="4"/>
  </si>
  <si>
    <t>pip パッケージインストール可能バージョン確認</t>
    <rPh sb="15" eb="17">
      <t>カノウ</t>
    </rPh>
    <rPh sb="22" eb="24">
      <t>カクニン</t>
    </rPh>
    <phoneticPr fontId="4"/>
  </si>
  <si>
    <t>pip パッケージインストール（特定バージョン）</t>
    <rPh sb="16" eb="18">
      <t>トクテイ</t>
    </rPh>
    <phoneticPr fontId="4"/>
  </si>
  <si>
    <t>yum install &lt;package&gt;</t>
    <phoneticPr fontId="4"/>
  </si>
  <si>
    <t>yum パッケージインストール(RedHat系)</t>
    <phoneticPr fontId="4"/>
  </si>
  <si>
    <t>パッケージ管理</t>
    <rPh sb="5" eb="7">
      <t>カンリ</t>
    </rPh>
    <phoneticPr fontId="4"/>
  </si>
  <si>
    <t>fruits = {}</t>
    <phoneticPr fontId="4"/>
  </si>
  <si>
    <t>オブジェクト定義(初期値あり)</t>
    <rPh sb="9" eb="12">
      <t>ショキチ</t>
    </rPh>
    <phoneticPr fontId="4"/>
  </si>
  <si>
    <t>オブジェクト定義(初期値なし)</t>
    <rPh sb="9" eb="12">
      <t>ショキチ</t>
    </rPh>
    <phoneticPr fontId="4"/>
  </si>
  <si>
    <t>Pose(pos=Position(x=7.0, y=8.0, z=9.0), orien=Rpy(r=10.0, p=11.0, y=12.0))</t>
    <phoneticPr fontId="4"/>
  </si>
  <si>
    <t>Pose(pos=Position(x=1.0, y=2.0, z=3.0), orien=Rpy(r=4.0, p=5.0, y=6.0))</t>
    <phoneticPr fontId="4"/>
  </si>
  <si>
    <t>Pose(pos=Position(x=0.0, y=0.0, z=0.0), orien=Rpy(r=0.0, p=0.0, y=0.0))</t>
    <phoneticPr fontId="4"/>
  </si>
  <si>
    <t>インスタンス化(初期化子なし)</t>
    <rPh sb="6" eb="7">
      <t>カ</t>
    </rPh>
    <rPh sb="8" eb="11">
      <t>ショキカ</t>
    </rPh>
    <rPh sb="11" eb="12">
      <t>シ</t>
    </rPh>
    <phoneticPr fontId="4"/>
  </si>
  <si>
    <t>参照＆更新</t>
    <rPh sb="0" eb="2">
      <t>サンショウ</t>
    </rPh>
    <rPh sb="3" eb="5">
      <t>コウシン</t>
    </rPh>
    <phoneticPr fontId="4"/>
  </si>
  <si>
    <t>work_pose_fr_local = Pose()</t>
    <phoneticPr fontId="4"/>
  </si>
  <si>
    <t>work_pose_fr_local = Pose(Position(1.0, 2.0, 3.0), Rpy(4.0, 5.0, 6.0))</t>
    <phoneticPr fontId="4"/>
  </si>
  <si>
    <t>work_pose_fr_local = Pose(Position(x=1.0, z=3.0))</t>
    <phoneticPr fontId="4"/>
  </si>
  <si>
    <t>インスタンス化(初期化子あり２)</t>
    <rPh sb="6" eb="7">
      <t>カ</t>
    </rPh>
    <phoneticPr fontId="4"/>
  </si>
  <si>
    <t>インスタンス化(初期化子あり１)</t>
    <rPh sb="6" eb="7">
      <t>カ</t>
    </rPh>
    <phoneticPr fontId="4"/>
  </si>
  <si>
    <t>Pose(pos=Position(x=1.0, y=0.0, z=3.0), orien=Rpy(r=0.0, p=0.0, y=0.0))</t>
    <phoneticPr fontId="4"/>
  </si>
  <si>
    <t>構造体(dataclass)</t>
    <rPh sb="0" eb="3">
      <t>コウゾウタイ</t>
    </rPh>
    <phoneticPr fontId="4"/>
  </si>
  <si>
    <t>リスト 空チェック</t>
    <rPh sb="4" eb="5">
      <t>カラ</t>
    </rPh>
    <phoneticPr fontId="4"/>
  </si>
  <si>
    <t>if list == []:</t>
    <phoneticPr fontId="4"/>
  </si>
  <si>
    <t>1, 2, 3, 4</t>
    <phoneticPr fontId="4"/>
  </si>
  <si>
    <t>0, 1, 2, …, (len(list)-1)</t>
    <phoneticPr fontId="4"/>
  </si>
  <si>
    <t>for i in range(2, 4):</t>
    <phoneticPr fontId="4"/>
  </si>
  <si>
    <t>for i in range(1, 5):</t>
    <phoneticPr fontId="4"/>
  </si>
  <si>
    <t>2, 3</t>
    <phoneticPr fontId="4"/>
  </si>
  <si>
    <t>1, 3, 5, 7, 9</t>
    <phoneticPr fontId="4"/>
  </si>
  <si>
    <t>for i in range(1, 11, 2):</t>
    <phoneticPr fontId="4"/>
  </si>
  <si>
    <t>ループの次要素の処理に移る（＝ループの現要素のcontinue以降の処理を省略する）</t>
    <rPh sb="4" eb="5">
      <t>ツギ</t>
    </rPh>
    <rPh sb="5" eb="7">
      <t>ヨウソ</t>
    </rPh>
    <rPh sb="8" eb="10">
      <t>ショリ</t>
    </rPh>
    <rPh sb="11" eb="12">
      <t>ウツ</t>
    </rPh>
    <rPh sb="19" eb="20">
      <t>ゲン</t>
    </rPh>
    <rPh sb="20" eb="22">
      <t>ヨウソ</t>
    </rPh>
    <rPh sb="31" eb="33">
      <t>イコウ</t>
    </rPh>
    <rPh sb="34" eb="36">
      <t>ショリ</t>
    </rPh>
    <rPh sb="37" eb="39">
      <t>ショウリャク</t>
    </rPh>
    <phoneticPr fontId="4"/>
  </si>
  <si>
    <t>python3.10以降で利用可能</t>
    <rPh sb="10" eb="12">
      <t>イコウ</t>
    </rPh>
    <rPh sb="13" eb="15">
      <t>リヨウ</t>
    </rPh>
    <rPh sb="15" eb="17">
      <t>カノウ</t>
    </rPh>
    <phoneticPr fontId="4"/>
  </si>
  <si>
    <t>XMLパース（ElementTree）</t>
    <phoneticPr fontId="4"/>
  </si>
  <si>
    <t>import xml.etree.ElementTree as ET</t>
  </si>
  <si>
    <t>属性取得関数定義</t>
    <rPh sb="0" eb="2">
      <t>ゾクセイ</t>
    </rPh>
    <rPh sb="2" eb="4">
      <t>シュトク</t>
    </rPh>
    <rPh sb="4" eb="6">
      <t>カンスウ</t>
    </rPh>
    <rPh sb="6" eb="8">
      <t>テイギ</t>
    </rPh>
    <phoneticPr fontId="4"/>
  </si>
  <si>
    <t>tree = ET.parse(file_path)</t>
    <phoneticPr fontId="4"/>
  </si>
  <si>
    <t>ファイルオープン</t>
    <phoneticPr fontId="4"/>
  </si>
  <si>
    <t>属性取得</t>
    <rPh sb="0" eb="2">
      <t>ゾクセイ</t>
    </rPh>
    <rPh sb="2" eb="4">
      <t>シュトク</t>
    </rPh>
    <phoneticPr fontId="4"/>
  </si>
  <si>
    <t>タグ名取得</t>
    <rPh sb="2" eb="3">
      <t>メイ</t>
    </rPh>
    <rPh sb="3" eb="5">
      <t>シュトク</t>
    </rPh>
    <phoneticPr fontId="4"/>
  </si>
  <si>
    <t>elm_sdf = tree.getroot()</t>
    <phoneticPr fontId="4"/>
  </si>
  <si>
    <t>for elm_world in elm_sdf.findall("world"):</t>
    <phoneticPr fontId="4"/>
  </si>
  <si>
    <t>world_name = get_attrib(elm_world, "name", True)</t>
    <phoneticPr fontId="4"/>
  </si>
  <si>
    <t>コンテキスト取得</t>
    <rPh sb="6" eb="8">
      <t>シュトク</t>
    </rPh>
    <phoneticPr fontId="4"/>
  </si>
  <si>
    <t>elm_world.tag</t>
    <phoneticPr fontId="4"/>
  </si>
  <si>
    <t>elm_static.text</t>
    <phoneticPr fontId="4"/>
  </si>
  <si>
    <t>"&lt;static&gt;true&lt;/static&gt;"の"true"を取得できる</t>
    <rPh sb="31" eb="33">
      <t>シュトク</t>
    </rPh>
    <phoneticPr fontId="4"/>
  </si>
  <si>
    <t>"&lt;world&gt;"の"world"を取得できる</t>
    <rPh sb="18" eb="20">
      <t>シュトク</t>
    </rPh>
    <phoneticPr fontId="4"/>
  </si>
  <si>
    <t>"&lt;world name="sim_world"&gt;"の"sim_world"を取得できる</t>
    <rPh sb="39" eb="41">
      <t>シュトク</t>
    </rPh>
    <phoneticPr fontId="4"/>
  </si>
  <si>
    <t>タグ要素取得（ループ）</t>
    <rPh sb="2" eb="4">
      <t>ヨウソ</t>
    </rPh>
    <rPh sb="4" eb="6">
      <t>シュトク</t>
    </rPh>
    <phoneticPr fontId="4"/>
  </si>
  <si>
    <t>ルートのタグ要素取得</t>
    <rPh sb="8" eb="10">
      <t>シュトク</t>
    </rPh>
    <phoneticPr fontId="4"/>
  </si>
  <si>
    <t>git branch -m 新ブランチ名</t>
    <phoneticPr fontId="4"/>
  </si>
  <si>
    <t>parser.add_argument('-p', '--place_stack_num_max', help='enable stack num max.', action='store_true', required=False)</t>
    <phoneticPr fontId="4"/>
  </si>
  <si>
    <t>引数定義（短縮オプションなし）（bool (--flag true形式)）</t>
    <rPh sb="0" eb="2">
      <t>ヒキスウ</t>
    </rPh>
    <rPh sb="2" eb="4">
      <t>テイギ</t>
    </rPh>
    <rPh sb="33" eb="35">
      <t>ケイシキ</t>
    </rPh>
    <phoneticPr fontId="4"/>
  </si>
  <si>
    <t>引数定義（短縮オプションなし）（bool (--flag 形式)）</t>
    <rPh sb="0" eb="2">
      <t>ヒキスウ</t>
    </rPh>
    <rPh sb="2" eb="4">
      <t>テイギ</t>
    </rPh>
    <phoneticPr fontId="4"/>
  </si>
  <si>
    <t>"store_true"の場合、指定時trueで未指定時falseになる。"store_false"はその逆。</t>
    <rPh sb="13" eb="15">
      <t>バアイ</t>
    </rPh>
    <rPh sb="16" eb="18">
      <t>シテイ</t>
    </rPh>
    <rPh sb="18" eb="19">
      <t>ジ</t>
    </rPh>
    <rPh sb="24" eb="27">
      <t>ミシテイ</t>
    </rPh>
    <rPh sb="27" eb="28">
      <t>ジ</t>
    </rPh>
    <rPh sb="53" eb="54">
      <t>ギャク</t>
    </rPh>
    <phoneticPr fontId="4"/>
  </si>
  <si>
    <t>pip パッケージインストール有無確認</t>
    <rPh sb="15" eb="17">
      <t>ウム</t>
    </rPh>
    <rPh sb="17" eb="19">
      <t>カクニン</t>
    </rPh>
    <phoneticPr fontId="4"/>
  </si>
  <si>
    <t>python3 -m pip install bpy</t>
    <phoneticPr fontId="4"/>
  </si>
  <si>
    <t>python3 -m pip uninstall bpy</t>
  </si>
  <si>
    <t>python3 -m pip install bpy==</t>
  </si>
  <si>
    <t>python3 -m pip list | grep bpy</t>
  </si>
  <si>
    <t>python3 -m pip install bpy==3.6.0</t>
    <phoneticPr fontId="4"/>
  </si>
  <si>
    <t>構造体定義（メンバ＝基本型）</t>
    <rPh sb="0" eb="3">
      <t>コウゾウタイ</t>
    </rPh>
    <rPh sb="3" eb="5">
      <t>テイギ</t>
    </rPh>
    <rPh sb="10" eb="12">
      <t>キホン</t>
    </rPh>
    <rPh sb="12" eb="13">
      <t>カタ</t>
    </rPh>
    <phoneticPr fontId="4"/>
  </si>
  <si>
    <t>構造体定義（メンバ＝他構造体）</t>
    <rPh sb="0" eb="3">
      <t>コウゾウタイ</t>
    </rPh>
    <rPh sb="3" eb="5">
      <t>テイギ</t>
    </rPh>
    <rPh sb="10" eb="11">
      <t>ホカ</t>
    </rPh>
    <rPh sb="11" eb="14">
      <t>コウゾウタイ</t>
    </rPh>
    <phoneticPr fontId="4"/>
  </si>
  <si>
    <t>構造体定義（メンバ＝他構造体リスト）</t>
    <rPh sb="0" eb="3">
      <t>コウゾウタイ</t>
    </rPh>
    <rPh sb="3" eb="5">
      <t>テイギ</t>
    </rPh>
    <rPh sb="11" eb="14">
      <t>コウゾウタイ</t>
    </rPh>
    <phoneticPr fontId="4"/>
  </si>
  <si>
    <t>構造体定義（メンバ＝自構造体リスト）</t>
    <rPh sb="0" eb="3">
      <t>コウゾウタイ</t>
    </rPh>
    <rPh sb="3" eb="5">
      <t>テイギ</t>
    </rPh>
    <rPh sb="10" eb="11">
      <t>ジ</t>
    </rPh>
    <rPh sb="11" eb="14">
      <t>コウゾウタイ</t>
    </rPh>
    <phoneticPr fontId="4"/>
  </si>
  <si>
    <t>自分の構造体をメンバとする場合の型ヒントは、list[AreaSizeInfo]は使えないのでlistにする。</t>
    <rPh sb="0" eb="2">
      <t>ジブン</t>
    </rPh>
    <rPh sb="3" eb="6">
      <t>コウゾウタイ</t>
    </rPh>
    <rPh sb="13" eb="15">
      <t>バアイ</t>
    </rPh>
    <phoneticPr fontId="4"/>
  </si>
  <si>
    <t>今のブランチに選択したブランチを、新しくマージコミットを作成してマージ。マージ元ブランチは削除しない。</t>
    <rPh sb="39" eb="40">
      <t>モト</t>
    </rPh>
    <rPh sb="45" eb="47">
      <t>サクジョ</t>
    </rPh>
    <phoneticPr fontId="4"/>
  </si>
  <si>
    <t>今のブランチに選択したブランチを、新しくマージコミットを作成せずに(fast-forward(早送り))マージ。マージ元ブランチは削除しない。</t>
    <phoneticPr fontId="4"/>
  </si>
  <si>
    <t>リモートのブランチは削除しない。</t>
    <rPh sb="10" eb="12">
      <t>サクジョ</t>
    </rPh>
    <phoneticPr fontId="4"/>
  </si>
  <si>
    <t>ブランチ名にorigin/は不要。ローカルのブランチは削除しない。</t>
    <rPh sb="4" eb="5">
      <t>メイ</t>
    </rPh>
    <phoneticPr fontId="4"/>
  </si>
  <si>
    <t>英単語amend＝修正する</t>
    <phoneticPr fontId="4"/>
  </si>
  <si>
    <t>ulimit [option] unlimited</t>
    <phoneticPr fontId="4"/>
  </si>
  <si>
    <t>リソース制限(設定値変更 無限)</t>
    <rPh sb="7" eb="10">
      <t>セッテイチ</t>
    </rPh>
    <rPh sb="10" eb="12">
      <t>ヘンコウ</t>
    </rPh>
    <rPh sb="13" eb="15">
      <t>ムゲン</t>
    </rPh>
    <phoneticPr fontId="4"/>
  </si>
  <si>
    <t>ulimit [option] NNN</t>
    <phoneticPr fontId="4"/>
  </si>
  <si>
    <t>リソース制限(設定値変更 有限)</t>
    <rPh sb="7" eb="10">
      <t>セッテイチ</t>
    </rPh>
    <rPh sb="10" eb="12">
      <t>ヘンコウ</t>
    </rPh>
    <rPh sb="13" eb="15">
      <t>ユウゲン</t>
    </rPh>
    <phoneticPr fontId="4"/>
  </si>
  <si>
    <t>ulimit -c *</t>
  </si>
  <si>
    <t>ulimit -d *</t>
  </si>
  <si>
    <t>ulimit -e *</t>
  </si>
  <si>
    <t>ulimit -f *</t>
  </si>
  <si>
    <t>ulimit -i *</t>
  </si>
  <si>
    <t>ulimit -l *</t>
  </si>
  <si>
    <t>ulimit -m *</t>
  </si>
  <si>
    <t>ulimit -n *</t>
  </si>
  <si>
    <t>ulimit -p *</t>
  </si>
  <si>
    <t>ulimit -q *</t>
  </si>
  <si>
    <t>ulimit -r *</t>
  </si>
  <si>
    <t>ulimit -s *</t>
  </si>
  <si>
    <t>ulimit -t *</t>
  </si>
  <si>
    <t>ulimit -u *</t>
  </si>
  <si>
    <t>ulimit -v *</t>
  </si>
  <si>
    <t>ulimit -x *</t>
  </si>
  <si>
    <t>リソース制限(設定値変更オプション)</t>
    <phoneticPr fontId="4"/>
  </si>
  <si>
    <t>core file size      : 作成されるコアファイルの最大サイズ（512バイト単位のブロック数）</t>
  </si>
  <si>
    <t>data seg size       : プロセスデータセグメントの最大サイズ（KB＝1024バイト単位）</t>
  </si>
  <si>
    <t>scheduling priority : スケジュール優先度の最大値（nice値、※2）</t>
  </si>
  <si>
    <t>file size           : シェルとシェルの子プロセスが書き込み可能なファイルサイズの最大値（ブロック数）</t>
  </si>
  <si>
    <t>pending signals     : 保留できるシグナルの最大数</t>
  </si>
  <si>
    <t>max locked memory   : メモリにロックできるプロセスの最大サイズ（KB）</t>
  </si>
  <si>
    <t>max memory size     : 利用できる最大のメモリサイズ（KB）</t>
  </si>
  <si>
    <t>open files          : 同時にオープンできるファイル数</t>
  </si>
  <si>
    <t>pipe size           : パイプのバッファーサイズ（512バイト単位のブロック数）</t>
  </si>
  <si>
    <t>POSIX message queue : POSIXメッセージキューの最大バイト数</t>
  </si>
  <si>
    <t>real-time priority  : リアルタイムスケジュール優先度の最大値</t>
  </si>
  <si>
    <t>stack size          : スタックサイズの最大値（KB）</t>
  </si>
  <si>
    <t>cpu time            : プロセスごとに利用できるCPU時間の最大値（秒数）</t>
  </si>
  <si>
    <t>max user processes  : 実行可能なユーザープロセスの最大数</t>
  </si>
  <si>
    <t>virtual memory      : シェルとシェルの子プロセスが利用可能な仮想メモリの最大サイズ（KB）</t>
  </si>
  <si>
    <t>file locks          : ファイルロックの最大数</t>
  </si>
  <si>
    <t>git commit --amend --date="Sat Sep 21 15:00:00 2019 +0900"</t>
    <phoneticPr fontId="4"/>
  </si>
  <si>
    <t>コミット日時変更</t>
    <rPh sb="4" eb="6">
      <t>ニチジ</t>
    </rPh>
    <rPh sb="6" eb="8">
      <t>ヘンコウ</t>
    </rPh>
    <phoneticPr fontId="4"/>
  </si>
  <si>
    <t>↑</t>
    <phoneticPr fontId="4"/>
  </si>
  <si>
    <t>git rebase HEAD~1 --committer-date-is-author-date</t>
    <phoneticPr fontId="4"/>
  </si>
  <si>
    <t>exec &gt; &gt;(tee -a ${logfilepath}) 2&gt;&amp;1</t>
    <phoneticPr fontId="4"/>
  </si>
  <si>
    <t>ログ出力先指定toファイル＆画面（標準出力＆標準エラー出力）</t>
    <rPh sb="2" eb="4">
      <t>シュツリョク</t>
    </rPh>
    <rPh sb="4" eb="5">
      <t>サキ</t>
    </rPh>
    <rPh sb="5" eb="7">
      <t>シテイ</t>
    </rPh>
    <rPh sb="14" eb="16">
      <t>ガメン</t>
    </rPh>
    <rPh sb="22" eb="24">
      <t>ヒョウジュン</t>
    </rPh>
    <rPh sb="27" eb="29">
      <t>シュツリョク</t>
    </rPh>
    <phoneticPr fontId="4"/>
  </si>
  <si>
    <t>exec &gt; /dev/tty 2&gt;&amp;1</t>
    <phoneticPr fontId="4"/>
  </si>
  <si>
    <t>ログ出力先指定to画面（標準出力＆標準エラー出力）</t>
  </si>
  <si>
    <r>
      <t>シェルスクリプトの冒頭に本処理を行うと、以降の処理の</t>
    </r>
    <r>
      <rPr>
        <b/>
        <sz val="9"/>
        <color theme="1"/>
        <rFont val="ＭＳ ゴシック"/>
        <family val="3"/>
        <charset val="128"/>
      </rPr>
      <t>標準出力と標準エラー出力</t>
    </r>
    <r>
      <rPr>
        <sz val="9"/>
        <color theme="1"/>
        <rFont val="ＭＳ ゴシック"/>
        <family val="3"/>
        <charset val="128"/>
      </rPr>
      <t>を</t>
    </r>
    <r>
      <rPr>
        <u/>
        <sz val="9"/>
        <color theme="1"/>
        <rFont val="ＭＳ ゴシック"/>
        <family val="3"/>
        <charset val="128"/>
      </rPr>
      <t>画面</t>
    </r>
    <r>
      <rPr>
        <sz val="9"/>
        <color theme="1"/>
        <rFont val="ＭＳ ゴシック"/>
        <family val="3"/>
        <charset val="128"/>
      </rPr>
      <t>のみに出力する。</t>
    </r>
    <rPh sb="9" eb="11">
      <t>ボウトウ</t>
    </rPh>
    <rPh sb="12" eb="13">
      <t>ホン</t>
    </rPh>
    <rPh sb="13" eb="15">
      <t>ショリ</t>
    </rPh>
    <rPh sb="16" eb="17">
      <t>オコナ</t>
    </rPh>
    <rPh sb="20" eb="22">
      <t>イコウ</t>
    </rPh>
    <rPh sb="23" eb="25">
      <t>ショリ</t>
    </rPh>
    <rPh sb="26" eb="28">
      <t>ヒョウジュン</t>
    </rPh>
    <rPh sb="28" eb="30">
      <t>シュツリョク</t>
    </rPh>
    <rPh sb="31" eb="33">
      <t>ヒョウジュン</t>
    </rPh>
    <rPh sb="36" eb="38">
      <t>シュツリョク</t>
    </rPh>
    <rPh sb="39" eb="41">
      <t>ガメン</t>
    </rPh>
    <rPh sb="44" eb="46">
      <t>シュツリョク</t>
    </rPh>
    <phoneticPr fontId="4"/>
  </si>
  <si>
    <r>
      <t>シェルスクリプトの冒頭に本処理を行うと、以降の処理の</t>
    </r>
    <r>
      <rPr>
        <b/>
        <sz val="9"/>
        <color theme="1"/>
        <rFont val="ＭＳ ゴシック"/>
        <family val="3"/>
        <charset val="128"/>
      </rPr>
      <t>標準出力と標準エラー出力</t>
    </r>
    <r>
      <rPr>
        <sz val="9"/>
        <color theme="1"/>
        <rFont val="ＭＳ ゴシック"/>
        <family val="3"/>
        <charset val="128"/>
      </rPr>
      <t>を</t>
    </r>
    <r>
      <rPr>
        <u/>
        <sz val="9"/>
        <color theme="1"/>
        <rFont val="ＭＳ ゴシック"/>
        <family val="3"/>
        <charset val="128"/>
      </rPr>
      <t>ファイルと画面</t>
    </r>
    <r>
      <rPr>
        <sz val="9"/>
        <color theme="1"/>
        <rFont val="ＭＳ ゴシック"/>
        <family val="3"/>
        <charset val="128"/>
      </rPr>
      <t>に出力する。</t>
    </r>
    <rPh sb="9" eb="11">
      <t>ボウトウ</t>
    </rPh>
    <rPh sb="12" eb="13">
      <t>ホン</t>
    </rPh>
    <rPh sb="13" eb="15">
      <t>ショリ</t>
    </rPh>
    <rPh sb="16" eb="17">
      <t>オコナ</t>
    </rPh>
    <rPh sb="20" eb="22">
      <t>イコウ</t>
    </rPh>
    <rPh sb="23" eb="25">
      <t>ショリ</t>
    </rPh>
    <rPh sb="26" eb="28">
      <t>ヒョウジュン</t>
    </rPh>
    <rPh sb="28" eb="30">
      <t>シュツリョク</t>
    </rPh>
    <rPh sb="31" eb="33">
      <t>ヒョウジュン</t>
    </rPh>
    <rPh sb="36" eb="38">
      <t>シュツリョク</t>
    </rPh>
    <rPh sb="44" eb="46">
      <t>ガメン</t>
    </rPh>
    <rPh sb="47" eb="49">
      <t>シュツリョク</t>
    </rPh>
    <phoneticPr fontId="4"/>
  </si>
  <si>
    <r>
      <t>シェルスクリプトの冒頭に本処理を行うと、以降の処理の</t>
    </r>
    <r>
      <rPr>
        <b/>
        <sz val="9"/>
        <color theme="1"/>
        <rFont val="ＭＳ ゴシック"/>
        <family val="3"/>
        <charset val="128"/>
      </rPr>
      <t>標準エラー出力</t>
    </r>
    <r>
      <rPr>
        <sz val="9"/>
        <color theme="1"/>
        <rFont val="ＭＳ ゴシック"/>
        <family val="3"/>
        <charset val="128"/>
      </rPr>
      <t>を</t>
    </r>
    <r>
      <rPr>
        <u/>
        <sz val="9"/>
        <color theme="1"/>
        <rFont val="ＭＳ ゴシック"/>
        <family val="3"/>
        <charset val="128"/>
      </rPr>
      <t>ファイルと画面</t>
    </r>
    <r>
      <rPr>
        <sz val="9"/>
        <color theme="1"/>
        <rFont val="ＭＳ ゴシック"/>
        <family val="3"/>
        <charset val="128"/>
      </rPr>
      <t>に出力する。</t>
    </r>
    <rPh sb="9" eb="11">
      <t>ボウトウ</t>
    </rPh>
    <rPh sb="12" eb="13">
      <t>ホン</t>
    </rPh>
    <rPh sb="13" eb="15">
      <t>ショリ</t>
    </rPh>
    <rPh sb="16" eb="17">
      <t>オコナ</t>
    </rPh>
    <rPh sb="20" eb="22">
      <t>イコウ</t>
    </rPh>
    <rPh sb="23" eb="25">
      <t>ショリ</t>
    </rPh>
    <rPh sb="26" eb="28">
      <t>ヒョウジュン</t>
    </rPh>
    <rPh sb="31" eb="33">
      <t>シュツリョク</t>
    </rPh>
    <rPh sb="39" eb="41">
      <t>ガメン</t>
    </rPh>
    <rPh sb="42" eb="44">
      <t>シュツリョク</t>
    </rPh>
    <phoneticPr fontId="4"/>
  </si>
  <si>
    <r>
      <t>シェルスクリプトの冒頭に本処理を行うと、以降の処理の</t>
    </r>
    <r>
      <rPr>
        <b/>
        <sz val="9"/>
        <color theme="1"/>
        <rFont val="ＭＳ ゴシック"/>
        <family val="3"/>
        <charset val="128"/>
      </rPr>
      <t>標準出力</t>
    </r>
    <r>
      <rPr>
        <sz val="9"/>
        <color theme="1"/>
        <rFont val="ＭＳ ゴシック"/>
        <family val="3"/>
        <charset val="128"/>
      </rPr>
      <t>を</t>
    </r>
    <r>
      <rPr>
        <u/>
        <sz val="9"/>
        <color theme="1"/>
        <rFont val="ＭＳ ゴシック"/>
        <family val="3"/>
        <charset val="128"/>
      </rPr>
      <t>ファイルと画面</t>
    </r>
    <r>
      <rPr>
        <sz val="9"/>
        <color theme="1"/>
        <rFont val="ＭＳ ゴシック"/>
        <family val="3"/>
        <charset val="128"/>
      </rPr>
      <t>に出力する。</t>
    </r>
    <rPh sb="9" eb="11">
      <t>ボウトウ</t>
    </rPh>
    <rPh sb="12" eb="13">
      <t>ホン</t>
    </rPh>
    <rPh sb="13" eb="15">
      <t>ショリ</t>
    </rPh>
    <rPh sb="16" eb="17">
      <t>オコナ</t>
    </rPh>
    <rPh sb="20" eb="22">
      <t>イコウ</t>
    </rPh>
    <rPh sb="23" eb="25">
      <t>ショリ</t>
    </rPh>
    <rPh sb="26" eb="28">
      <t>ヒョウジュン</t>
    </rPh>
    <rPh sb="28" eb="30">
      <t>シュツリョク</t>
    </rPh>
    <rPh sb="36" eb="38">
      <t>ガメン</t>
    </rPh>
    <rPh sb="39" eb="41">
      <t>シュツリョク</t>
    </rPh>
    <phoneticPr fontId="4"/>
  </si>
  <si>
    <r>
      <t>シェルスクリプトの冒頭に本処理を行うと、以降の処理の</t>
    </r>
    <r>
      <rPr>
        <b/>
        <sz val="9"/>
        <color theme="1"/>
        <rFont val="ＭＳ ゴシック"/>
        <family val="3"/>
        <charset val="128"/>
      </rPr>
      <t>標準エラー出力</t>
    </r>
    <r>
      <rPr>
        <sz val="9"/>
        <color theme="1"/>
        <rFont val="ＭＳ ゴシック"/>
        <family val="3"/>
        <charset val="128"/>
      </rPr>
      <t>を</t>
    </r>
    <r>
      <rPr>
        <u/>
        <sz val="9"/>
        <color theme="1"/>
        <rFont val="ＭＳ ゴシック"/>
        <family val="3"/>
        <charset val="128"/>
      </rPr>
      <t>ファイル</t>
    </r>
    <r>
      <rPr>
        <sz val="9"/>
        <color theme="1"/>
        <rFont val="ＭＳ ゴシック"/>
        <family val="3"/>
        <charset val="128"/>
      </rPr>
      <t>に出力する。</t>
    </r>
    <rPh sb="9" eb="11">
      <t>ボウトウ</t>
    </rPh>
    <rPh sb="12" eb="13">
      <t>ホン</t>
    </rPh>
    <rPh sb="13" eb="15">
      <t>ショリ</t>
    </rPh>
    <rPh sb="16" eb="17">
      <t>オコナ</t>
    </rPh>
    <rPh sb="20" eb="22">
      <t>イコウ</t>
    </rPh>
    <rPh sb="23" eb="25">
      <t>ショリ</t>
    </rPh>
    <rPh sb="26" eb="28">
      <t>ヒョウジュン</t>
    </rPh>
    <rPh sb="31" eb="33">
      <t>シュツリョク</t>
    </rPh>
    <rPh sb="39" eb="41">
      <t>シュツリョク</t>
    </rPh>
    <phoneticPr fontId="4"/>
  </si>
  <si>
    <r>
      <t>シェルスクリプトの冒頭に本処理を行うと、以降の処理の</t>
    </r>
    <r>
      <rPr>
        <b/>
        <sz val="9"/>
        <color theme="1"/>
        <rFont val="ＭＳ ゴシック"/>
        <family val="3"/>
        <charset val="128"/>
      </rPr>
      <t>標準出力</t>
    </r>
    <r>
      <rPr>
        <sz val="9"/>
        <color theme="1"/>
        <rFont val="ＭＳ ゴシック"/>
        <family val="3"/>
        <charset val="128"/>
      </rPr>
      <t>を</t>
    </r>
    <r>
      <rPr>
        <u/>
        <sz val="9"/>
        <color theme="1"/>
        <rFont val="ＭＳ ゴシック"/>
        <family val="3"/>
        <charset val="128"/>
      </rPr>
      <t>ファイル</t>
    </r>
    <r>
      <rPr>
        <sz val="9"/>
        <color theme="1"/>
        <rFont val="ＭＳ ゴシック"/>
        <family val="3"/>
        <charset val="128"/>
      </rPr>
      <t>に出力する。</t>
    </r>
    <rPh sb="9" eb="11">
      <t>ボウトウ</t>
    </rPh>
    <rPh sb="12" eb="13">
      <t>ホン</t>
    </rPh>
    <rPh sb="13" eb="15">
      <t>ショリ</t>
    </rPh>
    <rPh sb="16" eb="17">
      <t>オコナ</t>
    </rPh>
    <rPh sb="20" eb="22">
      <t>イコウ</t>
    </rPh>
    <rPh sb="23" eb="25">
      <t>ショリ</t>
    </rPh>
    <rPh sb="26" eb="28">
      <t>ヒョウジュン</t>
    </rPh>
    <rPh sb="28" eb="30">
      <t>シュツリョク</t>
    </rPh>
    <rPh sb="36" eb="38">
      <t>シュツリョク</t>
    </rPh>
    <phoneticPr fontId="4"/>
  </si>
  <si>
    <t>filedirpath="$(\cd "$(dirname "${BASH_SOURCE[0]}")" &amp;&amp; pwd)"</t>
    <phoneticPr fontId="4"/>
  </si>
  <si>
    <t>スクリプトファイル格納先パス取得（source実行時でも使える）</t>
    <rPh sb="9" eb="11">
      <t>カクノウ</t>
    </rPh>
    <rPh sb="11" eb="12">
      <t>サキ</t>
    </rPh>
    <rPh sb="14" eb="16">
      <t>シュトク</t>
    </rPh>
    <rPh sb="23" eb="25">
      <t>ジッコウ</t>
    </rPh>
    <rPh sb="25" eb="26">
      <t>ジ</t>
    </rPh>
    <rPh sb="28" eb="29">
      <t>ツカ</t>
    </rPh>
    <phoneticPr fontId="4"/>
  </si>
  <si>
    <t>スクリプトファイル名取得（source実行時でも使える）</t>
    <rPh sb="9" eb="10">
      <t>メイ</t>
    </rPh>
    <rPh sb="10" eb="12">
      <t>シュトク</t>
    </rPh>
    <rPh sb="19" eb="21">
      <t>ジッコウ</t>
    </rPh>
    <rPh sb="21" eb="22">
      <t>ジ</t>
    </rPh>
    <rPh sb="24" eb="25">
      <t>ツカ</t>
    </rPh>
    <phoneticPr fontId="4"/>
  </si>
  <si>
    <t>filename=${BASH_SOURCE[0]##*/}</t>
    <phoneticPr fontId="4"/>
  </si>
  <si>
    <t>git push origin --delete ブランチ名</t>
    <phoneticPr fontId="4"/>
  </si>
  <si>
    <t>クローン（ブランチ指定）</t>
    <rPh sb="9" eb="11">
      <t>シテイ</t>
    </rPh>
    <phoneticPr fontId="4"/>
  </si>
  <si>
    <t>git clone https://github.com/draemonash2/codes.git</t>
    <phoneticPr fontId="4"/>
  </si>
  <si>
    <t>git clone -b ブランチ名 https://github.com/draemonash2/codes.git</t>
    <rPh sb="17" eb="18">
      <t>メイ</t>
    </rPh>
    <phoneticPr fontId="4"/>
  </si>
  <si>
    <t>git reset --hard HEAD@{N}</t>
    <phoneticPr fontId="4"/>
  </si>
  <si>
    <t>git reset HEAD ファイル名</t>
    <phoneticPr fontId="4"/>
  </si>
  <si>
    <t>git commit --amend -m "修正されたコミット"</t>
    <phoneticPr fontId="4"/>
  </si>
  <si>
    <t>空ディレクトリ一覧作成</t>
    <rPh sb="0" eb="1">
      <t>カラ</t>
    </rPh>
    <rPh sb="7" eb="9">
      <t>イチラン</t>
    </rPh>
    <rPh sb="9" eb="11">
      <t>サクセイ</t>
    </rPh>
    <phoneticPr fontId="4"/>
  </si>
  <si>
    <t>find . -type d -empty</t>
    <phoneticPr fontId="4"/>
  </si>
  <si>
    <t>find . -type d -empty -delete</t>
    <phoneticPr fontId="4"/>
  </si>
  <si>
    <t>git ls-files</t>
    <phoneticPr fontId="4"/>
  </si>
  <si>
    <t>管理対象ファイル一覧出力</t>
    <rPh sb="0" eb="2">
      <t>カンリ</t>
    </rPh>
    <rPh sb="2" eb="4">
      <t>タイショウ</t>
    </rPh>
    <rPh sb="8" eb="10">
      <t>イチラン</t>
    </rPh>
    <rPh sb="10" eb="12">
      <t>シュツリョク</t>
    </rPh>
    <phoneticPr fontId="4"/>
  </si>
  <si>
    <t>サブモジュール</t>
    <phoneticPr fontId="4"/>
  </si>
  <si>
    <t xml:space="preserve"> </t>
    <phoneticPr fontId="4"/>
  </si>
  <si>
    <t>クローン直後のサブモジュール取得</t>
    <phoneticPr fontId="4"/>
  </si>
  <si>
    <t>git submodule init; git submodule update</t>
    <phoneticPr fontId="4"/>
  </si>
  <si>
    <t>git submodule update</t>
    <phoneticPr fontId="4"/>
  </si>
  <si>
    <t>クローン（サブモジュールを含む）</t>
    <rPh sb="13" eb="14">
      <t>フク</t>
    </rPh>
    <phoneticPr fontId="4"/>
  </si>
  <si>
    <t>git clone --recursive https://github.com/draemonash2/codes.git</t>
    <phoneticPr fontId="4"/>
  </si>
  <si>
    <t>from pathlib import Path</t>
    <phoneticPr fontId="4"/>
  </si>
  <si>
    <t>パス操作</t>
    <rPh sb="2" eb="4">
      <t>ソウサ</t>
    </rPh>
    <phoneticPr fontId="4"/>
  </si>
  <si>
    <t>相対パス→絶対パス変換（..除去なし）</t>
    <rPh sb="0" eb="2">
      <t>ソウタイ</t>
    </rPh>
    <rPh sb="5" eb="7">
      <t>ゼッタイ</t>
    </rPh>
    <rPh sb="9" eb="11">
      <t>ヘンカン</t>
    </rPh>
    <rPh sb="14" eb="16">
      <t>ジョキョ</t>
    </rPh>
    <phoneticPr fontId="4"/>
  </si>
  <si>
    <t>相対パス→絶対パス変換（..除去あり）</t>
    <rPh sb="0" eb="2">
      <t>ソウタイ</t>
    </rPh>
    <rPh sb="5" eb="7">
      <t>ゼッタイ</t>
    </rPh>
    <rPh sb="9" eb="11">
      <t>ヘンカン</t>
    </rPh>
    <rPh sb="14" eb="16">
      <t>ジョキョ</t>
    </rPh>
    <phoneticPr fontId="4"/>
  </si>
  <si>
    <t>絶対パス→相対パス変換</t>
    <rPh sb="0" eb="2">
      <t>ゼッタイ</t>
    </rPh>
    <rPh sb="5" eb="7">
      <t>ソウタイ</t>
    </rPh>
    <rPh sb="9" eb="11">
      <t>ヘンカン</t>
    </rPh>
    <phoneticPr fontId="4"/>
  </si>
  <si>
    <t>インポート</t>
    <phoneticPr fontId="4"/>
  </si>
  <si>
    <t>絶対パス判定</t>
    <phoneticPr fontId="4"/>
  </si>
  <si>
    <t>abs_path.is_absolute()</t>
    <phoneticPr fontId="4"/>
  </si>
  <si>
    <t>パス型→文字列型変換</t>
    <rPh sb="2" eb="3">
      <t>ガタ</t>
    </rPh>
    <rPh sb="4" eb="8">
      <t>モジレツガタ</t>
    </rPh>
    <rPh sb="8" eb="10">
      <t>ヘンカン</t>
    </rPh>
    <phoneticPr fontId="4"/>
  </si>
  <si>
    <t>文字列型→パス型変換</t>
    <rPh sb="8" eb="10">
      <t>ヘンカン</t>
    </rPh>
    <phoneticPr fontId="4"/>
  </si>
  <si>
    <t>ロギング</t>
    <phoneticPr fontId="4"/>
  </si>
  <si>
    <t>import logging</t>
    <phoneticPr fontId="4"/>
  </si>
  <si>
    <t>基礎設定</t>
    <rPh sb="0" eb="2">
      <t>キソ</t>
    </rPh>
    <rPh sb="2" eb="4">
      <t>セッテイ</t>
    </rPh>
    <phoneticPr fontId="4"/>
  </si>
  <si>
    <t>ログ出力(DEBUG)</t>
    <rPh sb="2" eb="4">
      <t>シュツリョク</t>
    </rPh>
    <phoneticPr fontId="4"/>
  </si>
  <si>
    <t>ログ出力(INFO)</t>
    <rPh sb="2" eb="4">
      <t>シュツリョク</t>
    </rPh>
    <phoneticPr fontId="4"/>
  </si>
  <si>
    <t>ログ出力(WARNING)</t>
    <rPh sb="2" eb="4">
      <t>シュツリョク</t>
    </rPh>
    <phoneticPr fontId="4"/>
  </si>
  <si>
    <t>ログ出力(ERROR)</t>
    <rPh sb="2" eb="4">
      <t>シュツリョク</t>
    </rPh>
    <phoneticPr fontId="4"/>
  </si>
  <si>
    <t>ログ出力(CRITICAL)</t>
    <rPh sb="2" eb="4">
      <t>シュツリョク</t>
    </rPh>
    <phoneticPr fontId="4"/>
  </si>
  <si>
    <t>levelはDEBUG, INFO, WARNING, ERROR, CRITICALのいずれかを指定する。(*1)</t>
    <rPh sb="49" eb="51">
      <t>シテイ</t>
    </rPh>
    <phoneticPr fontId="4"/>
  </si>
  <si>
    <t>ロガー設定</t>
    <rPh sb="3" eb="5">
      <t>セッテイ</t>
    </rPh>
    <phoneticPr fontId="4"/>
  </si>
  <si>
    <t>2025-02-10 11:08:17 - DEBUG - __main__ - debug message</t>
  </si>
  <si>
    <t>2025-02-10 11:08:17 - INFO - __main__ - info message</t>
  </si>
  <si>
    <t>2025-02-10 11:08:17 - WARNING - __main__ - warning message</t>
  </si>
  <si>
    <t>2025-02-10 11:08:17 - ERROR - __main__ - error message</t>
  </si>
  <si>
    <t>2025-02-10 11:08:17 - CRITICAL - __main__ - critical message</t>
  </si>
  <si>
    <t>logger = logging.getLogger(__name__)</t>
    <phoneticPr fontId="4"/>
  </si>
  <si>
    <t>logger.debug("debug message")</t>
  </si>
  <si>
    <t>logger.info("info message")</t>
  </si>
  <si>
    <t>logger.warning("warning message")</t>
  </si>
  <si>
    <t>logger.error("error message")</t>
  </si>
  <si>
    <t>logger.critical("critical message")</t>
  </si>
  <si>
    <t>str(file_path)</t>
    <phoneticPr fontId="4"/>
  </si>
  <si>
    <t>rel_path.resolve()</t>
    <phoneticPr fontId="4"/>
  </si>
  <si>
    <t>rel_path.absolute()</t>
    <phoneticPr fontId="4"/>
  </si>
  <si>
    <t>abs_path.relative_to("/home/user")</t>
    <phoneticPr fontId="4"/>
  </si>
  <si>
    <t>dir/dir01/../dir02/file.txt</t>
    <phoneticPr fontId="4"/>
  </si>
  <si>
    <t>/home/user/dir/dir02/file.txt</t>
    <phoneticPr fontId="4"/>
  </si>
  <si>
    <t>/home/user/dir/dir01/../dir02/file.txt</t>
    <phoneticPr fontId="4"/>
  </si>
  <si>
    <t>dir/dir02/file.txt</t>
    <phoneticPr fontId="4"/>
  </si>
  <si>
    <t>Path("dir/dir01/../dir02/file.txt")</t>
    <phoneticPr fontId="4"/>
  </si>
  <si>
    <t>abs_path.exists()</t>
    <phoneticPr fontId="4"/>
  </si>
  <si>
    <t>ファイル存在確認</t>
    <rPh sb="4" eb="6">
      <t>ソンザイ</t>
    </rPh>
    <rPh sb="6" eb="8">
      <t>カクニン</t>
    </rPh>
    <phoneticPr fontId="4"/>
  </si>
  <si>
    <t>abs_path.parent</t>
  </si>
  <si>
    <t>abs_path.parents[0]</t>
  </si>
  <si>
    <t>abs_path.parents[1]</t>
  </si>
  <si>
    <t>abs_path.parents[2]</t>
  </si>
  <si>
    <t>abs_path.name</t>
  </si>
  <si>
    <t>abs_path.stem</t>
  </si>
  <si>
    <t>abs_path.suffix</t>
  </si>
  <si>
    <t>abs_path.suffixes</t>
  </si>
  <si>
    <t>親ディレクトリパス取得</t>
    <rPh sb="0" eb="1">
      <t>オヤ</t>
    </rPh>
    <rPh sb="9" eb="11">
      <t>シュトク</t>
    </rPh>
    <phoneticPr fontId="4"/>
  </si>
  <si>
    <t>親ディレクトリパス取得(１階層以上)</t>
    <rPh sb="0" eb="1">
      <t>オヤ</t>
    </rPh>
    <rPh sb="9" eb="11">
      <t>シュトク</t>
    </rPh>
    <rPh sb="13" eb="15">
      <t>カイソウ</t>
    </rPh>
    <rPh sb="15" eb="17">
      <t>イジョウ</t>
    </rPh>
    <phoneticPr fontId="4"/>
  </si>
  <si>
    <t>親ディレクトリパス取得(２階層以上)</t>
    <rPh sb="0" eb="1">
      <t>オヤ</t>
    </rPh>
    <rPh sb="9" eb="11">
      <t>シュトク</t>
    </rPh>
    <rPh sb="13" eb="15">
      <t>カイソウ</t>
    </rPh>
    <rPh sb="15" eb="17">
      <t>イジョウ</t>
    </rPh>
    <phoneticPr fontId="4"/>
  </si>
  <si>
    <t>親ディレクトリパス取得(３階層以上)</t>
    <rPh sb="0" eb="1">
      <t>オヤ</t>
    </rPh>
    <rPh sb="9" eb="11">
      <t>シュトク</t>
    </rPh>
    <rPh sb="13" eb="15">
      <t>カイソウ</t>
    </rPh>
    <rPh sb="15" eb="17">
      <t>イジョウ</t>
    </rPh>
    <phoneticPr fontId="4"/>
  </si>
  <si>
    <t>file.tar.gz</t>
  </si>
  <si>
    <t>file.tar</t>
  </si>
  <si>
    <t>.gz</t>
  </si>
  <si>
    <t>['.tar', '.gz']</t>
  </si>
  <si>
    <t>/home/user/dir/dir02</t>
  </si>
  <si>
    <t>/home/user/dir</t>
  </si>
  <si>
    <t>ファイル名取得</t>
    <rPh sb="4" eb="5">
      <t>メイ</t>
    </rPh>
    <rPh sb="5" eb="7">
      <t>シュトク</t>
    </rPh>
    <phoneticPr fontId="4"/>
  </si>
  <si>
    <t>ファイルベース名取得</t>
    <rPh sb="7" eb="8">
      <t>メイ</t>
    </rPh>
    <rPh sb="8" eb="10">
      <t>シュトク</t>
    </rPh>
    <phoneticPr fontId="4"/>
  </si>
  <si>
    <t>拡張子取得</t>
    <rPh sb="0" eb="3">
      <t>カクチョウシ</t>
    </rPh>
    <rPh sb="3" eb="5">
      <t>シュトク</t>
    </rPh>
    <phoneticPr fontId="4"/>
  </si>
  <si>
    <t>拡張子取得（複数ピリオド時）</t>
    <rPh sb="0" eb="3">
      <t>カクチョウシ</t>
    </rPh>
    <rPh sb="3" eb="5">
      <t>シュトク</t>
    </rPh>
    <rPh sb="6" eb="8">
      <t>フクスウ</t>
    </rPh>
    <rPh sb="12" eb="13">
      <t>ジ</t>
    </rPh>
    <phoneticPr fontId="4"/>
  </si>
  <si>
    <t>親ディレクトリパス取得(トップから1階層以下)</t>
    <rPh sb="0" eb="1">
      <t>オヤ</t>
    </rPh>
    <rPh sb="9" eb="11">
      <t>シュトク</t>
    </rPh>
    <rPh sb="18" eb="20">
      <t>カイソウ</t>
    </rPh>
    <rPh sb="20" eb="22">
      <t>イカ</t>
    </rPh>
    <phoneticPr fontId="4"/>
  </si>
  <si>
    <t>親ディレクトリパス取得(トップから2階層以下)</t>
    <rPh sb="0" eb="1">
      <t>オヤ</t>
    </rPh>
    <rPh sb="9" eb="11">
      <t>シュトク</t>
    </rPh>
    <phoneticPr fontId="4"/>
  </si>
  <si>
    <t>abs_path.parents[-1]</t>
  </si>
  <si>
    <t>abs_path.parents[-2]</t>
  </si>
  <si>
    <t>/home</t>
    <phoneticPr fontId="4"/>
  </si>
  <si>
    <t>絶対パスに対して利用することを推奨する。（parentは純粋な字句操作であり、..の有無によって結果が異なるため）</t>
    <phoneticPr fontId="4"/>
  </si>
  <si>
    <t>絶対パスに対して利用することを推奨する。（parents[]は純粋な字句操作であり、..の有無によって結果が異なるため）</t>
    <phoneticPr fontId="4"/>
  </si>
  <si>
    <t>Path.cwd()</t>
    <phoneticPr fontId="4"/>
  </si>
  <si>
    <t>/home/user</t>
    <phoneticPr fontId="4"/>
  </si>
  <si>
    <t>ファイル作成</t>
    <rPh sb="4" eb="6">
      <t>サクセイ</t>
    </rPh>
    <phoneticPr fontId="4"/>
  </si>
  <si>
    <t>ディレクトリ作成</t>
    <rPh sb="6" eb="8">
      <t>サクセイ</t>
    </rPh>
    <phoneticPr fontId="4"/>
  </si>
  <si>
    <t>abs_path.parent.joinpath("dir03", "dir04")</t>
    <phoneticPr fontId="4"/>
  </si>
  <si>
    <t>/home/user/dir/dir02/dir03/dir04</t>
    <phoneticPr fontId="4"/>
  </si>
  <si>
    <t>dir_path.mkdir(parents=True)</t>
    <phoneticPr fontId="4"/>
  </si>
  <si>
    <t>file_path.touch()</t>
    <phoneticPr fontId="4"/>
  </si>
  <si>
    <t>複数階層のディレクトリも作成可能。ディレクトリ存在時はエラー。</t>
    <rPh sb="0" eb="2">
      <t>フクスウ</t>
    </rPh>
    <rPh sb="2" eb="4">
      <t>カイソウ</t>
    </rPh>
    <rPh sb="12" eb="14">
      <t>サクセイ</t>
    </rPh>
    <rPh sb="14" eb="16">
      <t>カノウ</t>
    </rPh>
    <rPh sb="23" eb="25">
      <t>ソンザイ</t>
    </rPh>
    <rPh sb="25" eb="26">
      <t>ジ</t>
    </rPh>
    <phoneticPr fontId="4"/>
  </si>
  <si>
    <t>親ディレクトリ未存在時はエラー。ファイル存在時はエラーにならない。</t>
    <rPh sb="0" eb="1">
      <t>オヤ</t>
    </rPh>
    <rPh sb="7" eb="8">
      <t>ミ</t>
    </rPh>
    <rPh sb="8" eb="10">
      <t>ソンザイ</t>
    </rPh>
    <rPh sb="10" eb="11">
      <t>ジ</t>
    </rPh>
    <phoneticPr fontId="4"/>
  </si>
  <si>
    <t>パス結合</t>
    <rPh sb="2" eb="4">
      <t>ケツゴウ</t>
    </rPh>
    <phoneticPr fontId="4"/>
  </si>
  <si>
    <t>f"{15:04}"</t>
  </si>
  <si>
    <t>f"{1500:,}"</t>
  </si>
  <si>
    <t>f"{1.256:.2f}"</t>
  </si>
  <si>
    <t>f"{1.256:.2g}"</t>
  </si>
  <si>
    <t>f"{1.256:.2e}"</t>
  </si>
  <si>
    <t>f"{1.256:.2E}"</t>
  </si>
  <si>
    <t>f"{0.256:.2%}"</t>
  </si>
  <si>
    <t>f"{255:b}"</t>
  </si>
  <si>
    <t>f"{255:o}"</t>
  </si>
  <si>
    <t>f"{255:x}"</t>
  </si>
  <si>
    <t>f"{255:X}"</t>
  </si>
  <si>
    <t>f"{255:08b}"</t>
  </si>
  <si>
    <t>f"{255:08o}"</t>
  </si>
  <si>
    <t>f"{255:08x}"</t>
  </si>
  <si>
    <t>f"{255:08X}"</t>
  </si>
  <si>
    <t>f"{255:#010b}"</t>
  </si>
  <si>
    <t>f"{255:#010o}"</t>
  </si>
  <si>
    <t>f"{255:#010x}"</t>
  </si>
  <si>
    <t>f"{255:#010X}"</t>
  </si>
  <si>
    <t>f"{datetime.now(:%Y-%m-%d %H:%M:%S}"</t>
  </si>
  <si>
    <t>f'{"abc": &gt;8}'</t>
  </si>
  <si>
    <t>f'{"abc": ^8}'</t>
  </si>
  <si>
    <t>f'{"abc": &lt;8}'</t>
  </si>
  <si>
    <t>f'{"abc":*&gt;8}'</t>
  </si>
  <si>
    <t>f'{"abc":*^8}'</t>
  </si>
  <si>
    <t>f'{"abc":*&lt;8}'</t>
  </si>
  <si>
    <t>f"{var=}"</t>
  </si>
  <si>
    <t>f"{var = }"</t>
  </si>
  <si>
    <t>f"{var = :.2f}"</t>
  </si>
  <si>
    <t>0015</t>
  </si>
  <si>
    <t>1,500</t>
  </si>
  <si>
    <t>1.26</t>
  </si>
  <si>
    <t>1.3</t>
  </si>
  <si>
    <t>1.26e+00</t>
  </si>
  <si>
    <t>1.26E+00</t>
  </si>
  <si>
    <t>25.60%</t>
  </si>
  <si>
    <t>11111111</t>
  </si>
  <si>
    <t>377</t>
  </si>
  <si>
    <t>ff</t>
  </si>
  <si>
    <t>FF</t>
  </si>
  <si>
    <t>00000377</t>
  </si>
  <si>
    <t>000000ff</t>
  </si>
  <si>
    <t>000000FF</t>
  </si>
  <si>
    <t>0b11111111</t>
  </si>
  <si>
    <t>0o00000377</t>
  </si>
  <si>
    <t>0x000000ff</t>
  </si>
  <si>
    <t>0X000000FF</t>
  </si>
  <si>
    <t>2025-03-06 13:41:51</t>
  </si>
  <si>
    <t xml:space="preserve">     abc</t>
  </si>
  <si>
    <t xml:space="preserve">  abc</t>
  </si>
  <si>
    <t>*****abc</t>
  </si>
  <si>
    <t>**abc***</t>
  </si>
  <si>
    <t>abc*****</t>
  </si>
  <si>
    <t>var=0.256</t>
  </si>
  <si>
    <t>var = 0.256</t>
  </si>
  <si>
    <t>var = 0.26</t>
  </si>
  <si>
    <t>f文字列（浮動小数 桁数指定）</t>
    <rPh sb="1" eb="4">
      <t>モジレツ</t>
    </rPh>
    <rPh sb="5" eb="7">
      <t>フドウ</t>
    </rPh>
    <rPh sb="7" eb="9">
      <t>ショウスウ</t>
    </rPh>
    <rPh sb="12" eb="14">
      <t>シテイ</t>
    </rPh>
    <phoneticPr fontId="4"/>
  </si>
  <si>
    <t>f文字列（浮動小数 有効桁数指定）</t>
    <rPh sb="1" eb="4">
      <t>モジレツ</t>
    </rPh>
    <rPh sb="5" eb="7">
      <t>フドウ</t>
    </rPh>
    <rPh sb="7" eb="9">
      <t>ショウスウ</t>
    </rPh>
    <rPh sb="10" eb="12">
      <t>ユウコウ</t>
    </rPh>
    <rPh sb="12" eb="14">
      <t>ケタスウ</t>
    </rPh>
    <rPh sb="14" eb="16">
      <t>シテイ</t>
    </rPh>
    <phoneticPr fontId="4"/>
  </si>
  <si>
    <t>f文字列（浮動小数 パーセンテージ表記指定）</t>
    <rPh sb="1" eb="4">
      <t>モジレツ</t>
    </rPh>
    <rPh sb="5" eb="7">
      <t>フドウ</t>
    </rPh>
    <rPh sb="7" eb="9">
      <t>ショウスウ</t>
    </rPh>
    <rPh sb="17" eb="19">
      <t>ヒョウキ</t>
    </rPh>
    <rPh sb="19" eb="21">
      <t>シテイ</t>
    </rPh>
    <phoneticPr fontId="4"/>
  </si>
  <si>
    <t>f文字列（カンマ区切り指定）</t>
    <rPh sb="1" eb="4">
      <t>モジレツ</t>
    </rPh>
    <rPh sb="8" eb="10">
      <t>クギ</t>
    </rPh>
    <phoneticPr fontId="4"/>
  </si>
  <si>
    <t>f文字列（0埋め指定）</t>
    <rPh sb="1" eb="4">
      <t>モジレツ</t>
    </rPh>
    <rPh sb="6" eb="7">
      <t>ウ</t>
    </rPh>
    <phoneticPr fontId="4"/>
  </si>
  <si>
    <t>f文字列（2進数表記指定）</t>
    <rPh sb="1" eb="4">
      <t>モジレツ</t>
    </rPh>
    <rPh sb="6" eb="8">
      <t>シンスウ</t>
    </rPh>
    <rPh sb="8" eb="10">
      <t>ヒョウキ</t>
    </rPh>
    <rPh sb="10" eb="12">
      <t>シテイ</t>
    </rPh>
    <phoneticPr fontId="4"/>
  </si>
  <si>
    <t>f文字列（8進数表記指定）</t>
    <rPh sb="1" eb="4">
      <t>モジレツ</t>
    </rPh>
    <rPh sb="6" eb="8">
      <t>シンスウ</t>
    </rPh>
    <rPh sb="8" eb="10">
      <t>ヒョウキ</t>
    </rPh>
    <rPh sb="10" eb="12">
      <t>シテイ</t>
    </rPh>
    <phoneticPr fontId="4"/>
  </si>
  <si>
    <t>f文字列（16進数表記指定(小文字)）</t>
  </si>
  <si>
    <t>f文字列（浮動小数 指数表記指定(大文字)）</t>
    <rPh sb="1" eb="4">
      <t>モジレツ</t>
    </rPh>
    <rPh sb="5" eb="7">
      <t>フドウ</t>
    </rPh>
    <rPh sb="7" eb="9">
      <t>ショウスウ</t>
    </rPh>
    <rPh sb="10" eb="12">
      <t>シスウ</t>
    </rPh>
    <rPh sb="12" eb="14">
      <t>ヒョウキ</t>
    </rPh>
    <rPh sb="14" eb="16">
      <t>シテイ</t>
    </rPh>
    <rPh sb="17" eb="20">
      <t>オオモジ</t>
    </rPh>
    <phoneticPr fontId="4"/>
  </si>
  <si>
    <t>f文字列（浮動小数 指数表記指定(小文字)）</t>
    <rPh sb="1" eb="4">
      <t>モジレツ</t>
    </rPh>
    <rPh sb="5" eb="7">
      <t>フドウ</t>
    </rPh>
    <rPh sb="7" eb="9">
      <t>ショウスウ</t>
    </rPh>
    <rPh sb="10" eb="12">
      <t>シスウ</t>
    </rPh>
    <rPh sb="12" eb="14">
      <t>ヒョウキ</t>
    </rPh>
    <rPh sb="14" eb="16">
      <t>シテイ</t>
    </rPh>
    <rPh sb="17" eb="20">
      <t>コモジ</t>
    </rPh>
    <phoneticPr fontId="4"/>
  </si>
  <si>
    <t>f文字列（16進数表記指定(大文字)）</t>
    <rPh sb="14" eb="17">
      <t>オオモジ</t>
    </rPh>
    <rPh sb="15" eb="17">
      <t>モジ</t>
    </rPh>
    <phoneticPr fontId="4"/>
  </si>
  <si>
    <t>f文字列（2進数表記指定 0埋め）</t>
    <rPh sb="1" eb="4">
      <t>モジレツ</t>
    </rPh>
    <rPh sb="6" eb="8">
      <t>シンスウ</t>
    </rPh>
    <rPh sb="8" eb="10">
      <t>ヒョウキ</t>
    </rPh>
    <rPh sb="10" eb="12">
      <t>シテイ</t>
    </rPh>
    <rPh sb="14" eb="15">
      <t>ウ</t>
    </rPh>
    <phoneticPr fontId="4"/>
  </si>
  <si>
    <t>f文字列（8進数表記指定 0埋め）</t>
    <rPh sb="1" eb="4">
      <t>モジレツ</t>
    </rPh>
    <rPh sb="6" eb="8">
      <t>シンスウ</t>
    </rPh>
    <rPh sb="8" eb="10">
      <t>ヒョウキ</t>
    </rPh>
    <rPh sb="10" eb="12">
      <t>シテイ</t>
    </rPh>
    <phoneticPr fontId="4"/>
  </si>
  <si>
    <t>f文字列（16進数表記指定(小文字) 0埋め）</t>
    <phoneticPr fontId="4"/>
  </si>
  <si>
    <t>f文字列（16進数表記指定(大文字) 0埋め）</t>
    <rPh sb="14" eb="17">
      <t>オオモジ</t>
    </rPh>
    <rPh sb="15" eb="17">
      <t>モジ</t>
    </rPh>
    <phoneticPr fontId="4"/>
  </si>
  <si>
    <t>f文字列（2進数表記指定 プレフィックス付与）</t>
    <rPh sb="1" eb="4">
      <t>モジレツ</t>
    </rPh>
    <rPh sb="6" eb="8">
      <t>シンスウ</t>
    </rPh>
    <rPh sb="8" eb="10">
      <t>ヒョウキ</t>
    </rPh>
    <rPh sb="10" eb="12">
      <t>シテイ</t>
    </rPh>
    <rPh sb="20" eb="22">
      <t>フヨ</t>
    </rPh>
    <phoneticPr fontId="4"/>
  </si>
  <si>
    <t>f文字列（8進数表記指定 プレフィックス付与）</t>
    <rPh sb="1" eb="4">
      <t>モジレツ</t>
    </rPh>
    <rPh sb="6" eb="8">
      <t>シンスウ</t>
    </rPh>
    <rPh sb="8" eb="10">
      <t>ヒョウキ</t>
    </rPh>
    <rPh sb="10" eb="12">
      <t>シテイ</t>
    </rPh>
    <phoneticPr fontId="4"/>
  </si>
  <si>
    <t>f文字列（16進数表記指定(小文字) プレフィックス付与）</t>
    <phoneticPr fontId="4"/>
  </si>
  <si>
    <t>f文字列（16進数表記指定(大文字) プレフィックス付与）</t>
    <rPh sb="14" eb="17">
      <t>オオモジ</t>
    </rPh>
    <rPh sb="15" eb="17">
      <t>モジ</t>
    </rPh>
    <phoneticPr fontId="4"/>
  </si>
  <si>
    <t>f文字列（日時表記）</t>
    <rPh sb="5" eb="7">
      <t>ニチジ</t>
    </rPh>
    <rPh sb="7" eb="9">
      <t>ヒョウキ</t>
    </rPh>
    <phoneticPr fontId="4"/>
  </si>
  <si>
    <t>f文字列（空白右詰め）</t>
    <rPh sb="5" eb="7">
      <t>クウハク</t>
    </rPh>
    <rPh sb="7" eb="8">
      <t>ミギ</t>
    </rPh>
    <rPh sb="8" eb="9">
      <t>ヅ</t>
    </rPh>
    <phoneticPr fontId="4"/>
  </si>
  <si>
    <t>f文字列（空白左詰め）</t>
    <rPh sb="5" eb="7">
      <t>クウハク</t>
    </rPh>
    <rPh sb="7" eb="8">
      <t>ヒダリ</t>
    </rPh>
    <rPh sb="8" eb="9">
      <t>ヅ</t>
    </rPh>
    <phoneticPr fontId="4"/>
  </si>
  <si>
    <t>f文字列（空白中央詰め）</t>
    <rPh sb="5" eb="7">
      <t>クウハク</t>
    </rPh>
    <rPh sb="7" eb="9">
      <t>チュウオウ</t>
    </rPh>
    <rPh sb="9" eb="10">
      <t>ヅ</t>
    </rPh>
    <phoneticPr fontId="4"/>
  </si>
  <si>
    <t>f文字列（指定文字右詰め）</t>
    <rPh sb="5" eb="7">
      <t>シテイ</t>
    </rPh>
    <rPh sb="7" eb="9">
      <t>モジ</t>
    </rPh>
    <rPh sb="9" eb="10">
      <t>ミギ</t>
    </rPh>
    <rPh sb="10" eb="11">
      <t>ヅ</t>
    </rPh>
    <phoneticPr fontId="4"/>
  </si>
  <si>
    <t>f文字列（指定文字中央詰め）</t>
    <rPh sb="5" eb="7">
      <t>シテイ</t>
    </rPh>
    <rPh sb="7" eb="9">
      <t>モジ</t>
    </rPh>
    <rPh sb="9" eb="11">
      <t>チュウオウ</t>
    </rPh>
    <rPh sb="11" eb="12">
      <t>ヅ</t>
    </rPh>
    <phoneticPr fontId="4"/>
  </si>
  <si>
    <t>f文字列（指定文字左詰め）</t>
    <rPh sb="5" eb="7">
      <t>シテイ</t>
    </rPh>
    <rPh sb="7" eb="9">
      <t>モジ</t>
    </rPh>
    <rPh sb="9" eb="10">
      <t>ヒダリ</t>
    </rPh>
    <rPh sb="10" eb="11">
      <t>ヅ</t>
    </rPh>
    <phoneticPr fontId="4"/>
  </si>
  <si>
    <t>f文字列（変数名表示）</t>
    <rPh sb="5" eb="8">
      <t>ヘンスウメイ</t>
    </rPh>
    <rPh sb="8" eb="10">
      <t>ヒョウジ</t>
    </rPh>
    <phoneticPr fontId="4"/>
  </si>
  <si>
    <t>sudo apt search &lt;package&gt;</t>
    <phoneticPr fontId="4"/>
  </si>
  <si>
    <t>ファイル一覧出力（カレントディレクトリ内のみ）</t>
    <rPh sb="19" eb="20">
      <t>ナイ</t>
    </rPh>
    <phoneticPr fontId="4"/>
  </si>
  <si>
    <t>ディレクトリ一覧出力（カレントディレクトリ内のみ）</t>
    <phoneticPr fontId="4"/>
  </si>
  <si>
    <t>カレントディレクトリ名取得</t>
    <rPh sb="10" eb="11">
      <t>メイ</t>
    </rPh>
    <rPh sb="11" eb="13">
      <t>シュトク</t>
    </rPh>
    <phoneticPr fontId="4"/>
  </si>
  <si>
    <t>${PWD##*/}</t>
    <phoneticPr fontId="4"/>
  </si>
  <si>
    <t>dir1</t>
    <phoneticPr fontId="4"/>
  </si>
  <si>
    <t>四則演算（切り捨て除算）</t>
    <rPh sb="5" eb="6">
      <t>キ</t>
    </rPh>
    <rPh sb="7" eb="8">
      <t>ス</t>
    </rPh>
    <phoneticPr fontId="4"/>
  </si>
  <si>
    <t>15 // 10</t>
    <phoneticPr fontId="4"/>
  </si>
  <si>
    <t>15 % 10</t>
    <phoneticPr fontId="4"/>
  </si>
  <si>
    <t>四則演算（余り計算）</t>
    <rPh sb="5" eb="6">
      <t>アマ</t>
    </rPh>
    <rPh sb="7" eb="9">
      <t>ケイサン</t>
    </rPh>
    <phoneticPr fontId="4"/>
  </si>
  <si>
    <t>四則演算（a の b 乗）</t>
    <rPh sb="11" eb="12">
      <t>ノ</t>
    </rPh>
    <phoneticPr fontId="4"/>
  </si>
  <si>
    <t>2 ** 3</t>
    <phoneticPr fontId="4"/>
  </si>
  <si>
    <t>変数定義（リスト）</t>
    <phoneticPr fontId="4"/>
  </si>
  <si>
    <t>変数定義（辞書）</t>
    <rPh sb="5" eb="7">
      <t>ジショ</t>
    </rPh>
    <phoneticPr fontId="4"/>
  </si>
  <si>
    <t>変数定義（集合）</t>
    <rPh sb="5" eb="7">
      <t>シュウゴウ</t>
    </rPh>
    <phoneticPr fontId="4"/>
  </si>
  <si>
    <t>変数定義（タプル）</t>
    <phoneticPr fontId="4"/>
  </si>
  <si>
    <t>list1 = ["A", "B", "C", "D", "E"]</t>
  </si>
  <si>
    <t>tuple1 = (0, 1, 2)</t>
  </si>
  <si>
    <t>dict1 = {'a': 1, 'b': 2, 'c': 3}</t>
  </si>
  <si>
    <t>set1 = {0, 1, 2}</t>
  </si>
  <si>
    <t>int x = 5;</t>
    <phoneticPr fontId="4"/>
  </si>
  <si>
    <t>std::cout &lt;&lt; x &lt;&lt; std::endl;</t>
    <phoneticPr fontId="4"/>
  </si>
  <si>
    <t>std::cout &lt;&lt; x;</t>
    <phoneticPr fontId="4"/>
  </si>
  <si>
    <t>continue;</t>
    <phoneticPr fontId="4"/>
  </si>
  <si>
    <t>x + y</t>
  </si>
  <si>
    <t>x - y</t>
  </si>
  <si>
    <t>x * y</t>
  </si>
  <si>
    <t>x / y</t>
  </si>
  <si>
    <t>x % y</t>
  </si>
  <si>
    <t>a++</t>
    <phoneticPr fontId="4"/>
  </si>
  <si>
    <t>a--</t>
    <phoneticPr fontId="4"/>
  </si>
  <si>
    <t>&amp;&amp;</t>
    <phoneticPr fontId="4"/>
  </si>
  <si>
    <t>!!</t>
    <phoneticPr fontId="4"/>
  </si>
  <si>
    <t>!a</t>
    <phoneticPr fontId="4"/>
  </si>
  <si>
    <t>/* comment */</t>
    <phoneticPr fontId="4"/>
  </si>
  <si>
    <t>// comment</t>
    <phoneticPr fontId="4"/>
  </si>
  <si>
    <t>Func01();</t>
    <phoneticPr fontId="4"/>
  </si>
  <si>
    <t>連想配列(std::map)</t>
    <rPh sb="0" eb="2">
      <t>レンソウ</t>
    </rPh>
    <rPh sb="2" eb="4">
      <t>ハイレツ</t>
    </rPh>
    <phoneticPr fontId="4"/>
  </si>
  <si>
    <t>salary["John"]</t>
    <phoneticPr fontId="4"/>
  </si>
  <si>
    <t>salary["John"] = 1400;</t>
    <phoneticPr fontId="4"/>
  </si>
  <si>
    <t>salary.size()</t>
    <phoneticPr fontId="4"/>
  </si>
  <si>
    <t>salary.clear()</t>
    <phoneticPr fontId="4"/>
  </si>
  <si>
    <t>連想配列 空チェック</t>
    <rPh sb="5" eb="6">
      <t>カラ</t>
    </rPh>
    <phoneticPr fontId="4"/>
  </si>
  <si>
    <t>salary.empty()</t>
    <phoneticPr fontId="4"/>
  </si>
  <si>
    <t>インクルード</t>
    <phoneticPr fontId="4"/>
  </si>
  <si>
    <t>#include &lt;map&gt;</t>
    <phoneticPr fontId="4"/>
  </si>
  <si>
    <t>git submodule update --init --recursive</t>
    <phoneticPr fontId="4"/>
  </si>
  <si>
    <t>cd /path/to/sub_module/..; git add sub_module</t>
    <phoneticPr fontId="4"/>
  </si>
  <si>
    <t>自分がサブモジュールのバージョンを変更してアップロードする</t>
    <rPh sb="0" eb="2">
      <t>ジブン</t>
    </rPh>
    <rPh sb="17" eb="19">
      <t>ヘンコウ</t>
    </rPh>
    <phoneticPr fontId="4"/>
  </si>
  <si>
    <t>他者が変更したサブモジュールのバージョンを自環境に適用する</t>
    <rPh sb="0" eb="2">
      <t>タシャ</t>
    </rPh>
    <rPh sb="3" eb="5">
      <t>ヘンコウ</t>
    </rPh>
    <rPh sb="21" eb="22">
      <t>ジ</t>
    </rPh>
    <rPh sb="22" eb="24">
      <t>カンキョウ</t>
    </rPh>
    <rPh sb="25" eb="27">
      <t>テキヨウ</t>
    </rPh>
    <phoneticPr fontId="4"/>
  </si>
  <si>
    <t>サブモジュールバージョン更新</t>
    <rPh sb="12" eb="14">
      <t>コウシン</t>
    </rPh>
    <phoneticPr fontId="4"/>
  </si>
  <si>
    <t>サブモジュールバージョン適用</t>
    <rPh sb="12" eb="14">
      <t>テキヨウ</t>
    </rPh>
    <phoneticPr fontId="4"/>
  </si>
  <si>
    <t>sed -i -e 's/wolrd/world/' targetfile.txt</t>
    <phoneticPr fontId="4"/>
  </si>
  <si>
    <r>
      <t xml:space="preserve">perl
</t>
    </r>
    <r>
      <rPr>
        <sz val="9"/>
        <color theme="1"/>
        <rFont val="ＭＳ ゴシック"/>
        <family val="3"/>
        <charset val="128"/>
      </rPr>
      <t>(grep -P)</t>
    </r>
    <phoneticPr fontId="4"/>
  </si>
  <si>
    <t>perl -pi -e "s/wolrd/world/g" targetfile.txt</t>
    <phoneticPr fontId="4"/>
  </si>
  <si>
    <t>文字列置換(ファイル直接編集)＠Perl</t>
    <phoneticPr fontId="4"/>
  </si>
  <si>
    <t>文字列置換(ファイル直接編集)＠sed</t>
    <phoneticPr fontId="4"/>
  </si>
  <si>
    <t>文字列置換(ファイル直接編集＆バックアップ)＠sed</t>
    <phoneticPr fontId="4"/>
  </si>
  <si>
    <t>×？</t>
    <phoneticPr fontId="4"/>
  </si>
  <si>
    <t>○(\\$)</t>
    <phoneticPr fontId="4"/>
  </si>
  <si>
    <t>○(\\\\)</t>
    <phoneticPr fontId="4"/>
  </si>
  <si>
    <t>with open("hoge.txt", "r") as fileobj:</t>
    <phoneticPr fontId="4"/>
  </si>
  <si>
    <t>ＴＸＴ オープン（クローズ不要）</t>
    <rPh sb="13" eb="15">
      <t>フヨウ</t>
    </rPh>
    <phoneticPr fontId="4"/>
  </si>
  <si>
    <t>withスコープ外に到達すると自動的にクローズする</t>
    <rPh sb="8" eb="9">
      <t>ガイ</t>
    </rPh>
    <rPh sb="10" eb="12">
      <t>トウタツ</t>
    </rPh>
    <rPh sb="15" eb="18">
      <t>ジドウテキ</t>
    </rPh>
    <phoneticPr fontId="4"/>
  </si>
  <si>
    <t>allLines = fileobj.readlines()</t>
    <phoneticPr fontId="4"/>
  </si>
  <si>
    <t>matchlist[0]</t>
    <phoneticPr fontId="4"/>
  </si>
  <si>
    <t>python
(生文字列)</t>
    <rPh sb="8" eb="9">
      <t>ナマ</t>
    </rPh>
    <rPh sb="9" eb="12">
      <t>モジレツ</t>
    </rPh>
    <phoneticPr fontId="4"/>
  </si>
  <si>
    <r>
      <t>(</t>
    </r>
    <r>
      <rPr>
        <sz val="9"/>
        <color theme="1"/>
        <rFont val="ＭＳ ゴシック"/>
        <family val="3"/>
        <charset val="128"/>
      </rPr>
      <t xml:space="preserve">*5) </t>
    </r>
    <phoneticPr fontId="4"/>
  </si>
  <si>
    <t>四則演算（累乗=aのb乗）</t>
    <rPh sb="5" eb="7">
      <t>ルイジョウ</t>
    </rPh>
    <rPh sb="11" eb="12">
      <t>ノ</t>
    </rPh>
    <phoneticPr fontId="4"/>
  </si>
  <si>
    <t>値スワップ</t>
    <rPh sb="0" eb="1">
      <t>アタイ</t>
    </rPh>
    <phoneticPr fontId="4"/>
  </si>
  <si>
    <t>x, y = y, x</t>
    <phoneticPr fontId="4"/>
  </si>
  <si>
    <t>lambda関数定義</t>
    <rPh sb="6" eb="8">
      <t>カンスウ</t>
    </rPh>
    <phoneticPr fontId="4"/>
  </si>
  <si>
    <t>f = lambda x: 3 * x ** 2 + 6 * x - 72</t>
    <phoneticPr fontId="4"/>
  </si>
  <si>
    <t>関数定義(可変長引数)</t>
    <rPh sb="5" eb="8">
      <t>カヘンチョウ</t>
    </rPh>
    <rPh sb="8" eb="10">
      <t>ヒキスウ</t>
    </rPh>
    <phoneticPr fontId="4"/>
  </si>
  <si>
    <t>関数定義(可変長キーワード引数)</t>
    <rPh sb="5" eb="8">
      <t>カヘンチョウ</t>
    </rPh>
    <rPh sb="13" eb="15">
      <t>ヒキスウ</t>
    </rPh>
    <phoneticPr fontId="4"/>
  </si>
  <si>
    <t>010110'</t>
    <phoneticPr fontId="4"/>
  </si>
  <si>
    <t>import(名前変更)</t>
    <rPh sb="7" eb="9">
      <t>ナマエ</t>
    </rPh>
    <rPh sb="9" eb="11">
      <t>ヘンコウ</t>
    </rPh>
    <phoneticPr fontId="4"/>
  </si>
  <si>
    <t>import &lt;module_name&gt; as &lt;renamed_module_name&gt;</t>
    <phoneticPr fontId="4"/>
  </si>
  <si>
    <t>if list:</t>
    <phoneticPr fontId="4"/>
  </si>
  <si>
    <t>リスト 参照（スライス）</t>
    <phoneticPr fontId="4"/>
  </si>
  <si>
    <t>'1'</t>
    <phoneticPr fontId="4"/>
  </si>
  <si>
    <t>list[1:3]</t>
    <phoneticPr fontId="4"/>
  </si>
  <si>
    <t>list = ['1','2','3','2','1']</t>
    <phoneticPr fontId="4"/>
  </si>
  <si>
    <t>['2','3']</t>
    <phoneticPr fontId="4"/>
  </si>
  <si>
    <t>[start:end]の場合、startに「開始index」、endに「終了index-1」を指定する</t>
    <rPh sb="12" eb="14">
      <t>バアイ</t>
    </rPh>
    <rPh sb="22" eb="24">
      <t>カイシ</t>
    </rPh>
    <rPh sb="36" eb="38">
      <t>シュウリョウ</t>
    </rPh>
    <rPh sb="47" eb="49">
      <t>シテイ</t>
    </rPh>
    <phoneticPr fontId="4"/>
  </si>
  <si>
    <t>リスト 繰り返し</t>
    <rPh sb="4" eb="5">
      <t>ク</t>
    </rPh>
    <rPh sb="6" eb="7">
      <t>カエ</t>
    </rPh>
    <phoneticPr fontId="4"/>
  </si>
  <si>
    <t>list = ['1','2','3','4','5'] → 1, 2, 3, 4, 5</t>
    <phoneticPr fontId="4"/>
  </si>
  <si>
    <t>リスト 繰り返し（enumerate）</t>
    <rPh sb="4" eb="5">
      <t>ク</t>
    </rPh>
    <rPh sb="6" eb="7">
      <t>カエ</t>
    </rPh>
    <phoneticPr fontId="4"/>
  </si>
  <si>
    <t>list = ['1','2','3','4','5'] → 1:1, 2:2, …</t>
    <phoneticPr fontId="4"/>
  </si>
  <si>
    <t>sorted_list = sorted(list)</t>
    <phoneticPr fontId="4"/>
  </si>
  <si>
    <t>listは更新しない</t>
    <rPh sb="5" eb="7">
      <t>コウシン</t>
    </rPh>
    <phoneticPr fontId="4"/>
  </si>
  <si>
    <t>sorted_list = sorted(list, key=lambda x: len(x))</t>
    <phoneticPr fontId="4"/>
  </si>
  <si>
    <t>listを文字数順に並べ替える</t>
    <rPh sb="5" eb="7">
      <t>モジ</t>
    </rPh>
    <rPh sb="7" eb="8">
      <t>スウ</t>
    </rPh>
    <rPh sb="8" eb="9">
      <t>ジュン</t>
    </rPh>
    <rPh sb="10" eb="11">
      <t>ナラ</t>
    </rPh>
    <rPh sb="12" eb="13">
      <t>カ</t>
    </rPh>
    <phoneticPr fontId="4"/>
  </si>
  <si>
    <t>listを更新する</t>
    <rPh sb="5" eb="7">
      <t>コウシン</t>
    </rPh>
    <phoneticPr fontId="4"/>
  </si>
  <si>
    <t>list.sort(key=lambda x: len(x))</t>
    <phoneticPr fontId="4"/>
  </si>
  <si>
    <t>list.sort()</t>
    <phoneticPr fontId="4"/>
  </si>
  <si>
    <t>sorted_list = sorted(list, reverse=True)</t>
    <phoneticPr fontId="4"/>
  </si>
  <si>
    <t>リスト 非破壊並べ替え</t>
    <rPh sb="7" eb="8">
      <t>ナラ</t>
    </rPh>
    <rPh sb="9" eb="10">
      <t>カ</t>
    </rPh>
    <phoneticPr fontId="4"/>
  </si>
  <si>
    <t>リスト 非破壊並べ替え（逆順）</t>
    <rPh sb="7" eb="8">
      <t>ナラ</t>
    </rPh>
    <rPh sb="9" eb="10">
      <t>カ</t>
    </rPh>
    <rPh sb="12" eb="14">
      <t>ギャクジュン</t>
    </rPh>
    <phoneticPr fontId="4"/>
  </si>
  <si>
    <t>リスト 非破壊並べ替え（ソートアルゴリズム指定）</t>
    <rPh sb="7" eb="8">
      <t>ナラ</t>
    </rPh>
    <rPh sb="9" eb="10">
      <t>カ</t>
    </rPh>
    <rPh sb="21" eb="23">
      <t>シテイ</t>
    </rPh>
    <phoneticPr fontId="4"/>
  </si>
  <si>
    <t>リスト 破壊並べ替え</t>
    <rPh sb="6" eb="7">
      <t>ナラ</t>
    </rPh>
    <rPh sb="8" eb="9">
      <t>カ</t>
    </rPh>
    <phoneticPr fontId="4"/>
  </si>
  <si>
    <t>リスト 破壊並べ替え（逆順）</t>
    <rPh sb="6" eb="7">
      <t>ナラ</t>
    </rPh>
    <rPh sb="8" eb="9">
      <t>カ</t>
    </rPh>
    <rPh sb="11" eb="13">
      <t>ギャクジュン</t>
    </rPh>
    <phoneticPr fontId="4"/>
  </si>
  <si>
    <t>リスト 破壊並べ替え（ソートアルゴリズム指定）</t>
    <rPh sb="4" eb="6">
      <t>ハカイ</t>
    </rPh>
    <rPh sb="6" eb="7">
      <t>ナラ</t>
    </rPh>
    <rPh sb="8" eb="9">
      <t>カ</t>
    </rPh>
    <phoneticPr fontId="4"/>
  </si>
  <si>
    <t>list.sort(reverse=True)</t>
    <phoneticPr fontId="4"/>
  </si>
  <si>
    <t>リスト 存在チェック</t>
    <rPh sb="4" eb="6">
      <t>ソンザイ</t>
    </rPh>
    <phoneticPr fontId="4"/>
  </si>
  <si>
    <t>4' in list</t>
    <phoneticPr fontId="4"/>
  </si>
  <si>
    <t>リスト 内包表記</t>
    <rPh sb="4" eb="6">
      <t>ナイホウ</t>
    </rPh>
    <rPh sb="6" eb="8">
      <t>ヒョウキ</t>
    </rPh>
    <phoneticPr fontId="4"/>
  </si>
  <si>
    <t>Sgn関数はWindows11(?)では利用できない</t>
    <rPh sb="3" eb="5">
      <t>カンスウ</t>
    </rPh>
    <rPh sb="20" eb="22">
      <t>リヨウ</t>
    </rPh>
    <phoneticPr fontId="4"/>
  </si>
  <si>
    <t>タプル 変数代入（アンパック）</t>
    <rPh sb="4" eb="6">
      <t>ヘンスウ</t>
    </rPh>
    <rPh sb="6" eb="8">
      <t>ダイニュウ</t>
    </rPh>
    <phoneticPr fontId="4"/>
  </si>
  <si>
    <t>タプル リスト→タプル変換</t>
    <rPh sb="11" eb="13">
      <t>ヘンカン</t>
    </rPh>
    <phoneticPr fontId="4"/>
  </si>
  <si>
    <t>tuple_position = tuple(list_position)</t>
    <phoneticPr fontId="4"/>
  </si>
  <si>
    <t>タプル タプル→リスト変換</t>
    <rPh sb="11" eb="13">
      <t>ヘンカン</t>
    </rPh>
    <phoneticPr fontId="4"/>
  </si>
  <si>
    <t>list_position = tuple(tuple_position)</t>
    <phoneticPr fontId="4"/>
  </si>
  <si>
    <t>python-izm-01</t>
  </si>
  <si>
    <t>python-izm-01</t>
    <phoneticPr fontId="4"/>
  </si>
  <si>
    <t>"python-" + "izm-" + "01"</t>
    <phoneticPr fontId="4"/>
  </si>
  <si>
    <t>'-'.join(["python", "izm", "01"])</t>
    <phoneticPr fontId="4"/>
  </si>
  <si>
    <t>文字列 文字列除去（先頭＋末尾）</t>
    <rPh sb="4" eb="7">
      <t>モジレツ</t>
    </rPh>
    <rPh sb="7" eb="9">
      <t>ジョキョ</t>
    </rPh>
    <rPh sb="10" eb="12">
      <t>セントウ</t>
    </rPh>
    <rPh sb="13" eb="15">
      <t>マツビ</t>
    </rPh>
    <phoneticPr fontId="4"/>
  </si>
  <si>
    <t>'-one, two, three-'.strip('-')</t>
    <phoneticPr fontId="4"/>
  </si>
  <si>
    <t>one, two, three</t>
    <phoneticPr fontId="4"/>
  </si>
  <si>
    <t>文字列 文字列除去（先頭のみ）</t>
    <rPh sb="4" eb="7">
      <t>モジレツ</t>
    </rPh>
    <rPh sb="7" eb="9">
      <t>ジョキョ</t>
    </rPh>
    <rPh sb="10" eb="12">
      <t>セントウ</t>
    </rPh>
    <phoneticPr fontId="4"/>
  </si>
  <si>
    <t>文字列 文字列除去（末尾のみ）</t>
    <rPh sb="4" eb="7">
      <t>モジレツ</t>
    </rPh>
    <rPh sb="7" eb="9">
      <t>ジョキョ</t>
    </rPh>
    <rPh sb="10" eb="12">
      <t>マツビ</t>
    </rPh>
    <phoneticPr fontId="4"/>
  </si>
  <si>
    <t>'-one, two, three-'.lstrip('-')</t>
    <phoneticPr fontId="4"/>
  </si>
  <si>
    <t>'-one, two, three-'.rstrip('-')</t>
    <phoneticPr fontId="4"/>
  </si>
  <si>
    <t>one, two, three-</t>
    <phoneticPr fontId="4"/>
  </si>
  <si>
    <t>-one, two, three</t>
    <phoneticPr fontId="4"/>
  </si>
  <si>
    <t>"abcdabcd".startswith('ab')</t>
    <phoneticPr fontId="4"/>
  </si>
  <si>
    <t>文字列 検索（先頭）</t>
    <rPh sb="7" eb="9">
      <t>セントウ</t>
    </rPh>
    <phoneticPr fontId="4"/>
  </si>
  <si>
    <t>"abcdabcd".endswith('dc')</t>
    <phoneticPr fontId="4"/>
  </si>
  <si>
    <t>文字列 検索（末尾）</t>
    <rPh sb="7" eb="9">
      <t>マツビ</t>
    </rPh>
    <phoneticPr fontId="4"/>
  </si>
  <si>
    <t>文字列 大文字判定</t>
    <rPh sb="4" eb="7">
      <t>オオモジ</t>
    </rPh>
    <phoneticPr fontId="4"/>
  </si>
  <si>
    <t>"ABC".isupper()</t>
    <phoneticPr fontId="4"/>
  </si>
  <si>
    <t>文字列 小文字判定</t>
    <rPh sb="4" eb="7">
      <t>コモジ</t>
    </rPh>
    <phoneticPr fontId="4"/>
  </si>
  <si>
    <t>"abc".islower()</t>
    <phoneticPr fontId="4"/>
  </si>
  <si>
    <t>fruits.get("banana")</t>
    <phoneticPr fontId="4"/>
  </si>
  <si>
    <t>None</t>
    <phoneticPr fontId="4"/>
  </si>
  <si>
    <t>存在しない場合は例外が発生する</t>
    <rPh sb="0" eb="2">
      <t>ソンザイ</t>
    </rPh>
    <rPh sb="5" eb="7">
      <t>バアイ</t>
    </rPh>
    <rPh sb="8" eb="10">
      <t>レイガイ</t>
    </rPh>
    <rPh sb="11" eb="13">
      <t>ハッセイ</t>
    </rPh>
    <phoneticPr fontId="4"/>
  </si>
  <si>
    <t>fruits.get("banana", "バナナ")</t>
    <phoneticPr fontId="4"/>
  </si>
  <si>
    <t>バナナ</t>
    <phoneticPr fontId="4"/>
  </si>
  <si>
    <t>存在しない場合はNoneが返る</t>
    <rPh sb="0" eb="2">
      <t>ソンザイ</t>
    </rPh>
    <rPh sb="5" eb="7">
      <t>バアイ</t>
    </rPh>
    <rPh sb="13" eb="14">
      <t>カエ</t>
    </rPh>
    <phoneticPr fontId="4"/>
  </si>
  <si>
    <t>存在しない場合は"バナナ"が返る</t>
    <rPh sb="0" eb="2">
      <t>ソンザイ</t>
    </rPh>
    <rPh sb="5" eb="7">
      <t>バアイ</t>
    </rPh>
    <phoneticPr fontId="4"/>
  </si>
  <si>
    <t>連想配列 内包表記</t>
    <rPh sb="5" eb="7">
      <t>ナイホウ</t>
    </rPh>
    <rPh sb="7" eb="9">
      <t>ヒョウキ</t>
    </rPh>
    <phoneticPr fontId="4"/>
  </si>
  <si>
    <t>キーがなければ自動で初期値を設定する</t>
    <phoneticPr fontId="4"/>
  </si>
  <si>
    <t>{i: i*2 for i in range(5)}</t>
  </si>
  <si>
    <t>{0: 0, 1: 2, 2: 4, 3: 6, 4: 8}</t>
    <phoneticPr fontId="4"/>
  </si>
  <si>
    <t>[0, 2, 4, 6, 8]</t>
    <phoneticPr fontId="4"/>
  </si>
  <si>
    <t>[i * 2 for i in range(5)]</t>
    <phoneticPr fontId="4"/>
  </si>
  <si>
    <t>集合 参照</t>
  </si>
  <si>
    <t>集合 参照（複数要素）</t>
    <rPh sb="6" eb="8">
      <t>フクスウ</t>
    </rPh>
    <rPh sb="8" eb="10">
      <t>ヨウソ</t>
    </rPh>
    <phoneticPr fontId="4"/>
  </si>
  <si>
    <t>集合 変数代入（アンパック）</t>
    <rPh sb="3" eb="5">
      <t>ヘンスウ</t>
    </rPh>
    <rPh sb="5" eb="7">
      <t>ダイニュウ</t>
    </rPh>
    <phoneticPr fontId="4"/>
  </si>
  <si>
    <t>集合 要素数取得</t>
  </si>
  <si>
    <t>集合 要素番号取得</t>
  </si>
  <si>
    <t>集合 末尾取り出し</t>
  </si>
  <si>
    <t>集合 追加</t>
  </si>
  <si>
    <t>集合 反転</t>
  </si>
  <si>
    <t>集合 リスト→集合変換</t>
    <rPh sb="9" eb="11">
      <t>ヘンカン</t>
    </rPh>
    <phoneticPr fontId="4"/>
  </si>
  <si>
    <t>集合 集合→リスト変換</t>
    <rPh sb="9" eb="11">
      <t>ヘンカン</t>
    </rPh>
    <phoneticPr fontId="4"/>
  </si>
  <si>
    <t>集合</t>
    <rPh sb="0" eb="2">
      <t>シュウゴウ</t>
    </rPh>
    <phoneticPr fontId="4"/>
  </si>
  <si>
    <t>集合 存在確認</t>
    <rPh sb="3" eb="5">
      <t>ソンザイ</t>
    </rPh>
    <rPh sb="5" eb="7">
      <t>カクニン</t>
    </rPh>
    <phoneticPr fontId="4"/>
  </si>
  <si>
    <t>東京' in S</t>
    <phoneticPr fontId="4"/>
  </si>
  <si>
    <t>S.add('栃木')</t>
    <phoneticPr fontId="4"/>
  </si>
  <si>
    <t>S.remove('栃木')</t>
    <phoneticPr fontId="4"/>
  </si>
  <si>
    <t>★存在しない場合は？</t>
    <rPh sb="1" eb="3">
      <t>ソンザイ</t>
    </rPh>
    <rPh sb="6" eb="8">
      <t>バアイ</t>
    </rPh>
    <phoneticPr fontId="4"/>
  </si>
  <si>
    <t>存在しない場合はエラーになる</t>
    <rPh sb="0" eb="2">
      <t>ソンザイ</t>
    </rPh>
    <rPh sb="5" eb="7">
      <t>バアイ</t>
    </rPh>
    <phoneticPr fontId="4"/>
  </si>
  <si>
    <t>S.discard('栃木')</t>
    <phoneticPr fontId="4"/>
  </si>
  <si>
    <t>存在しない場合もエラーにならない</t>
    <rPh sb="0" eb="2">
      <t>ソンザイ</t>
    </rPh>
    <rPh sb="5" eb="7">
      <t>バアイ</t>
    </rPh>
    <phoneticPr fontId="4"/>
  </si>
  <si>
    <t>集合 削除（未存在時、非エラー）</t>
    <rPh sb="11" eb="12">
      <t>ヒ</t>
    </rPh>
    <phoneticPr fontId="4"/>
  </si>
  <si>
    <t>集合 削除（未存在時、エラー）</t>
    <rPh sb="6" eb="7">
      <t>ミ</t>
    </rPh>
    <rPh sb="7" eb="9">
      <t>ソンザイ</t>
    </rPh>
    <rPh sb="9" eb="10">
      <t>ジ</t>
    </rPh>
    <phoneticPr fontId="4"/>
  </si>
  <si>
    <t>集合 内包表記</t>
    <rPh sb="3" eb="5">
      <t>ナイホウ</t>
    </rPh>
    <rPh sb="5" eb="7">
      <t>ヒョウキ</t>
    </rPh>
    <phoneticPr fontId="4"/>
  </si>
  <si>
    <t>{i*3 for i in range(5)}</t>
    <phoneticPr fontId="4"/>
  </si>
  <si>
    <t>{0, 3, 6, 9, 12}</t>
    <phoneticPr fontId="4"/>
  </si>
  <si>
    <t>集合 初期化（初期値なし）</t>
    <rPh sb="3" eb="6">
      <t>ショキカ</t>
    </rPh>
    <rPh sb="7" eb="10">
      <t>ショキチ</t>
    </rPh>
    <phoneticPr fontId="4"/>
  </si>
  <si>
    <t>集合 初期化（初期値あり）</t>
    <rPh sb="3" eb="6">
      <t>ショキカ</t>
    </rPh>
    <rPh sb="7" eb="10">
      <t>ショキチ</t>
    </rPh>
    <phoneticPr fontId="4"/>
  </si>
  <si>
    <t>S = set()</t>
    <phoneticPr fontId="4"/>
  </si>
  <si>
    <t>S2 &amp; S3</t>
    <phoneticPr fontId="4"/>
  </si>
  <si>
    <t>S2 | S3</t>
    <phoneticPr fontId="4"/>
  </si>
  <si>
    <t>集合 積集合(AND)</t>
    <rPh sb="3" eb="4">
      <t>セキ</t>
    </rPh>
    <rPh sb="4" eb="6">
      <t>シュウゴウ</t>
    </rPh>
    <phoneticPr fontId="4"/>
  </si>
  <si>
    <t>集合 和集合(OR)</t>
    <rPh sb="3" eb="4">
      <t>ワ</t>
    </rPh>
    <rPh sb="4" eb="6">
      <t>シュウゴウ</t>
    </rPh>
    <phoneticPr fontId="4"/>
  </si>
  <si>
    <t>集合 差集合</t>
    <rPh sb="3" eb="4">
      <t>サ</t>
    </rPh>
    <rPh sb="4" eb="6">
      <t>シュウゴウ</t>
    </rPh>
    <phoneticPr fontId="4"/>
  </si>
  <si>
    <t>S2 - S3</t>
    <phoneticPr fontId="4"/>
  </si>
  <si>
    <t>S = {'東京', '神奈川', '千葉', '埼玉', '大阪'}</t>
    <rPh sb="31" eb="33">
      <t>オオサカ</t>
    </rPh>
    <phoneticPr fontId="4"/>
  </si>
  <si>
    <t>集合 排他的論理和</t>
    <rPh sb="3" eb="6">
      <t>ハイタテキ</t>
    </rPh>
    <rPh sb="6" eb="8">
      <t>ロンリ</t>
    </rPh>
    <rPh sb="8" eb="9">
      <t>ワ</t>
    </rPh>
    <phoneticPr fontId="4"/>
  </si>
  <si>
    <t>S2 ^ S3</t>
    <phoneticPr fontId="4"/>
  </si>
  <si>
    <t xml:space="preserve"> </t>
    <phoneticPr fontId="4"/>
  </si>
  <si>
    <t>サブモジュールバージョン追加（コミットID指定）</t>
    <rPh sb="12" eb="14">
      <t>ツイカ</t>
    </rPh>
    <rPh sb="21" eb="23">
      <t>シテイ</t>
    </rPh>
    <phoneticPr fontId="4"/>
  </si>
  <si>
    <t>第一引数。(i.e."python3 test.py python izm" 実行時、'python')</t>
    <rPh sb="0" eb="2">
      <t>ダイイチ</t>
    </rPh>
    <rPh sb="2" eb="4">
      <t>ヒキスウ</t>
    </rPh>
    <phoneticPr fontId="4"/>
  </si>
  <si>
    <t>圧縮(zip)</t>
    <rPh sb="0" eb="2">
      <t>アッシュク</t>
    </rPh>
    <phoneticPr fontId="4"/>
  </si>
  <si>
    <t>展開(zip)</t>
    <phoneticPr fontId="4"/>
  </si>
  <si>
    <t>unzip test.zip</t>
    <phoneticPr fontId="4"/>
  </si>
  <si>
    <t>zip -r test.zip /tmp/test01</t>
    <phoneticPr fontId="4"/>
  </si>
  <si>
    <t>find . -type f -name "*.meta" -delete</t>
    <phoneticPr fontId="4"/>
  </si>
  <si>
    <t>ファイル一括削除（特定拡張子）</t>
    <rPh sb="4" eb="6">
      <t>イッカツ</t>
    </rPh>
    <rPh sb="6" eb="8">
      <t>サクジョ</t>
    </rPh>
    <rPh sb="9" eb="11">
      <t>トクテイ</t>
    </rPh>
    <rPh sb="11" eb="14">
      <t>カクチョウシ</t>
    </rPh>
    <phoneticPr fontId="4"/>
  </si>
  <si>
    <t>ディレクトリ一括削除（空ディレクトリ）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</si>
</sst>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24" formatCode="\$#,##0_);[Red]\(\$#,##0\)"/>
  </numFmts>
  <fonts count="19">
    <font>
      <sz val="9"/>
      <color theme="1"/>
      <name val="ＭＳ ゴシック"/>
      <family val="3"/>
      <charset val="128"/>
    </font>
    <font>
      <sz val="9"/>
      <color theme="1"/>
      <name val="ＭＳ ゴシック"/>
      <family val="2"/>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
      <sz val="9"/>
      <color theme="1"/>
      <name val="ＭＳ ゴシック"/>
      <family val="3"/>
      <charset val="128"/>
    </font>
    <font>
      <sz val="9"/>
      <color theme="0"/>
      <name val="ＭＳ ゴシック"/>
      <family val="3"/>
      <charset val="128"/>
    </font>
    <font>
      <sz val="6"/>
      <name val="ＭＳ ゴシック"/>
      <family val="2"/>
      <charset val="128"/>
    </font>
    <font>
      <u/>
      <sz val="9"/>
      <color theme="10"/>
      <name val="ＭＳ ゴシック"/>
      <family val="2"/>
      <charset val="128"/>
    </font>
    <font>
      <b/>
      <sz val="9"/>
      <color theme="1"/>
      <name val="ＭＳ ゴシック"/>
      <family val="3"/>
      <charset val="128"/>
    </font>
    <font>
      <sz val="9"/>
      <color rgb="FFFF0000"/>
      <name val="ＭＳ ゴシック"/>
      <family val="3"/>
      <charset val="128"/>
    </font>
    <font>
      <u/>
      <sz val="9"/>
      <color theme="1"/>
      <name val="ＭＳ ゴシック"/>
      <family val="3"/>
      <charset val="128"/>
    </font>
  </fonts>
  <fills count="11">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1"/>
        <bgColor indexed="64"/>
      </patternFill>
    </fill>
    <fill>
      <patternFill patternType="solid">
        <fgColor theme="8"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7">
    <xf numFmtId="0" fontId="0" fillId="0" borderId="0">
      <alignment vertical="top"/>
    </xf>
    <xf numFmtId="0" fontId="3" fillId="0" borderId="0"/>
    <xf numFmtId="0" fontId="2" fillId="0" borderId="0">
      <alignment vertical="center"/>
    </xf>
    <xf numFmtId="0" fontId="5" fillId="0" borderId="0" applyNumberFormat="0" applyFill="0" applyBorder="0" applyAlignment="0" applyProtection="0">
      <alignment vertical="top"/>
    </xf>
    <xf numFmtId="0" fontId="12" fillId="0" borderId="0">
      <alignment vertical="top"/>
    </xf>
    <xf numFmtId="0" fontId="1" fillId="0" borderId="0">
      <alignment vertical="center"/>
    </xf>
    <xf numFmtId="0" fontId="15" fillId="0" borderId="0" applyNumberFormat="0" applyFill="0" applyBorder="0" applyAlignment="0" applyProtection="0">
      <alignment vertical="center"/>
    </xf>
  </cellStyleXfs>
  <cellXfs count="107">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5" fillId="0" borderId="2" xfId="3" applyFill="1" applyBorder="1">
      <alignment vertical="top"/>
    </xf>
    <xf numFmtId="0" fontId="8" fillId="2" borderId="4" xfId="0" applyFont="1" applyFill="1" applyBorder="1" applyAlignment="1">
      <alignment horizontal="centerContinuous" vertical="top" wrapText="1"/>
    </xf>
    <xf numFmtId="0" fontId="8" fillId="2" borderId="9" xfId="0" applyFont="1" applyFill="1" applyBorder="1" applyAlignment="1">
      <alignment horizontal="centerContinuous" vertical="top" wrapText="1"/>
    </xf>
    <xf numFmtId="49" fontId="8" fillId="2" borderId="7" xfId="0" applyNumberFormat="1" applyFont="1" applyFill="1" applyBorder="1" applyAlignment="1">
      <alignment horizontal="center" vertical="top"/>
    </xf>
    <xf numFmtId="0" fontId="8" fillId="2" borderId="5" xfId="0" applyFont="1" applyFill="1" applyBorder="1" applyAlignment="1">
      <alignment horizontal="centerContinuous" vertical="top" wrapText="1"/>
    </xf>
    <xf numFmtId="0" fontId="8" fillId="2" borderId="5" xfId="0" applyFont="1" applyFill="1" applyBorder="1" applyAlignment="1">
      <alignment horizontal="centerContinuous" vertical="top"/>
    </xf>
    <xf numFmtId="0" fontId="8" fillId="2" borderId="10" xfId="0" applyFont="1" applyFill="1" applyBorder="1" applyAlignment="1">
      <alignment horizontal="centerContinuous" vertical="top" wrapText="1"/>
    </xf>
    <xf numFmtId="49" fontId="8"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5"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5"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5"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8" fillId="2" borderId="3" xfId="0" applyFont="1" applyFill="1" applyBorder="1" applyAlignment="1">
      <alignment horizontal="centerContinuous" vertical="top" wrapText="1"/>
    </xf>
    <xf numFmtId="0" fontId="8"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9"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5" fillId="0" borderId="1" xfId="3" applyNumberFormat="1" applyBorder="1" applyAlignment="1">
      <alignment horizontal="left" vertical="top"/>
    </xf>
    <xf numFmtId="49" fontId="8" fillId="2" borderId="1" xfId="0" applyNumberFormat="1" applyFont="1" applyFill="1" applyBorder="1" applyAlignment="1">
      <alignment horizontal="centerContinuous" vertical="top"/>
    </xf>
    <xf numFmtId="49" fontId="8"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xf numFmtId="0" fontId="9" fillId="0" borderId="1" xfId="0" applyFont="1" applyBorder="1">
      <alignment vertical="top"/>
    </xf>
    <xf numFmtId="49" fontId="0" fillId="0" borderId="1" xfId="3" applyNumberFormat="1" applyFont="1" applyBorder="1" applyAlignment="1">
      <alignment horizontal="left" vertical="top"/>
    </xf>
    <xf numFmtId="0" fontId="13" fillId="2" borderId="0" xfId="4" applyFont="1" applyFill="1">
      <alignment vertical="top"/>
    </xf>
    <xf numFmtId="0" fontId="12" fillId="0" borderId="0" xfId="4" applyAlignment="1">
      <alignment horizontal="center" vertical="top"/>
    </xf>
    <xf numFmtId="0" fontId="12" fillId="0" borderId="0" xfId="4">
      <alignment vertical="top"/>
    </xf>
    <xf numFmtId="0" fontId="12" fillId="4" borderId="0" xfId="4" applyFill="1">
      <alignment vertical="top"/>
    </xf>
    <xf numFmtId="0" fontId="15" fillId="0" borderId="0" xfId="6" applyAlignment="1">
      <alignment vertical="top"/>
    </xf>
    <xf numFmtId="0" fontId="12" fillId="0" borderId="0" xfId="4" applyAlignment="1">
      <alignment horizontal="left" vertical="top" indent="1"/>
    </xf>
    <xf numFmtId="0" fontId="0" fillId="0" borderId="0" xfId="4" applyFont="1">
      <alignment vertical="top"/>
    </xf>
    <xf numFmtId="0" fontId="5" fillId="4" borderId="2" xfId="3" applyFill="1" applyBorder="1">
      <alignment vertical="top"/>
    </xf>
    <xf numFmtId="0" fontId="13" fillId="9" borderId="0" xfId="4" applyFont="1" applyFill="1">
      <alignment vertical="top"/>
    </xf>
    <xf numFmtId="0" fontId="13" fillId="0" borderId="0" xfId="4" applyFont="1">
      <alignment vertical="top"/>
    </xf>
    <xf numFmtId="0" fontId="13" fillId="9" borderId="1" xfId="4" applyFont="1" applyFill="1" applyBorder="1">
      <alignment vertical="top"/>
    </xf>
    <xf numFmtId="0" fontId="12" fillId="0" borderId="1" xfId="4" applyBorder="1">
      <alignment vertical="top"/>
    </xf>
    <xf numFmtId="0" fontId="12" fillId="5" borderId="1" xfId="4" applyFill="1" applyBorder="1">
      <alignment vertical="top"/>
    </xf>
    <xf numFmtId="0" fontId="12" fillId="4" borderId="1" xfId="4" applyFill="1" applyBorder="1">
      <alignment vertical="top"/>
    </xf>
    <xf numFmtId="0" fontId="0" fillId="0" borderId="1" xfId="4" applyFont="1" applyBorder="1">
      <alignment vertical="top"/>
    </xf>
    <xf numFmtId="0" fontId="12" fillId="0" borderId="1" xfId="4" quotePrefix="1" applyBorder="1">
      <alignment vertical="top"/>
    </xf>
    <xf numFmtId="0" fontId="1" fillId="0" borderId="1" xfId="5" applyBorder="1">
      <alignment vertical="center"/>
    </xf>
    <xf numFmtId="6" fontId="12" fillId="4" borderId="1" xfId="4" applyNumberFormat="1" applyFill="1" applyBorder="1">
      <alignment vertical="top"/>
    </xf>
    <xf numFmtId="0" fontId="0" fillId="0" borderId="1" xfId="4" quotePrefix="1" applyFont="1" applyBorder="1">
      <alignment vertical="top"/>
    </xf>
    <xf numFmtId="0" fontId="12" fillId="10" borderId="1" xfId="4" applyFill="1" applyBorder="1" applyAlignment="1">
      <alignment horizontal="center" vertical="top"/>
    </xf>
    <xf numFmtId="0" fontId="12" fillId="10" borderId="1" xfId="4" applyFill="1" applyBorder="1" applyAlignment="1">
      <alignment horizontal="center" vertical="top" wrapText="1"/>
    </xf>
    <xf numFmtId="0" fontId="0" fillId="10" borderId="1" xfId="4" applyFont="1" applyFill="1" applyBorder="1" applyAlignment="1">
      <alignment horizontal="center" vertical="top"/>
    </xf>
    <xf numFmtId="0" fontId="0" fillId="10" borderId="1" xfId="4" applyFont="1" applyFill="1" applyBorder="1" applyAlignment="1">
      <alignment horizontal="center" vertical="top" wrapText="1"/>
    </xf>
    <xf numFmtId="0" fontId="12" fillId="4" borderId="1" xfId="4" applyFill="1" applyBorder="1" applyAlignment="1">
      <alignment horizontal="center" vertical="top"/>
    </xf>
    <xf numFmtId="0" fontId="0" fillId="0" borderId="1" xfId="4" applyFont="1" applyBorder="1" applyAlignment="1">
      <alignment horizontal="center" vertical="top"/>
    </xf>
    <xf numFmtId="49" fontId="0" fillId="6" borderId="1" xfId="0" applyNumberFormat="1" applyFill="1" applyBorder="1" applyAlignment="1">
      <alignment horizontal="left" vertical="top"/>
    </xf>
    <xf numFmtId="0" fontId="0" fillId="6" borderId="1" xfId="0" applyFill="1" applyBorder="1" applyAlignment="1">
      <alignment vertical="top" wrapText="1"/>
    </xf>
    <xf numFmtId="0" fontId="0" fillId="6" borderId="1" xfId="0" applyFill="1" applyBorder="1" applyAlignment="1">
      <alignment horizontal="center" vertical="top" wrapText="1"/>
    </xf>
    <xf numFmtId="0" fontId="0" fillId="10" borderId="2" xfId="0" applyFill="1" applyBorder="1">
      <alignment vertical="top"/>
    </xf>
    <xf numFmtId="0" fontId="0" fillId="10" borderId="1" xfId="0" applyFill="1" applyBorder="1">
      <alignment vertical="top"/>
    </xf>
    <xf numFmtId="0" fontId="0" fillId="10" borderId="1" xfId="0" applyFill="1" applyBorder="1" applyAlignment="1">
      <alignment horizontal="center" vertical="top"/>
    </xf>
    <xf numFmtId="49" fontId="0" fillId="10" borderId="1" xfId="0" applyNumberFormat="1" applyFill="1" applyBorder="1" applyAlignment="1">
      <alignment horizontal="left" vertical="top"/>
    </xf>
    <xf numFmtId="0" fontId="0" fillId="10" borderId="1" xfId="0" applyFill="1" applyBorder="1" applyAlignment="1">
      <alignment vertical="top" wrapText="1"/>
    </xf>
    <xf numFmtId="0" fontId="0" fillId="10" borderId="1" xfId="0" applyFill="1" applyBorder="1" applyAlignment="1">
      <alignment horizontal="center" vertical="top" wrapText="1"/>
    </xf>
    <xf numFmtId="0" fontId="17" fillId="0" borderId="1" xfId="4" applyFont="1" applyBorder="1">
      <alignment vertical="top"/>
    </xf>
    <xf numFmtId="0" fontId="9" fillId="0" borderId="1" xfId="4" applyFont="1" applyBorder="1">
      <alignment vertical="top"/>
    </xf>
    <xf numFmtId="0" fontId="5" fillId="0" borderId="3" xfId="3" applyBorder="1">
      <alignment vertical="top"/>
    </xf>
    <xf numFmtId="0" fontId="9" fillId="0" borderId="2" xfId="0" applyFont="1" applyBorder="1">
      <alignment vertical="top"/>
    </xf>
    <xf numFmtId="0" fontId="0" fillId="0" borderId="4" xfId="0" applyBorder="1">
      <alignment vertical="top"/>
    </xf>
    <xf numFmtId="0" fontId="0" fillId="0" borderId="7" xfId="0" applyBorder="1">
      <alignment vertical="top"/>
    </xf>
    <xf numFmtId="49" fontId="0" fillId="0" borderId="7" xfId="0" applyNumberFormat="1" applyBorder="1" applyAlignment="1">
      <alignment horizontal="left" vertical="top"/>
    </xf>
    <xf numFmtId="0" fontId="5" fillId="3" borderId="2" xfId="3" applyFill="1" applyBorder="1">
      <alignment vertical="top"/>
    </xf>
    <xf numFmtId="0" fontId="9" fillId="4" borderId="1" xfId="0" applyFont="1" applyFill="1" applyBorder="1">
      <alignment vertical="top"/>
    </xf>
    <xf numFmtId="0" fontId="0" fillId="4" borderId="1" xfId="0" quotePrefix="1" applyFill="1" applyBorder="1">
      <alignment vertical="top"/>
    </xf>
    <xf numFmtId="0" fontId="9" fillId="0" borderId="0" xfId="0" applyFont="1">
      <alignment vertical="top"/>
    </xf>
    <xf numFmtId="49" fontId="9" fillId="0" borderId="1" xfId="0" quotePrefix="1" applyNumberFormat="1" applyFont="1" applyBorder="1" applyAlignment="1">
      <alignment horizontal="left" vertical="top"/>
    </xf>
    <xf numFmtId="0" fontId="12" fillId="0" borderId="0" xfId="4" applyAlignment="1">
      <alignment vertical="top" wrapText="1"/>
    </xf>
    <xf numFmtId="0" fontId="0" fillId="4" borderId="1" xfId="4" applyFont="1" applyFill="1" applyBorder="1">
      <alignment vertical="top"/>
    </xf>
    <xf numFmtId="0" fontId="0" fillId="4" borderId="1" xfId="4" applyFont="1" applyFill="1" applyBorder="1" applyAlignment="1">
      <alignment horizontal="center" vertical="top"/>
    </xf>
    <xf numFmtId="6" fontId="0" fillId="4" borderId="1" xfId="4" applyNumberFormat="1" applyFont="1" applyFill="1" applyBorder="1" applyAlignment="1">
      <alignment horizontal="center" vertical="top"/>
    </xf>
    <xf numFmtId="6" fontId="0" fillId="0" borderId="1" xfId="4" applyNumberFormat="1" applyFont="1" applyBorder="1" applyAlignment="1">
      <alignment horizontal="center" vertical="top"/>
    </xf>
    <xf numFmtId="49" fontId="17" fillId="0" borderId="1" xfId="0" applyNumberFormat="1" applyFont="1" applyBorder="1" applyAlignment="1">
      <alignment horizontal="left" vertical="top"/>
    </xf>
  </cellXfs>
  <cellStyles count="7">
    <cellStyle name="ハイパーリンク" xfId="3" builtinId="8"/>
    <cellStyle name="ハイパーリンク 2" xfId="6" xr:uid="{7D723344-A6A4-4AE9-BCC1-90B42BDAD6AF}"/>
    <cellStyle name="標準" xfId="0" builtinId="0" customBuiltin="1"/>
    <cellStyle name="標準 2" xfId="1" xr:uid="{00000000-0005-0000-0000-000001000000}"/>
    <cellStyle name="標準 2 2" xfId="4" xr:uid="{CB5ED3D3-867F-411F-8CF5-FAF6C6522218}"/>
    <cellStyle name="標準 3" xfId="2" xr:uid="{DBBD7441-F933-4A0E-810A-D4E2860F610E}"/>
    <cellStyle name="標準 4" xfId="5" xr:uid="{3921F69E-D505-4EA0-8A67-32F2FF3F229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msdn.microsoft.com/ja-jp/library/cc364421.aspx" TargetMode="External"/><Relationship Id="rId7" Type="http://schemas.openxmlformats.org/officeDocument/2006/relationships/vmlDrawing" Target="../drawings/vmlDrawing1.v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printerSettings" Target="../printerSettings/printerSettings1.bin"/><Relationship Id="rId5" Type="http://schemas.openxmlformats.org/officeDocument/2006/relationships/hyperlink" Target="https://qiita.com/shiozaki/items/2b25462747ae4a299fa0" TargetMode="External"/><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atmarkit.itmedia.co.jp/ait/articles/2001/21/news012.html" TargetMode="External"/><Relationship Id="rId13" Type="http://schemas.openxmlformats.org/officeDocument/2006/relationships/vmlDrawing" Target="../drawings/vmlDrawing2.vml"/><Relationship Id="rId3" Type="http://schemas.openxmlformats.org/officeDocument/2006/relationships/hyperlink" Target="https://docs.python.org/ja/3/library/exceptions.html" TargetMode="External"/><Relationship Id="rId7" Type="http://schemas.openxmlformats.org/officeDocument/2006/relationships/hyperlink" Target="https://note.nkmk.me/python-pathlib-name-suffix-parent/" TargetMode="External"/><Relationship Id="rId12" Type="http://schemas.openxmlformats.org/officeDocument/2006/relationships/printerSettings" Target="../printerSettings/printerSettings2.bin"/><Relationship Id="rId2" Type="http://schemas.openxmlformats.org/officeDocument/2006/relationships/hyperlink" Target="https://qiita.com/ny7760/items/1918c43f206fb6c372eb" TargetMode="External"/><Relationship Id="rId1" Type="http://schemas.openxmlformats.org/officeDocument/2006/relationships/hyperlink" Target="https://qiita.com/ny7760/items/1918c43f206fb6c372eb" TargetMode="External"/><Relationship Id="rId6" Type="http://schemas.openxmlformats.org/officeDocument/2006/relationships/hyperlink" Target="https://atmarkit.itmedia.co.jp/ait/articles/2307/04/news017.html" TargetMode="External"/><Relationship Id="rId11" Type="http://schemas.openxmlformats.org/officeDocument/2006/relationships/hyperlink" Target="https://atmarkit.itmedia.co.jp/ait/articles/2001/21/news012.html" TargetMode="External"/><Relationship Id="rId5" Type="http://schemas.openxmlformats.org/officeDocument/2006/relationships/hyperlink" Target="https://pg-chain.com/python-round-quantize" TargetMode="External"/><Relationship Id="rId10" Type="http://schemas.openxmlformats.org/officeDocument/2006/relationships/hyperlink" Target="https://atmarkit.itmedia.co.jp/ait/articles/2001/21/news012.html" TargetMode="External"/><Relationship Id="rId4" Type="http://schemas.openxmlformats.org/officeDocument/2006/relationships/hyperlink" Target="https://aiacademy.jp/media/?p=1669" TargetMode="External"/><Relationship Id="rId9" Type="http://schemas.openxmlformats.org/officeDocument/2006/relationships/hyperlink" Target="https://atmarkit.itmedia.co.jp/ait/articles/2001/21/news012.html" TargetMode="External"/><Relationship Id="rId1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8" Type="http://schemas.openxmlformats.org/officeDocument/2006/relationships/hyperlink" Target="https://atmarkit.itmedia.co.jp/ait/articles/2001/21/news012.html" TargetMode="External"/><Relationship Id="rId13" Type="http://schemas.openxmlformats.org/officeDocument/2006/relationships/vmlDrawing" Target="../drawings/vmlDrawing3.vml"/><Relationship Id="rId3" Type="http://schemas.openxmlformats.org/officeDocument/2006/relationships/hyperlink" Target="https://docs.python.org/ja/3/library/exceptions.html" TargetMode="External"/><Relationship Id="rId7" Type="http://schemas.openxmlformats.org/officeDocument/2006/relationships/hyperlink" Target="https://note.nkmk.me/python-pathlib-name-suffix-parent/" TargetMode="External"/><Relationship Id="rId12" Type="http://schemas.openxmlformats.org/officeDocument/2006/relationships/printerSettings" Target="../printerSettings/printerSettings3.bin"/><Relationship Id="rId2" Type="http://schemas.openxmlformats.org/officeDocument/2006/relationships/hyperlink" Target="https://qiita.com/ny7760/items/1918c43f206fb6c372eb" TargetMode="External"/><Relationship Id="rId1" Type="http://schemas.openxmlformats.org/officeDocument/2006/relationships/hyperlink" Target="https://qiita.com/ny7760/items/1918c43f206fb6c372eb" TargetMode="External"/><Relationship Id="rId6" Type="http://schemas.openxmlformats.org/officeDocument/2006/relationships/hyperlink" Target="https://atmarkit.itmedia.co.jp/ait/articles/2307/04/news017.html" TargetMode="External"/><Relationship Id="rId11" Type="http://schemas.openxmlformats.org/officeDocument/2006/relationships/hyperlink" Target="https://atmarkit.itmedia.co.jp/ait/articles/2001/21/news012.html" TargetMode="External"/><Relationship Id="rId5" Type="http://schemas.openxmlformats.org/officeDocument/2006/relationships/hyperlink" Target="https://pg-chain.com/python-round-quantize" TargetMode="External"/><Relationship Id="rId10" Type="http://schemas.openxmlformats.org/officeDocument/2006/relationships/hyperlink" Target="https://atmarkit.itmedia.co.jp/ait/articles/2001/21/news012.html" TargetMode="External"/><Relationship Id="rId4" Type="http://schemas.openxmlformats.org/officeDocument/2006/relationships/hyperlink" Target="https://aiacademy.jp/media/?p=1669" TargetMode="External"/><Relationship Id="rId9" Type="http://schemas.openxmlformats.org/officeDocument/2006/relationships/hyperlink" Target="https://atmarkit.itmedia.co.jp/ait/articles/2001/21/news012.html" TargetMode="External"/><Relationship Id="rId1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4.bin"/><Relationship Id="rId1" Type="http://schemas.openxmlformats.org/officeDocument/2006/relationships/hyperlink" Target="http://qiita.com/sawa/_tsuka/items/67be34bab1fdf3fb87f9" TargetMode="Externa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hyperlink" Target="https://pokuwagata.hatenablog.com/entry/2018/12/03/002804"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42" Type="http://schemas.openxmlformats.org/officeDocument/2006/relationships/hyperlink" Target="https://qiita.com/ko1nksm/items/6201b2ce47f4d6126521" TargetMode="External"/><Relationship Id="rId47" Type="http://schemas.openxmlformats.org/officeDocument/2006/relationships/comments" Target="../comments5.xml"/><Relationship Id="rId7" Type="http://schemas.openxmlformats.org/officeDocument/2006/relationships/hyperlink" Target="https://qiita.com/ine1127/items/6e5fe80f4a9c64509558" TargetMode="Externa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9" Type="http://schemas.openxmlformats.org/officeDocument/2006/relationships/hyperlink" Target="https://www.atmarkit.co.jp/ait/articles/1805/10/news023.html"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hyperlink" Target="https://zenn.dev/tak_uchida/articles/cda1ccf2f2ca0e" TargetMode="External"/><Relationship Id="rId40" Type="http://schemas.openxmlformats.org/officeDocument/2006/relationships/hyperlink" Target="https://pokuwagata.hatenablog.com/entry/2018/12/03/002804" TargetMode="External"/><Relationship Id="rId45" Type="http://schemas.openxmlformats.org/officeDocument/2006/relationships/printerSettings" Target="../printerSettings/printerSettings5.bin"/><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4" Type="http://schemas.openxmlformats.org/officeDocument/2006/relationships/hyperlink" Target="https://atmarkit.itmedia.co.jp/ait/articles/1908/01/news031.html"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 Id="rId43" Type="http://schemas.openxmlformats.org/officeDocument/2006/relationships/hyperlink" Target="https://zenn.dev/kawarimidoll/articles/d546892a6d36eb" TargetMode="External"/><Relationship Id="rId8" Type="http://schemas.openxmlformats.org/officeDocument/2006/relationships/hyperlink" Target="https://qiita.com/ine1127/items/6e5fe80f4a9c64509558" TargetMode="External"/><Relationship Id="rId3"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hyperlink" Target="https://zenn.dev/tak_uchida/articles/cda1ccf2f2ca0e" TargetMode="External"/><Relationship Id="rId46" Type="http://schemas.openxmlformats.org/officeDocument/2006/relationships/vmlDrawing" Target="../drawings/vmlDrawing5.vml"/><Relationship Id="rId20" Type="http://schemas.openxmlformats.org/officeDocument/2006/relationships/hyperlink" Target="https://linuxcommand.net/diff3/" TargetMode="External"/><Relationship Id="rId41" Type="http://schemas.openxmlformats.org/officeDocument/2006/relationships/hyperlink" Target="https://qiita.com/ko1nksm/items/6201b2ce47f4d6126521"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news.mynavi.jp/article/20180706-659745/" TargetMode="External"/><Relationship Id="rId18" Type="http://schemas.openxmlformats.org/officeDocument/2006/relationships/hyperlink" Target="https://www.atmarkit.co.jp/ait/articles/1604/07/news018.html" TargetMode="External"/><Relationship Id="rId26" Type="http://schemas.openxmlformats.org/officeDocument/2006/relationships/hyperlink" Target="https://life-is-command.com/size-command/" TargetMode="External"/><Relationship Id="rId21" Type="http://schemas.openxmlformats.org/officeDocument/2006/relationships/hyperlink" Target="https://www.tohoho-web.com/ex/awk.html" TargetMode="External"/><Relationship Id="rId34" Type="http://schemas.openxmlformats.org/officeDocument/2006/relationships/hyperlink" Target="https://pokuwagata.hatenablog.com/entry/2018/12/03/00280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ja.wikipedia.org/wiki/SHA-1" TargetMode="External"/><Relationship Id="rId25" Type="http://schemas.openxmlformats.org/officeDocument/2006/relationships/hyperlink" Target="https://www.atmarkit.co.jp/ait/articles/1912/12/news034.html" TargetMode="External"/><Relationship Id="rId33" Type="http://schemas.openxmlformats.org/officeDocument/2006/relationships/hyperlink" Target="https://zenn.dev/tak_uchida/articles/cda1ccf2f2ca0e" TargetMode="External"/><Relationship Id="rId38" Type="http://schemas.openxmlformats.org/officeDocument/2006/relationships/comments" Target="../comments6.x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linuxcommand.net/diff3/" TargetMode="External"/><Relationship Id="rId20" Type="http://schemas.openxmlformats.org/officeDocument/2006/relationships/hyperlink" Target="https://manual.atmark-techno.com/armadillo-guide/armadillo-guide-2_ja-1.0.0/ch03.html" TargetMode="External"/><Relationship Id="rId29" Type="http://schemas.openxmlformats.org/officeDocument/2006/relationships/hyperlink" Target="https://qiita.com/taro373/items/262164e66d03160d9354"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www.atmarkit.co.jp/ait/articles/1805/10/news023.html" TargetMode="External"/><Relationship Id="rId32" Type="http://schemas.openxmlformats.org/officeDocument/2006/relationships/hyperlink" Target="https://zenn.dev/tak_uchida/articles/cda1ccf2f2ca0e" TargetMode="External"/><Relationship Id="rId37" Type="http://schemas.openxmlformats.org/officeDocument/2006/relationships/vmlDrawing" Target="../drawings/vmlDrawing6.vml"/><Relationship Id="rId5" Type="http://schemas.openxmlformats.org/officeDocument/2006/relationships/hyperlink" Target="https://qiita.com/ine1127/items/6e5fe80f4a9c64509558" TargetMode="External"/><Relationship Id="rId15" Type="http://schemas.openxmlformats.org/officeDocument/2006/relationships/hyperlink" Target="https://qiita.com/mumian1014/items/bb71b0520e457f3b2466" TargetMode="External"/><Relationship Id="rId23" Type="http://schemas.openxmlformats.org/officeDocument/2006/relationships/hyperlink" Target="https://teratail.com/questions/63845" TargetMode="External"/><Relationship Id="rId28" Type="http://schemas.openxmlformats.org/officeDocument/2006/relationships/hyperlink" Target="https://www.kagoya.jp/howto/it-glossary/server/cron/" TargetMode="External"/><Relationship Id="rId36" Type="http://schemas.openxmlformats.org/officeDocument/2006/relationships/printerSettings" Target="../printerSettings/printerSettings6.bin"/><Relationship Id="rId10" Type="http://schemas.openxmlformats.org/officeDocument/2006/relationships/hyperlink" Target="https://qiita.com/ine1127/items/6e5fe80f4a9c64509558" TargetMode="External"/><Relationship Id="rId19" Type="http://schemas.openxmlformats.org/officeDocument/2006/relationships/hyperlink" Target="https://linuxcommand.net/mkfifo/" TargetMode="External"/><Relationship Id="rId31" Type="http://schemas.openxmlformats.org/officeDocument/2006/relationships/hyperlink" Target="https://hana-shin.hatenablog.com/entry/2022/02/22/212543"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www.atmarkit.co.jp/ait/articles/1609/29/news016.html" TargetMode="External"/><Relationship Id="rId22" Type="http://schemas.openxmlformats.org/officeDocument/2006/relationships/hyperlink" Target="http://doi-t.hatenablog.com/entry/2014/01/31/084213" TargetMode="External"/><Relationship Id="rId27" Type="http://schemas.openxmlformats.org/officeDocument/2006/relationships/hyperlink" Target="http://kdo.la.coocan.jp/awk2.html" TargetMode="External"/><Relationship Id="rId30" Type="http://schemas.openxmlformats.org/officeDocument/2006/relationships/hyperlink" Target="https://hana-shin.hatenablog.com/entry/2022/02/22/212543" TargetMode="External"/><Relationship Id="rId35" Type="http://schemas.openxmlformats.org/officeDocument/2006/relationships/hyperlink" Target="https://pokuwagata.hatenablog.com/entry/2018/12/03/002804" TargetMode="External"/><Relationship Id="rId8" Type="http://schemas.openxmlformats.org/officeDocument/2006/relationships/hyperlink" Target="https://qiita.com/ine1127/items/6e5fe80f4a9c64509558" TargetMode="External"/><Relationship Id="rId3" Type="http://schemas.openxmlformats.org/officeDocument/2006/relationships/hyperlink" Target="https://qiita.com/ine1127/items/6e5fe80f4a9c64509558"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nullnote.com/web/git/merge_rebase/" TargetMode="External"/><Relationship Id="rId13" Type="http://schemas.openxmlformats.org/officeDocument/2006/relationships/comments" Target="../comments7.xml"/><Relationship Id="rId3" Type="http://schemas.openxmlformats.org/officeDocument/2006/relationships/hyperlink" Target="https://qiita.com/takaakikasai/items/3d4f8a4867364a46dfa3" TargetMode="External"/><Relationship Id="rId7" Type="http://schemas.openxmlformats.org/officeDocument/2006/relationships/hyperlink" Target="https://nullnote.com/web/git/merge_rebase/" TargetMode="External"/><Relationship Id="rId12" Type="http://schemas.openxmlformats.org/officeDocument/2006/relationships/vmlDrawing" Target="../drawings/vmlDrawing7.vml"/><Relationship Id="rId2" Type="http://schemas.openxmlformats.org/officeDocument/2006/relationships/hyperlink" Target="https://www-creators.com/archives/1290" TargetMode="External"/><Relationship Id="rId1" Type="http://schemas.openxmlformats.org/officeDocument/2006/relationships/hyperlink" Target="https://www-creators.com/archives/1290" TargetMode="External"/><Relationship Id="rId6" Type="http://schemas.openxmlformats.org/officeDocument/2006/relationships/hyperlink" Target="https://riri1904.hatenablog.com/entry/2019/12/21/100000" TargetMode="External"/><Relationship Id="rId11" Type="http://schemas.openxmlformats.org/officeDocument/2006/relationships/printerSettings" Target="../printerSettings/printerSettings7.bin"/><Relationship Id="rId5" Type="http://schemas.openxmlformats.org/officeDocument/2006/relationships/hyperlink" Target="https://qiita.com/usamik26/items/cce867b3b139ea5568a6" TargetMode="External"/><Relationship Id="rId10" Type="http://schemas.openxmlformats.org/officeDocument/2006/relationships/hyperlink" Target="https://blog.zzzmisa.com/git_commit_date/" TargetMode="External"/><Relationship Id="rId4" Type="http://schemas.openxmlformats.org/officeDocument/2006/relationships/hyperlink" Target="https://qiita.com/nantekkotai/items/0ca7c9e850eff65aaf66)" TargetMode="External"/><Relationship Id="rId9" Type="http://schemas.openxmlformats.org/officeDocument/2006/relationships/hyperlink" Target="https://nullnote.com/web/git/merge_rebase/" TargetMode="Externa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printerSettings" Target="../printerSettings/printerSettings8.bin"/><Relationship Id="rId1" Type="http://schemas.openxmlformats.org/officeDocument/2006/relationships/hyperlink" Target="https://qiita.com/richmikan@github/items/b6fb641e5b2b9af3522e" TargetMode="External"/><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9"/>
  <sheetViews>
    <sheetView showGridLines="0" view="pageBreakPreview" zoomScaleNormal="100" zoomScaleSheetLayoutView="100" workbookViewId="0">
      <pane xSplit="2" ySplit="2" topLeftCell="C21" activePane="bottomRight" state="frozen"/>
      <selection pane="topRight" activeCell="L1" sqref="L1"/>
      <selection pane="bottomLeft" activeCell="A2" sqref="A2"/>
      <selection pane="bottomRight" activeCell="C68" sqref="C68"/>
    </sheetView>
  </sheetViews>
  <sheetFormatPr defaultColWidth="9.33203125" defaultRowHeight="11.25" outlineLevelRow="1"/>
  <cols>
    <col min="1" max="1" width="3.83203125" customWidth="1"/>
    <col min="2" max="2" width="50.6640625" customWidth="1"/>
    <col min="3" max="3" width="79.33203125" customWidth="1"/>
    <col min="4" max="4" width="79.5" customWidth="1"/>
    <col min="5" max="5" width="66.33203125" customWidth="1"/>
  </cols>
  <sheetData>
    <row r="1" spans="1:8">
      <c r="A1" s="4"/>
      <c r="B1" s="4"/>
      <c r="C1" s="28" t="s">
        <v>125</v>
      </c>
      <c r="D1" s="28"/>
      <c r="E1" s="6"/>
      <c r="F1" t="s">
        <v>122</v>
      </c>
    </row>
    <row r="2" spans="1:8" ht="22.5">
      <c r="A2" s="7" t="s">
        <v>342</v>
      </c>
      <c r="B2" s="8"/>
      <c r="C2" s="29" t="s">
        <v>2382</v>
      </c>
      <c r="D2" s="28" t="s">
        <v>2381</v>
      </c>
      <c r="E2" s="10" t="s">
        <v>126</v>
      </c>
      <c r="F2" t="s">
        <v>122</v>
      </c>
    </row>
    <row r="3" spans="1:8">
      <c r="A3" s="12" t="s">
        <v>354</v>
      </c>
      <c r="B3" s="13"/>
      <c r="C3" s="13"/>
      <c r="D3" s="13"/>
      <c r="E3" s="14" t="s">
        <v>122</v>
      </c>
      <c r="F3" t="s">
        <v>122</v>
      </c>
      <c r="G3">
        <f ca="1">IF(H3="",OFFSET(G3,-1,0),OFFSET(G3,-1,0)+1)</f>
        <v>0</v>
      </c>
      <c r="H3" t="str">
        <f t="shared" ref="H3:H66" si="0">IF(B3="","",B3)</f>
        <v/>
      </c>
    </row>
    <row r="4" spans="1:8" outlineLevel="1">
      <c r="A4" s="15"/>
      <c r="B4" s="15" t="s">
        <v>0</v>
      </c>
      <c r="C4" s="16" t="str">
        <f>"Option Explicit"</f>
        <v>Option Explicit</v>
      </c>
      <c r="D4" s="16" t="str">
        <f>"Option Explicit"</f>
        <v>Option Explicit</v>
      </c>
      <c r="E4" s="17" t="s">
        <v>122</v>
      </c>
      <c r="F4" t="s">
        <v>122</v>
      </c>
      <c r="G4">
        <f t="shared" ref="G4:G68" ca="1" si="1">IF(H4="",OFFSET(G4,-1,0),OFFSET(G4,-1,0)+1)</f>
        <v>1</v>
      </c>
      <c r="H4" t="str">
        <f t="shared" si="0"/>
        <v>変数強制定義</v>
      </c>
    </row>
    <row r="5" spans="1:8" outlineLevel="1">
      <c r="A5" s="15"/>
      <c r="B5" s="15" t="s">
        <v>1</v>
      </c>
      <c r="C5" s="16" t="s">
        <v>421</v>
      </c>
      <c r="D5" s="16" t="s">
        <v>418</v>
      </c>
      <c r="E5" s="17"/>
      <c r="F5" t="s">
        <v>122</v>
      </c>
      <c r="G5">
        <f t="shared" ca="1" si="1"/>
        <v>2</v>
      </c>
      <c r="H5" t="str">
        <f t="shared" si="0"/>
        <v>変数定義①</v>
      </c>
    </row>
    <row r="6" spans="1:8" outlineLevel="1">
      <c r="A6" s="15"/>
      <c r="B6" s="15" t="s">
        <v>2</v>
      </c>
      <c r="C6" s="16" t="s">
        <v>422</v>
      </c>
      <c r="D6" s="16" t="s">
        <v>417</v>
      </c>
      <c r="E6" s="17"/>
      <c r="F6" t="s">
        <v>122</v>
      </c>
      <c r="G6">
        <f t="shared" ca="1" si="1"/>
        <v>3</v>
      </c>
      <c r="H6" t="str">
        <f t="shared" si="0"/>
        <v>変数定義②</v>
      </c>
    </row>
    <row r="7" spans="1:8" outlineLevel="1">
      <c r="A7" s="15"/>
      <c r="B7" s="15" t="s">
        <v>3</v>
      </c>
      <c r="C7" s="16" t="s">
        <v>423</v>
      </c>
      <c r="D7" s="16" t="s">
        <v>419</v>
      </c>
      <c r="E7" s="17"/>
      <c r="F7" t="s">
        <v>122</v>
      </c>
      <c r="G7">
        <f t="shared" ca="1" si="1"/>
        <v>4</v>
      </c>
      <c r="H7" t="str">
        <f t="shared" si="0"/>
        <v>変数定義③</v>
      </c>
    </row>
    <row r="8" spans="1:8" outlineLevel="1">
      <c r="A8" s="15"/>
      <c r="B8" s="15" t="s">
        <v>4</v>
      </c>
      <c r="C8" s="16" t="s">
        <v>424</v>
      </c>
      <c r="D8" s="16" t="s">
        <v>420</v>
      </c>
      <c r="E8" s="17"/>
      <c r="F8" t="s">
        <v>122</v>
      </c>
      <c r="G8">
        <f t="shared" ca="1" si="1"/>
        <v>5</v>
      </c>
      <c r="H8" t="str">
        <f t="shared" si="0"/>
        <v>変数定義④</v>
      </c>
    </row>
    <row r="9" spans="1:8" outlineLevel="1">
      <c r="A9" s="15"/>
      <c r="B9" s="15" t="s">
        <v>5</v>
      </c>
      <c r="C9" s="16" t="s">
        <v>408</v>
      </c>
      <c r="D9" s="16" t="str">
        <f>"Dim 配列変数名(最終要素番号)"</f>
        <v>Dim 配列変数名(最終要素番号)</v>
      </c>
      <c r="E9" s="17" t="s">
        <v>409</v>
      </c>
      <c r="F9" t="s">
        <v>122</v>
      </c>
      <c r="G9">
        <f t="shared" ca="1" si="1"/>
        <v>6</v>
      </c>
      <c r="H9" t="str">
        <f t="shared" si="0"/>
        <v>配列定義</v>
      </c>
    </row>
    <row r="10" spans="1:8" outlineLevel="1">
      <c r="A10" s="15"/>
      <c r="B10" s="15" t="s">
        <v>2329</v>
      </c>
      <c r="C10" s="16" t="str">
        <f>"配列変数名(要素番号)"</f>
        <v>配列変数名(要素番号)</v>
      </c>
      <c r="D10" s="16" t="str">
        <f>"配列変数名(要素番号)"</f>
        <v>配列変数名(要素番号)</v>
      </c>
      <c r="E10" s="17"/>
      <c r="F10" t="s">
        <v>122</v>
      </c>
      <c r="G10">
        <f ca="1">IF(H10="",OFFSET(G10,-1,0),OFFSET(G10,-1,0)+1)</f>
        <v>7</v>
      </c>
      <c r="H10" t="str">
        <f t="shared" si="0"/>
        <v>配列参照</v>
      </c>
    </row>
    <row r="11" spans="1:8" outlineLevel="1">
      <c r="A11" s="15"/>
      <c r="B11" s="15" t="s">
        <v>337</v>
      </c>
      <c r="C11" s="16" t="s">
        <v>338</v>
      </c>
      <c r="D11" s="30" t="s">
        <v>393</v>
      </c>
      <c r="E11" s="17" t="s">
        <v>425</v>
      </c>
      <c r="F11" t="s">
        <v>122</v>
      </c>
      <c r="G11">
        <f t="shared" ca="1" si="1"/>
        <v>8</v>
      </c>
      <c r="H11" t="str">
        <f t="shared" si="0"/>
        <v>変数定義(固定長文字列型)</v>
      </c>
    </row>
    <row r="12" spans="1:8" outlineLevel="1">
      <c r="A12" s="15"/>
      <c r="B12" s="15" t="s">
        <v>6</v>
      </c>
      <c r="C12" s="16" t="str">
        <f>"Const NUM As Integer = 1"</f>
        <v>Const NUM As Integer = 1</v>
      </c>
      <c r="D12" s="16" t="s">
        <v>410</v>
      </c>
      <c r="E12" s="17" t="s">
        <v>122</v>
      </c>
      <c r="F12" t="s">
        <v>122</v>
      </c>
      <c r="G12">
        <f t="shared" ca="1" si="1"/>
        <v>9</v>
      </c>
      <c r="H12" t="str">
        <f t="shared" si="0"/>
        <v>定数定義</v>
      </c>
    </row>
    <row r="13" spans="1:8" outlineLevel="1">
      <c r="A13" s="15"/>
      <c r="B13" s="15" t="s">
        <v>140</v>
      </c>
      <c r="C13" s="16" t="str">
        <f>"Type T_XXX
    iVal1 As Integer
    iVal2 As Integer
End Type"</f>
        <v>Type T_XXX
    iVal1 As Integer
    iVal2 As Integer
End Type</v>
      </c>
      <c r="D13" s="30" t="s">
        <v>393</v>
      </c>
      <c r="E13" s="17" t="s">
        <v>416</v>
      </c>
      <c r="F13" t="s">
        <v>122</v>
      </c>
      <c r="G13">
        <f t="shared" ca="1" si="1"/>
        <v>10</v>
      </c>
      <c r="H13" t="str">
        <f t="shared" si="0"/>
        <v>構造体定義</v>
      </c>
    </row>
    <row r="14" spans="1:8" outlineLevel="1">
      <c r="A14" s="15"/>
      <c r="B14" s="15" t="s">
        <v>142</v>
      </c>
      <c r="C14" s="16" t="str">
        <f>"Enum E_XXX
    NUM1
    NUM2
End Enum"</f>
        <v>Enum E_XXX
    NUM1
    NUM2
End Enum</v>
      </c>
      <c r="D14" s="30" t="s">
        <v>393</v>
      </c>
      <c r="E14" s="17" t="s">
        <v>416</v>
      </c>
      <c r="F14" t="s">
        <v>122</v>
      </c>
      <c r="G14">
        <f t="shared" ca="1" si="1"/>
        <v>11</v>
      </c>
      <c r="H14" t="str">
        <f t="shared" si="0"/>
        <v>列挙型定義</v>
      </c>
    </row>
    <row r="15" spans="1:8" outlineLevel="1">
      <c r="A15" s="15"/>
      <c r="B15" s="15" t="s">
        <v>141</v>
      </c>
      <c r="C15" s="16" t="str">
        <f>"Public Sub SubA( _
    ByVal sVal1 As String, _
    ByRef sVal2 As Integer _
)
End Sub"</f>
        <v>Public Sub SubA( _
    ByVal sVal1 As String, _
    ByRef sVal2 As Integer _
)
End Sub</v>
      </c>
      <c r="D15" s="16" t="str">
        <f>"Public Sub SubA( _
    ByVal sVal1, _
    ByRef sVal2 _
)
End Sub"</f>
        <v>Public Sub SubA( _
    ByVal sVal1, _
    ByRef sVal2 _
)
End Sub</v>
      </c>
      <c r="E15" s="17" t="s">
        <v>122</v>
      </c>
      <c r="F15" t="s">
        <v>122</v>
      </c>
      <c r="G15">
        <f t="shared" ca="1" si="1"/>
        <v>12</v>
      </c>
      <c r="H15" t="str">
        <f t="shared" si="0"/>
        <v>マクロ定義</v>
      </c>
    </row>
    <row r="16" spans="1:8" outlineLevel="1">
      <c r="A16" s="15"/>
      <c r="B16" s="15" t="s">
        <v>7</v>
      </c>
      <c r="C16" s="16" t="str">
        <f>"Private Function FuncA ( _
    ByVal sVal1 As String, _
    ByRef iVal2 As Integer, _
    Optional bVal3 As Boolean = True _
) As Boolean
End Function"</f>
        <v>Private Function FuncA ( _
    ByVal sVal1 As String, _
    ByRef iVal2 As Integer, _
    Optional bVal3 As Boolean = True _
) As Boolean
End Function</v>
      </c>
      <c r="D16" s="16" t="str">
        <f>"Private Function FuncA ( _
    ByVal sVal1, _
    ByRef iVal2 _
)
End Function"</f>
        <v>Private Function FuncA ( _
    ByVal sVal1, _
    ByRef iVal2 _
)
End Function</v>
      </c>
      <c r="E16" s="25" t="s">
        <v>2330</v>
      </c>
      <c r="F16" t="s">
        <v>122</v>
      </c>
      <c r="G16">
        <f t="shared" ca="1" si="1"/>
        <v>13</v>
      </c>
      <c r="H16" t="str">
        <f t="shared" si="0"/>
        <v>関数定義</v>
      </c>
    </row>
    <row r="17" spans="1:8" outlineLevel="1">
      <c r="A17" s="15"/>
      <c r="B17" s="15" t="s">
        <v>8</v>
      </c>
      <c r="C17" s="16" t="str">
        <f>"Call Func()"</f>
        <v>Call Func()</v>
      </c>
      <c r="D17" s="16" t="str">
        <f>"Call FuncA()"</f>
        <v>Call FuncA()</v>
      </c>
      <c r="E17" s="17" t="s">
        <v>122</v>
      </c>
      <c r="F17" t="s">
        <v>122</v>
      </c>
      <c r="G17">
        <f t="shared" ca="1" si="1"/>
        <v>14</v>
      </c>
      <c r="H17" t="str">
        <f t="shared" si="0"/>
        <v>関数呼出</v>
      </c>
    </row>
    <row r="18" spans="1:8" outlineLevel="1">
      <c r="A18" s="15"/>
      <c r="B18" s="15" t="s">
        <v>2328</v>
      </c>
      <c r="C18" s="16" t="str">
        <f>"'コメント"</f>
        <v>'コメント</v>
      </c>
      <c r="D18" s="16" t="str">
        <f>"'コメント"</f>
        <v>'コメント</v>
      </c>
      <c r="E18" s="17" t="s">
        <v>122</v>
      </c>
      <c r="F18" t="s">
        <v>122</v>
      </c>
      <c r="G18">
        <f t="shared" ca="1" si="1"/>
        <v>15</v>
      </c>
      <c r="H18" t="str">
        <f t="shared" si="0"/>
        <v>コメント</v>
      </c>
    </row>
    <row r="19" spans="1:8" outlineLevel="1">
      <c r="A19" s="15"/>
      <c r="B19" s="31" t="s">
        <v>368</v>
      </c>
      <c r="C19" s="16" t="str">
        <f>"If iVal = 1 Or iVal = 2 Then"&amp;CHAR(10)&amp;"ElseIf iVal = 3 Then"&amp;CHAR(10)&amp;"Else"&amp;CHAR(10)&amp;"End If"</f>
        <v>If iVal = 1 Or iVal = 2 Then
ElseIf iVal = 3 Then
Else
End If</v>
      </c>
      <c r="D19" s="16" t="str">
        <f>"If iVal = 1 Or iVal = 2 Then"&amp;CHAR(10)&amp;"ElseIf iVal = 3 Then"&amp;CHAR(10)&amp;"Else"&amp;CHAR(10)&amp;"End If"</f>
        <v>If iVal = 1 Or iVal = 2 Then
ElseIf iVal = 3 Then
Else
End If</v>
      </c>
      <c r="E19" s="17" t="s">
        <v>122</v>
      </c>
      <c r="F19" t="s">
        <v>122</v>
      </c>
      <c r="G19">
        <f t="shared" ca="1" si="1"/>
        <v>16</v>
      </c>
      <c r="H19" t="str">
        <f t="shared" si="0"/>
        <v>分岐 if</v>
      </c>
    </row>
    <row r="20" spans="1:8" outlineLevel="1">
      <c r="A20" s="15"/>
      <c r="B20" s="31" t="s">
        <v>369</v>
      </c>
      <c r="C20" s="16" t="str">
        <f>"If objTest Is Nothing Then"&amp;CHAR(10)&amp;"Else"&amp;CHAR(10)&amp;"End If"</f>
        <v>If objTest Is Nothing Then
Else
End If</v>
      </c>
      <c r="D20" s="16" t="str">
        <f>"If objTest Is Nothing Then"&amp;CHAR(10)&amp;"Else"&amp;CHAR(10)&amp;"End If"</f>
        <v>If objTest Is Nothing Then
Else
End If</v>
      </c>
      <c r="E20" s="17" t="s">
        <v>122</v>
      </c>
      <c r="F20" t="s">
        <v>122</v>
      </c>
      <c r="G20">
        <f t="shared" ca="1" si="1"/>
        <v>17</v>
      </c>
      <c r="H20" t="str">
        <f t="shared" si="0"/>
        <v>分岐 if（空オブジェクト確認）</v>
      </c>
    </row>
    <row r="21" spans="1:8" outlineLevel="1">
      <c r="A21" s="15"/>
      <c r="B21" s="31" t="s">
        <v>370</v>
      </c>
      <c r="C21" s="16" t="str">
        <f>"Select Case iVal"&amp;CHAR(10)&amp;"    Case 1"&amp;CHAR(10)&amp;"    Case Else"&amp;CHAR(10)&amp;"End Select"</f>
        <v>Select Case iVal
    Case 1
    Case Else
End Select</v>
      </c>
      <c r="D21" s="16" t="str">
        <f>"Select Case iVal"&amp;CHAR(10)&amp;"Case 1"&amp;CHAR(10)&amp;"Case Else"&amp;CHAR(10)&amp;"End Select"</f>
        <v>Select Case iVal
Case 1
Case Else
End Select</v>
      </c>
      <c r="E21" s="17" t="s">
        <v>122</v>
      </c>
      <c r="F21" t="s">
        <v>122</v>
      </c>
      <c r="G21">
        <f t="shared" ca="1" si="1"/>
        <v>18</v>
      </c>
      <c r="H21" t="str">
        <f t="shared" si="0"/>
        <v>分岐 switch</v>
      </c>
    </row>
    <row r="22" spans="1:8" outlineLevel="1">
      <c r="A22" s="15"/>
      <c r="B22" s="31" t="s">
        <v>371</v>
      </c>
      <c r="C22" s="16" t="str">
        <f>"For iVal1 = 1 To 3 [Step 1]"&amp;CHAR(10)&amp;"Next Val"</f>
        <v>For iVal1 = 1 To 3 [Step 1]
Next Val</v>
      </c>
      <c r="D22" s="16" t="str">
        <f>"For iVal1 = 1 To 3 [Step 1]"&amp;CHAR(10)&amp;"Next"</f>
        <v>For iVal1 = 1 To 3 [Step 1]
Next</v>
      </c>
      <c r="E22" s="17" t="s">
        <v>122</v>
      </c>
      <c r="F22" t="s">
        <v>122</v>
      </c>
      <c r="G22">
        <f t="shared" ca="1" si="1"/>
        <v>19</v>
      </c>
      <c r="H22" t="str">
        <f t="shared" si="0"/>
        <v>繰返し for</v>
      </c>
    </row>
    <row r="23" spans="1:8" outlineLevel="1">
      <c r="A23" s="15"/>
      <c r="B23" s="31" t="s">
        <v>372</v>
      </c>
      <c r="C23" s="16" t="str">
        <f>"For Each Value in Values"&amp;CHAR(10)&amp;CHAR(9)&amp;"処理"&amp;CHAR(10)&amp;"Next"</f>
        <v>For Each Value in Values
	処理
Next</v>
      </c>
      <c r="D23" s="16" t="str">
        <f>"For Each Value in Values"&amp;CHAR(10)&amp;"Next"</f>
        <v>For Each Value in Values
Next</v>
      </c>
      <c r="E23" s="17" t="s">
        <v>122</v>
      </c>
      <c r="F23" t="s">
        <v>122</v>
      </c>
      <c r="G23">
        <f t="shared" ca="1" si="1"/>
        <v>20</v>
      </c>
      <c r="H23" t="str">
        <f t="shared" si="0"/>
        <v>繰返し for each</v>
      </c>
    </row>
    <row r="24" spans="1:8" outlineLevel="1">
      <c r="A24" s="15"/>
      <c r="B24" s="31" t="s">
        <v>373</v>
      </c>
      <c r="C24" s="16" t="str">
        <f>"Do"&amp;CHAR(10)&amp;CHAR(9)&amp;"条件式＝真"&amp;CHAR(10)&amp;"Loop While 条件式"</f>
        <v>Do
	条件式＝真
Loop While 条件式</v>
      </c>
      <c r="D24" s="16" t="str">
        <f>"Do"&amp;CHAR(10)&amp;CHAR(9)&amp;" 条件式＝真 "&amp;CHAR(10)&amp;"Loop While 条件式"</f>
        <v>Do
	 条件式＝真 
Loop While 条件式</v>
      </c>
      <c r="E24" s="17" t="s">
        <v>122</v>
      </c>
      <c r="F24" t="s">
        <v>122</v>
      </c>
      <c r="G24">
        <f t="shared" ca="1" si="1"/>
        <v>21</v>
      </c>
      <c r="H24" t="str">
        <f t="shared" si="0"/>
        <v>繰返し while</v>
      </c>
    </row>
    <row r="25" spans="1:8" outlineLevel="1">
      <c r="A25" s="15"/>
      <c r="B25" s="31" t="s">
        <v>374</v>
      </c>
      <c r="C25" s="16" t="str">
        <f>"Do While 条件式"&amp;CHAR(10)&amp;CHAR(9)&amp;"条件式＝真"&amp;CHAR(10)&amp;"Loop"</f>
        <v>Do While 条件式
	条件式＝真
Loop</v>
      </c>
      <c r="D25" s="16" t="str">
        <f>"Do While 条件式"&amp;CHAR(10)&amp;CHAR(9)&amp;"条件式＝真"&amp;CHAR(10)&amp;"Loop"</f>
        <v>Do While 条件式
	条件式＝真
Loop</v>
      </c>
      <c r="E25" s="17" t="s">
        <v>122</v>
      </c>
      <c r="F25" t="s">
        <v>122</v>
      </c>
      <c r="G25">
        <f t="shared" ca="1" si="1"/>
        <v>22</v>
      </c>
      <c r="H25" t="str">
        <f t="shared" si="0"/>
        <v>繰返し do while</v>
      </c>
    </row>
    <row r="26" spans="1:8" outlineLevel="1">
      <c r="A26" s="15"/>
      <c r="B26" s="31" t="s">
        <v>375</v>
      </c>
      <c r="C26" s="16" t="str">
        <f>"Do Until 条件式"&amp;CHAR(10)&amp;CHAR(9)&amp;"条件式＝偽"&amp;CHAR(10)&amp;"Loop"</f>
        <v>Do Until 条件式
	条件式＝偽
Loop</v>
      </c>
      <c r="D26" s="16" t="str">
        <f>"Do Until 条件式"&amp;CHAR(10)&amp;CHAR(9)&amp;"条件式＝偽"&amp;CHAR(10)&amp;"Loop"</f>
        <v>Do Until 条件式
	条件式＝偽
Loop</v>
      </c>
      <c r="E26" s="17" t="s">
        <v>122</v>
      </c>
      <c r="F26" t="s">
        <v>122</v>
      </c>
      <c r="G26">
        <f t="shared" ca="1" si="1"/>
        <v>23</v>
      </c>
      <c r="H26" t="str">
        <f t="shared" si="0"/>
        <v>繰返し do until</v>
      </c>
    </row>
    <row r="27" spans="1:8" outlineLevel="1">
      <c r="A27" s="15"/>
      <c r="B27" s="31" t="s">
        <v>14</v>
      </c>
      <c r="C27" s="16" t="str">
        <f>"With オブジェクト名"&amp;CHAR(10)&amp;"End With"</f>
        <v>With オブジェクト名
End With</v>
      </c>
      <c r="D27" s="16" t="str">
        <f>"With オブジェクト名"&amp;CHAR(10)&amp;"End With"</f>
        <v>With オブジェクト名
End With</v>
      </c>
      <c r="E27" s="17" t="s">
        <v>122</v>
      </c>
      <c r="F27" t="s">
        <v>122</v>
      </c>
      <c r="G27">
        <f t="shared" ca="1" si="1"/>
        <v>24</v>
      </c>
      <c r="H27" t="str">
        <f t="shared" si="0"/>
        <v>with</v>
      </c>
    </row>
    <row r="28" spans="1:8" outlineLevel="1">
      <c r="A28" s="15"/>
      <c r="B28" s="31" t="s">
        <v>11</v>
      </c>
      <c r="C28" s="16" t="str">
        <f>"Exit (Sub\|Function\|For\|Do)"</f>
        <v>Exit (Sub\|Function\|For\|Do)</v>
      </c>
      <c r="D28" s="16" t="str">
        <f>"Exit Sub"</f>
        <v>Exit Sub</v>
      </c>
      <c r="E28" s="17" t="s">
        <v>122</v>
      </c>
      <c r="F28" t="s">
        <v>122</v>
      </c>
      <c r="G28">
        <f t="shared" ca="1" si="1"/>
        <v>25</v>
      </c>
      <c r="H28" t="str">
        <f t="shared" si="0"/>
        <v>ブロック脱出（Sub/Function/For/Do）</v>
      </c>
    </row>
    <row r="29" spans="1:8" outlineLevel="1">
      <c r="A29" s="15"/>
      <c r="B29" s="31" t="s">
        <v>381</v>
      </c>
      <c r="C29" s="16" t="str">
        <f>"sStr = InputBox( ""テキストを入力してください"", ""title"", ""default value"" )"</f>
        <v>sStr = InputBox( "テキストを入力してください", "title", "default value" )</v>
      </c>
      <c r="D29" s="16" t="str">
        <f>"sStr = InputBox( ""message"", ""title"", ""default value"" )"</f>
        <v>sStr = InputBox( "message", "title", "default value" )</v>
      </c>
      <c r="E29" s="17" t="s">
        <v>122</v>
      </c>
      <c r="F29" t="s">
        <v>122</v>
      </c>
      <c r="G29">
        <f t="shared" ca="1" si="1"/>
        <v>26</v>
      </c>
      <c r="H29" t="str">
        <f t="shared" si="0"/>
        <v>テキスト入力(InputBox)</v>
      </c>
    </row>
    <row r="30" spans="1:8" outlineLevel="1">
      <c r="A30" s="15"/>
      <c r="B30" s="31" t="s">
        <v>476</v>
      </c>
      <c r="C30"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D30"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E30" s="17" t="s">
        <v>122</v>
      </c>
      <c r="F30" t="s">
        <v>122</v>
      </c>
      <c r="G30">
        <f t="shared" ca="1" si="1"/>
        <v>27</v>
      </c>
      <c r="H30" t="str">
        <f t="shared" si="0"/>
        <v>テキスト入力(InputBox)時のキャンセル判定</v>
      </c>
    </row>
    <row r="31" spans="1:8" outlineLevel="1">
      <c r="A31" s="15"/>
      <c r="B31" s="31" t="s">
        <v>378</v>
      </c>
      <c r="C31" s="16" t="s">
        <v>384</v>
      </c>
      <c r="D31" s="16" t="str">
        <f>"MsgBox ""Hello world"", vbOKOnly, ""title"""</f>
        <v>MsgBox "Hello world", vbOKOnly, "title"</v>
      </c>
      <c r="E31" s="25" t="s">
        <v>377</v>
      </c>
      <c r="F31" t="s">
        <v>122</v>
      </c>
      <c r="G31">
        <f t="shared" ca="1" si="1"/>
        <v>28</v>
      </c>
      <c r="H31" t="str">
        <f t="shared" si="0"/>
        <v>メッセージ出力(MsgBox)</v>
      </c>
    </row>
    <row r="32" spans="1:8" outlineLevel="1">
      <c r="A32" s="15"/>
      <c r="B32" s="31" t="s">
        <v>379</v>
      </c>
      <c r="C32" s="16" t="str">
        <f>"Debug.Print ""Hello world"""</f>
        <v>Debug.Print "Hello world"</v>
      </c>
      <c r="D32" s="16" t="str">
        <f>"WScript.Echo ""Hello world"""</f>
        <v>WScript.Echo "Hello world"</v>
      </c>
      <c r="E32" s="17" t="s">
        <v>122</v>
      </c>
      <c r="F32" t="s">
        <v>122</v>
      </c>
      <c r="G32">
        <f t="shared" ca="1" si="1"/>
        <v>29</v>
      </c>
      <c r="H32" t="str">
        <f t="shared" si="0"/>
        <v>メッセージ出力(WScript.Echo)</v>
      </c>
    </row>
    <row r="33" spans="1:8" outlineLevel="1">
      <c r="A33" s="15"/>
      <c r="B33" s="31" t="s">
        <v>380</v>
      </c>
      <c r="C33" s="30" t="s">
        <v>393</v>
      </c>
      <c r="D33" s="16" t="str">
        <f>"Wscript.StdOut.WriteLine ""Hello world"""</f>
        <v>Wscript.StdOut.WriteLine "Hello world"</v>
      </c>
      <c r="E33" s="17" t="s">
        <v>123</v>
      </c>
      <c r="F33" t="s">
        <v>122</v>
      </c>
      <c r="G33">
        <f t="shared" ca="1" si="1"/>
        <v>30</v>
      </c>
      <c r="H33" t="str">
        <f t="shared" si="0"/>
        <v>メッセージ出力(Wscript.StdOut.WriteLine)</v>
      </c>
    </row>
    <row r="34" spans="1:8" outlineLevel="1">
      <c r="A34" s="15"/>
      <c r="B34" s="31" t="s">
        <v>382</v>
      </c>
      <c r="C34"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D34"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E34" s="25" t="s">
        <v>129</v>
      </c>
      <c r="F34" t="s">
        <v>122</v>
      </c>
      <c r="G34">
        <f t="shared" ca="1" si="1"/>
        <v>31</v>
      </c>
      <c r="H34" t="str">
        <f t="shared" si="0"/>
        <v>処理継続チェック＆中断処理</v>
      </c>
    </row>
    <row r="35" spans="1:8" outlineLevel="1">
      <c r="A35" s="15"/>
      <c r="B35" s="15" t="s">
        <v>383</v>
      </c>
      <c r="C35" s="16" t="str">
        <f>"Debug.Assert 条件式"</f>
        <v>Debug.Assert 条件式</v>
      </c>
      <c r="D35" s="30" t="s">
        <v>393</v>
      </c>
      <c r="E35" s="17" t="s">
        <v>253</v>
      </c>
      <c r="F35" t="s">
        <v>122</v>
      </c>
      <c r="G35">
        <f t="shared" ca="1" si="1"/>
        <v>32</v>
      </c>
      <c r="H35" t="str">
        <f t="shared" si="0"/>
        <v>処理継続チェック(Debug.Assert)</v>
      </c>
    </row>
    <row r="36" spans="1:8" outlineLevel="1">
      <c r="A36" s="15"/>
      <c r="B36" s="31" t="s">
        <v>9</v>
      </c>
      <c r="C36" s="16" t="str">
        <f>"Dim cPrfrmMes As New PerformanceMeasurement"</f>
        <v>Dim cPrfrmMes As New PerformanceMeasurement</v>
      </c>
      <c r="D36" s="16" t="str">
        <f>"Dim oLog"&amp;CHAR(10)&amp;"Set oLog = New LogMng"</f>
        <v>Dim oLog
Set oLog = New LogMng</v>
      </c>
      <c r="E36" s="17" t="s">
        <v>122</v>
      </c>
      <c r="F36" t="s">
        <v>122</v>
      </c>
      <c r="G36">
        <f t="shared" ca="1" si="1"/>
        <v>33</v>
      </c>
      <c r="H36" t="str">
        <f t="shared" si="0"/>
        <v>クラスインスタンス生成</v>
      </c>
    </row>
    <row r="37" spans="1:8" outlineLevel="1">
      <c r="A37" s="15"/>
      <c r="B37" s="31" t="s">
        <v>10</v>
      </c>
      <c r="C37" s="16" t="str">
        <f>"Set cPrfrmMes = Nothing"</f>
        <v>Set cPrfrmMes = Nothing</v>
      </c>
      <c r="D37" s="16" t="str">
        <f>"Set oLog = Nothing"</f>
        <v>Set oLog = Nothing</v>
      </c>
      <c r="E37" s="17" t="s">
        <v>122</v>
      </c>
      <c r="F37" t="s">
        <v>122</v>
      </c>
      <c r="G37">
        <f t="shared" ca="1" si="1"/>
        <v>34</v>
      </c>
      <c r="H37" t="str">
        <f t="shared" si="0"/>
        <v>クラスインスタンス破棄</v>
      </c>
    </row>
    <row r="38" spans="1:8" outlineLevel="1">
      <c r="A38" s="15"/>
      <c r="B38" s="31" t="s">
        <v>12</v>
      </c>
      <c r="C38" s="16" t="str">
        <f>"Dim sStr As String : sStr = ""abc"""</f>
        <v>Dim sStr As String : sStr = "abc"</v>
      </c>
      <c r="D38" s="16" t="str">
        <f>"Dim sStr : sStr = ""abc"""</f>
        <v>Dim sStr : sStr = "abc"</v>
      </c>
      <c r="E38" s="17" t="s">
        <v>122</v>
      </c>
      <c r="F38" t="s">
        <v>122</v>
      </c>
      <c r="G38">
        <f t="shared" ca="1" si="1"/>
        <v>35</v>
      </c>
      <c r="H38" t="str">
        <f t="shared" si="0"/>
        <v>連続コマンド実行</v>
      </c>
    </row>
    <row r="39" spans="1:8" outlineLevel="1">
      <c r="A39" s="15"/>
      <c r="B39" s="15" t="s">
        <v>143</v>
      </c>
      <c r="C39" s="16" t="str">
        <f>"Stop"</f>
        <v>Stop</v>
      </c>
      <c r="D39" s="30" t="s">
        <v>393</v>
      </c>
      <c r="E39" s="17" t="s">
        <v>122</v>
      </c>
      <c r="F39" t="s">
        <v>122</v>
      </c>
      <c r="G39">
        <f t="shared" ca="1" si="1"/>
        <v>36</v>
      </c>
      <c r="H39" t="str">
        <f t="shared" si="0"/>
        <v>一時停止</v>
      </c>
    </row>
    <row r="40" spans="1:8" outlineLevel="1">
      <c r="A40" s="15"/>
      <c r="B40" s="31" t="s">
        <v>13</v>
      </c>
      <c r="C40" s="16" t="str">
        <f>"End"</f>
        <v>End</v>
      </c>
      <c r="D40" s="16" t="str">
        <f>"WScript.Quit"</f>
        <v>WScript.Quit</v>
      </c>
      <c r="E40" s="17" t="s">
        <v>122</v>
      </c>
      <c r="F40" t="s">
        <v>122</v>
      </c>
      <c r="G40">
        <f t="shared" ca="1" si="1"/>
        <v>37</v>
      </c>
      <c r="H40" t="str">
        <f t="shared" si="0"/>
        <v>プログラム終了</v>
      </c>
    </row>
    <row r="41" spans="1:8" outlineLevel="1">
      <c r="A41" s="15"/>
      <c r="B41" s="15" t="s">
        <v>714</v>
      </c>
      <c r="C41" s="30" t="s">
        <v>393</v>
      </c>
      <c r="D41" s="16" t="s">
        <v>716</v>
      </c>
      <c r="E41" s="17" t="s">
        <v>715</v>
      </c>
      <c r="F41" t="s">
        <v>122</v>
      </c>
      <c r="G41">
        <f t="shared" ca="1" si="1"/>
        <v>38</v>
      </c>
      <c r="H41" t="str">
        <f t="shared" si="0"/>
        <v>スクリプト引数 取得</v>
      </c>
    </row>
    <row r="42" spans="1:8" outlineLevel="1">
      <c r="A42" s="15"/>
      <c r="B42" s="15" t="s">
        <v>713</v>
      </c>
      <c r="C42" s="30" t="s">
        <v>393</v>
      </c>
      <c r="D42" s="16" t="s">
        <v>717</v>
      </c>
      <c r="E42" s="17" t="s">
        <v>122</v>
      </c>
      <c r="F42" t="s">
        <v>122</v>
      </c>
      <c r="G42">
        <f t="shared" ca="1" si="1"/>
        <v>39</v>
      </c>
      <c r="H42" t="str">
        <f t="shared" si="0"/>
        <v>スクリプト引数の数 取得</v>
      </c>
    </row>
    <row r="43" spans="1:8">
      <c r="A43" s="12" t="s">
        <v>353</v>
      </c>
      <c r="B43" s="13"/>
      <c r="C43" s="13"/>
      <c r="D43" s="13"/>
      <c r="E43" s="14" t="s">
        <v>122</v>
      </c>
      <c r="F43" t="s">
        <v>122</v>
      </c>
      <c r="G43">
        <f t="shared" ca="1" si="1"/>
        <v>39</v>
      </c>
      <c r="H43" t="str">
        <f t="shared" si="0"/>
        <v/>
      </c>
    </row>
    <row r="44" spans="1:8" outlineLevel="1">
      <c r="A44" s="15"/>
      <c r="B44" s="15" t="s">
        <v>62</v>
      </c>
      <c r="C44" s="16" t="str">
        <f>"Replace(文字列変数, ""  "", """")"</f>
        <v>Replace(文字列変数, "  ", "")</v>
      </c>
      <c r="D44" s="16" t="str">
        <f>"Replace(文字列変数, ""  "", """")"</f>
        <v>Replace(文字列変数, "  ", "")</v>
      </c>
      <c r="E44" s="17" t="s">
        <v>122</v>
      </c>
      <c r="F44" t="s">
        <v>122</v>
      </c>
      <c r="G44">
        <f t="shared" ca="1" si="1"/>
        <v>40</v>
      </c>
      <c r="H44" t="str">
        <f t="shared" si="0"/>
        <v>置換</v>
      </c>
    </row>
    <row r="45" spans="1:8" outlineLevel="1">
      <c r="A45" s="15"/>
      <c r="B45" s="15" t="s">
        <v>63</v>
      </c>
      <c r="C45" s="16" t="str">
        <f>"InStr(""abcabc"", ""bc"")"</f>
        <v>InStr("abcabc", "bc")</v>
      </c>
      <c r="D45" s="16" t="str">
        <f>"InStr(""abcabc"", ""bc"")"</f>
        <v>InStr("abcabc", "bc")</v>
      </c>
      <c r="E45" s="17" t="s">
        <v>406</v>
      </c>
      <c r="F45" t="s">
        <v>122</v>
      </c>
      <c r="G45">
        <f t="shared" ca="1" si="1"/>
        <v>41</v>
      </c>
      <c r="H45" t="str">
        <f t="shared" si="0"/>
        <v>文字列検索（前方）</v>
      </c>
    </row>
    <row r="46" spans="1:8" outlineLevel="1">
      <c r="A46" s="15"/>
      <c r="B46" s="15" t="s">
        <v>64</v>
      </c>
      <c r="C46" s="16" t="str">
        <f>"InStrRev(""abcabc"", ""bc"")"</f>
        <v>InStrRev("abcabc", "bc")</v>
      </c>
      <c r="D46" s="16" t="str">
        <f>"InStrRev(""abcabc"", ""bc"")"</f>
        <v>InStrRev("abcabc", "bc")</v>
      </c>
      <c r="E46" s="17" t="s">
        <v>407</v>
      </c>
      <c r="F46" t="s">
        <v>122</v>
      </c>
      <c r="G46">
        <f t="shared" ca="1" si="1"/>
        <v>42</v>
      </c>
      <c r="H46" t="str">
        <f t="shared" si="0"/>
        <v>文字列検索（後方）</v>
      </c>
    </row>
    <row r="47" spans="1:8" outlineLevel="1">
      <c r="A47" s="15"/>
      <c r="B47" s="15" t="s">
        <v>65</v>
      </c>
      <c r="C47" s="16" t="str">
        <f>"Len(""リンゴ"")"</f>
        <v>Len("リンゴ")</v>
      </c>
      <c r="D47" s="16" t="str">
        <f>"Len(""リンゴ"")"</f>
        <v>Len("リンゴ")</v>
      </c>
      <c r="E47" s="17">
        <v>3</v>
      </c>
      <c r="F47" t="s">
        <v>122</v>
      </c>
      <c r="G47">
        <f t="shared" ca="1" si="1"/>
        <v>43</v>
      </c>
      <c r="H47" t="str">
        <f t="shared" si="0"/>
        <v>文字列 長さ（文字数）</v>
      </c>
    </row>
    <row r="48" spans="1:8" outlineLevel="1">
      <c r="A48" s="15"/>
      <c r="B48" s="15" t="s">
        <v>66</v>
      </c>
      <c r="C48" s="16" t="str">
        <f>"LenB(""リンゴ"")"</f>
        <v>LenB("リンゴ")</v>
      </c>
      <c r="D48" s="16" t="s">
        <v>333</v>
      </c>
      <c r="E48" s="17">
        <v>6</v>
      </c>
      <c r="F48" t="s">
        <v>122</v>
      </c>
      <c r="G48">
        <f t="shared" ca="1" si="1"/>
        <v>44</v>
      </c>
      <c r="H48" t="str">
        <f t="shared" si="0"/>
        <v>文字列 長さ（バイト数）</v>
      </c>
    </row>
    <row r="49" spans="1:8" outlineLevel="1">
      <c r="A49" s="15"/>
      <c r="B49" s="15" t="s">
        <v>67</v>
      </c>
      <c r="C49" s="16" t="str">
        <f>"abcdef &amp; ""gh"""</f>
        <v>abcdef &amp; "gh"</v>
      </c>
      <c r="D49" s="16" t="str">
        <f>"""abcdef"" &amp; ""gh"""</f>
        <v>"abcdef" &amp; "gh"</v>
      </c>
      <c r="E49" s="17" t="s">
        <v>122</v>
      </c>
      <c r="F49" t="s">
        <v>122</v>
      </c>
      <c r="G49">
        <f t="shared" ca="1" si="1"/>
        <v>45</v>
      </c>
      <c r="H49" t="str">
        <f t="shared" si="0"/>
        <v>文字列結合</v>
      </c>
    </row>
    <row r="50" spans="1:8" outlineLevel="1">
      <c r="A50" s="15"/>
      <c r="B50" s="15" t="s">
        <v>68</v>
      </c>
      <c r="C50" s="16" t="str">
        <f>"Left$(""abcd"", 3)"</f>
        <v>Left$("abcd", 3)</v>
      </c>
      <c r="D50" s="16" t="str">
        <f>"Left(""abcd"", 3)"</f>
        <v>Left("abcd", 3)</v>
      </c>
      <c r="E50" s="17" t="s">
        <v>287</v>
      </c>
      <c r="F50" t="s">
        <v>122</v>
      </c>
      <c r="G50">
        <f t="shared" ca="1" si="1"/>
        <v>46</v>
      </c>
      <c r="H50" t="str">
        <f t="shared" si="0"/>
        <v>文字列抽出 左</v>
      </c>
    </row>
    <row r="51" spans="1:8" outlineLevel="1">
      <c r="A51" s="15"/>
      <c r="B51" s="15" t="s">
        <v>69</v>
      </c>
      <c r="C51" s="16" t="str">
        <f>"Mid$(""abcdefgh"", 3, 2)"</f>
        <v>Mid$("abcdefgh", 3, 2)</v>
      </c>
      <c r="D51" s="16" t="str">
        <f>"Mid(""abcdefgh"", 3, 2)"</f>
        <v>Mid("abcdefgh", 3, 2)</v>
      </c>
      <c r="E51" s="17" t="s">
        <v>288</v>
      </c>
      <c r="F51" t="s">
        <v>122</v>
      </c>
      <c r="G51">
        <f t="shared" ca="1" si="1"/>
        <v>47</v>
      </c>
      <c r="H51" t="str">
        <f t="shared" si="0"/>
        <v>文字列抽出 中</v>
      </c>
    </row>
    <row r="52" spans="1:8" outlineLevel="1">
      <c r="A52" s="15"/>
      <c r="B52" s="15" t="s">
        <v>70</v>
      </c>
      <c r="C52" s="16" t="str">
        <f>"Right$(""abcd"", 2)"</f>
        <v>Right$("abcd", 2)</v>
      </c>
      <c r="D52" s="16" t="str">
        <f>"Right(""abcd"", 2)"</f>
        <v>Right("abcd", 2)</v>
      </c>
      <c r="E52" s="17" t="s">
        <v>289</v>
      </c>
      <c r="F52" t="s">
        <v>122</v>
      </c>
      <c r="G52">
        <f t="shared" ca="1" si="1"/>
        <v>48</v>
      </c>
      <c r="H52" t="str">
        <f t="shared" si="0"/>
        <v>文字列抽出 右</v>
      </c>
    </row>
    <row r="53" spans="1:8" outlineLevel="1">
      <c r="A53" s="15"/>
      <c r="B53" s="15" t="s">
        <v>330</v>
      </c>
      <c r="C53" s="16" t="s">
        <v>316</v>
      </c>
      <c r="D53" s="16" t="s">
        <v>316</v>
      </c>
      <c r="E53" s="17" t="s">
        <v>319</v>
      </c>
      <c r="F53" t="s">
        <v>122</v>
      </c>
      <c r="G53">
        <f t="shared" ca="1" si="1"/>
        <v>49</v>
      </c>
      <c r="H53" t="str">
        <f t="shared" si="0"/>
        <v>文字列長 取得１</v>
      </c>
    </row>
    <row r="54" spans="1:8" outlineLevel="1">
      <c r="A54" s="15"/>
      <c r="B54" s="15" t="s">
        <v>331</v>
      </c>
      <c r="C54" s="16" t="s">
        <v>318</v>
      </c>
      <c r="D54" s="16" t="s">
        <v>317</v>
      </c>
      <c r="E54" s="17" t="s">
        <v>320</v>
      </c>
      <c r="F54" t="s">
        <v>122</v>
      </c>
      <c r="G54">
        <f t="shared" ca="1" si="1"/>
        <v>50</v>
      </c>
      <c r="H54" t="str">
        <f t="shared" si="0"/>
        <v>文字列長 取得２</v>
      </c>
    </row>
    <row r="55" spans="1:8" outlineLevel="1">
      <c r="A55" s="15"/>
      <c r="B55" s="15" t="s">
        <v>332</v>
      </c>
      <c r="C55" s="16" t="s">
        <v>315</v>
      </c>
      <c r="D55" s="16" t="s">
        <v>882</v>
      </c>
      <c r="E55" s="17" t="s">
        <v>399</v>
      </c>
      <c r="F55" t="s">
        <v>122</v>
      </c>
      <c r="G55">
        <f t="shared" ca="1" si="1"/>
        <v>51</v>
      </c>
      <c r="H55" t="str">
        <f t="shared" si="0"/>
        <v>文字列長 取得３</v>
      </c>
    </row>
    <row r="56" spans="1:8" outlineLevel="1">
      <c r="A56" s="15"/>
      <c r="B56" s="15" t="s">
        <v>71</v>
      </c>
      <c r="C56" s="16" t="str">
        <f>"Asc(文字)"</f>
        <v>Asc(文字)</v>
      </c>
      <c r="D56" s="16" t="str">
        <f>"Asc(文字)"</f>
        <v>Asc(文字)</v>
      </c>
      <c r="E56" s="17" t="s">
        <v>122</v>
      </c>
      <c r="F56" t="s">
        <v>122</v>
      </c>
      <c r="G56">
        <f t="shared" ca="1" si="1"/>
        <v>52</v>
      </c>
      <c r="H56" t="str">
        <f t="shared" si="0"/>
        <v>文字列⇒ASCII 変換</v>
      </c>
    </row>
    <row r="57" spans="1:8" outlineLevel="1">
      <c r="A57" s="15"/>
      <c r="B57" s="15" t="s">
        <v>72</v>
      </c>
      <c r="C57" s="16" t="str">
        <f>"IsNumeric( sStr )"</f>
        <v>IsNumeric( sStr )</v>
      </c>
      <c r="D57" s="16" t="str">
        <f>"IsNumeric( sStr )"</f>
        <v>IsNumeric( sStr )</v>
      </c>
      <c r="E57" s="17" t="s">
        <v>400</v>
      </c>
      <c r="F57" t="s">
        <v>122</v>
      </c>
      <c r="G57">
        <f t="shared" ca="1" si="1"/>
        <v>53</v>
      </c>
      <c r="H57" t="str">
        <f t="shared" si="0"/>
        <v>文字列の数値判定</v>
      </c>
    </row>
    <row r="58" spans="1:8" outlineLevel="1">
      <c r="A58" s="15"/>
      <c r="B58" s="15" t="s">
        <v>73</v>
      </c>
      <c r="C58" s="16" t="str">
        <f>"Chr(ASCIIコード)"</f>
        <v>Chr(ASCIIコード)</v>
      </c>
      <c r="D58" s="16" t="str">
        <f>"Chr(ASCIIコード)"</f>
        <v>Chr(ASCIIコード)</v>
      </c>
      <c r="E58" s="17" t="s">
        <v>401</v>
      </c>
      <c r="F58" t="s">
        <v>122</v>
      </c>
      <c r="G58">
        <f t="shared" ca="1" si="1"/>
        <v>54</v>
      </c>
      <c r="H58" t="str">
        <f t="shared" si="0"/>
        <v>ASCII⇒文字列 変換</v>
      </c>
    </row>
    <row r="59" spans="1:8" outlineLevel="1">
      <c r="A59" s="15"/>
      <c r="B59" s="15" t="s">
        <v>74</v>
      </c>
      <c r="C59" s="16" t="str">
        <f>"""a"" &amp; String(4, ""b"")"</f>
        <v>"a" &amp; String(4, "b")</v>
      </c>
      <c r="D59" s="16" t="str">
        <f>"""a"" &amp; String(4, ""b"")"</f>
        <v>"a" &amp; String(4, "b")</v>
      </c>
      <c r="E59" s="17" t="s">
        <v>290</v>
      </c>
      <c r="F59" t="s">
        <v>122</v>
      </c>
      <c r="G59">
        <f t="shared" ca="1" si="1"/>
        <v>55</v>
      </c>
      <c r="H59" t="str">
        <f t="shared" si="0"/>
        <v>文字列繰り返し</v>
      </c>
    </row>
    <row r="60" spans="1:8" outlineLevel="1">
      <c r="A60" s="15"/>
      <c r="B60" s="15" t="s">
        <v>75</v>
      </c>
      <c r="C60" s="16" t="str">
        <f>"UCase(""aaa"")"</f>
        <v>UCase("aaa")</v>
      </c>
      <c r="D60" s="16" t="str">
        <f>"UCase(""aaa"")"</f>
        <v>UCase("aaa")</v>
      </c>
      <c r="E60" s="17" t="s">
        <v>122</v>
      </c>
      <c r="F60" t="s">
        <v>122</v>
      </c>
      <c r="G60">
        <f t="shared" ca="1" si="1"/>
        <v>56</v>
      </c>
      <c r="H60" t="str">
        <f t="shared" si="0"/>
        <v>大文字化</v>
      </c>
    </row>
    <row r="61" spans="1:8" outlineLevel="1">
      <c r="A61" s="15"/>
      <c r="B61" s="15" t="s">
        <v>76</v>
      </c>
      <c r="C61" s="16" t="str">
        <f>"LCase(""AAA"")"</f>
        <v>LCase("AAA")</v>
      </c>
      <c r="D61" s="16" t="str">
        <f>"LCase(""AAA"")"</f>
        <v>LCase("AAA")</v>
      </c>
      <c r="E61" s="17" t="s">
        <v>122</v>
      </c>
      <c r="F61" t="s">
        <v>122</v>
      </c>
      <c r="G61">
        <f t="shared" ca="1" si="1"/>
        <v>57</v>
      </c>
      <c r="H61" t="str">
        <f t="shared" si="0"/>
        <v>小文字化</v>
      </c>
    </row>
    <row r="62" spans="1:8" outlineLevel="1">
      <c r="A62" s="15"/>
      <c r="B62" s="15" t="s">
        <v>77</v>
      </c>
      <c r="C62" s="16" t="str">
        <f>"ReDim Preserve 配列名(5)"</f>
        <v>ReDim Preserve 配列名(5)</v>
      </c>
      <c r="D62" s="16" t="str">
        <f>"ReDim Preserve 配列名(5)"</f>
        <v>ReDim Preserve 配列名(5)</v>
      </c>
      <c r="E62" s="17" t="s">
        <v>252</v>
      </c>
      <c r="F62" t="s">
        <v>122</v>
      </c>
      <c r="G62">
        <f t="shared" ca="1" si="1"/>
        <v>58</v>
      </c>
      <c r="H62" t="str">
        <f t="shared" si="0"/>
        <v>配列再定義</v>
      </c>
    </row>
    <row r="63" spans="1:8" outlineLevel="1">
      <c r="A63" s="15"/>
      <c r="B63" s="15" t="s">
        <v>78</v>
      </c>
      <c r="C63" s="16" t="str">
        <f>"UBound(配列名)"</f>
        <v>UBound(配列名)</v>
      </c>
      <c r="D63" s="16" t="str">
        <f>"UBound(配列名)"</f>
        <v>UBound(配列名)</v>
      </c>
      <c r="E63" s="17" t="s">
        <v>291</v>
      </c>
      <c r="F63" t="s">
        <v>122</v>
      </c>
      <c r="G63">
        <f t="shared" ca="1" si="1"/>
        <v>59</v>
      </c>
      <c r="H63" t="str">
        <f t="shared" si="0"/>
        <v>配列最大要素数</v>
      </c>
    </row>
    <row r="64" spans="1:8" outlineLevel="1">
      <c r="A64" s="15"/>
      <c r="B64" s="15" t="s">
        <v>79</v>
      </c>
      <c r="C64" s="16" t="str">
        <f>"If IsArrayEmpty(asStr) Then
 未初期化配列
Else
 初期化済み配列
End If"&amp;"
Private Function IsArrayEmpty( _
    ByRef arr As Variant _
) As Boolean"&amp;"
    On Error Resume Next
    If Not IsArray(arr) Then
        IsArrayEmpty = True
        Exit Function
    End If"&amp;"
    IsArrayEmpty = (LBound(arr) &gt; UBound(arr))
    If Err.Number &lt;&gt; 0 Then
        IsArrayEmpty = True
    End If
    On Error GoTo 0
End Function
"</f>
        <v xml:space="preserve">If IsArrayEmpty(asStr) Then
 未初期化配列
Else
 初期化済み配列
End If
Private Function IsArrayEmpty( _
    ByRef arr As Variant _
) As Boolean
    On Error Resume Next
    If Not IsArray(arr) Then
        IsArrayEmpty = True
        Exit Function
    End If
    IsArrayEmpty = (LBound(arr) &gt; UBound(arr))
    If Err.Number &lt;&gt; 0 Then
        IsArrayEmpty = True
    End If
    On Error GoTo 0
End Function
</v>
      </c>
      <c r="D64"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E64" s="17" t="s">
        <v>3288</v>
      </c>
      <c r="F64" t="s">
        <v>122</v>
      </c>
      <c r="G64">
        <f t="shared" ca="1" si="1"/>
        <v>60</v>
      </c>
      <c r="H64" t="str">
        <f t="shared" si="0"/>
        <v>要素数０（未初期化）/要素数１配列判定</v>
      </c>
    </row>
    <row r="65" spans="1:8" outlineLevel="1">
      <c r="A65" s="15"/>
      <c r="B65" s="15" t="s">
        <v>80</v>
      </c>
      <c r="C65" s="16" t="str">
        <f>"Join(配列, "","")"</f>
        <v>Join(配列, ",")</v>
      </c>
      <c r="D65" s="16" t="str">
        <f>"Join(配列, "","")"</f>
        <v>Join(配列, ",")</v>
      </c>
      <c r="E65" s="17" t="s">
        <v>122</v>
      </c>
      <c r="F65" t="s">
        <v>122</v>
      </c>
      <c r="G65">
        <f t="shared" ca="1" si="1"/>
        <v>61</v>
      </c>
      <c r="H65" t="str">
        <f t="shared" si="0"/>
        <v>配列 結合</v>
      </c>
    </row>
    <row r="66" spans="1:8" outlineLevel="1">
      <c r="A66" s="15"/>
      <c r="B66" s="15" t="s">
        <v>81</v>
      </c>
      <c r="C66" s="16" t="str">
        <f>"文字列配列 = Split(""aaa,bbb,ccc"", "","")"</f>
        <v>文字列配列 = Split("aaa,bbb,ccc", ",")</v>
      </c>
      <c r="D66" s="16" t="str">
        <f>"objWords = Split( sFilePath , ""\"" )"</f>
        <v>objWords = Split( sFilePath , "\" )</v>
      </c>
      <c r="E66" s="17" t="s">
        <v>127</v>
      </c>
      <c r="F66" t="s">
        <v>122</v>
      </c>
      <c r="G66">
        <f t="shared" ca="1" si="1"/>
        <v>62</v>
      </c>
      <c r="H66" t="str">
        <f t="shared" si="0"/>
        <v>配列 分割</v>
      </c>
    </row>
    <row r="67" spans="1:8" outlineLevel="1">
      <c r="A67" s="15"/>
      <c r="B67" s="15" t="s">
        <v>82</v>
      </c>
      <c r="C67" s="16" t="str">
        <f>"TypeName(""Test"")"</f>
        <v>TypeName("Test")</v>
      </c>
      <c r="D67" s="16" t="str">
        <f>"TypeName(""Test"")"</f>
        <v>TypeName("Test")</v>
      </c>
      <c r="E67" s="17" t="s">
        <v>292</v>
      </c>
      <c r="F67" t="s">
        <v>122</v>
      </c>
      <c r="G67">
        <f t="shared" ca="1" si="1"/>
        <v>63</v>
      </c>
      <c r="H67" t="str">
        <f t="shared" ref="H67:H130" si="2">IF(B67="","",B67)</f>
        <v>型取得（文字列）</v>
      </c>
    </row>
    <row r="68" spans="1:8" outlineLevel="1">
      <c r="A68" s="15"/>
      <c r="B68" s="15" t="s">
        <v>83</v>
      </c>
      <c r="C68" s="16" t="str">
        <f>"VarType(""Test"")"</f>
        <v>VarType("Test")</v>
      </c>
      <c r="D68" s="16" t="str">
        <f>"VarType(""Test"")"</f>
        <v>VarType("Test")</v>
      </c>
      <c r="E68" s="25" t="s">
        <v>402</v>
      </c>
      <c r="F68" t="s">
        <v>122</v>
      </c>
      <c r="G68">
        <f t="shared" ca="1" si="1"/>
        <v>64</v>
      </c>
      <c r="H68" t="str">
        <f t="shared" si="2"/>
        <v>型取得（値）</v>
      </c>
    </row>
    <row r="69" spans="1:8" outlineLevel="1">
      <c r="A69" s="15"/>
      <c r="B69" s="15" t="s">
        <v>84</v>
      </c>
      <c r="C69" s="16" t="str">
        <f>"文字列変数 = Hex(734)"</f>
        <v>文字列変数 = Hex(734)</v>
      </c>
      <c r="D69" s="16" t="str">
        <f>"Hex(734)"</f>
        <v>Hex(734)</v>
      </c>
      <c r="E69" s="17" t="s">
        <v>122</v>
      </c>
      <c r="F69" t="s">
        <v>122</v>
      </c>
      <c r="G69">
        <f t="shared" ref="G69:G132" ca="1" si="3">IF(H69="",OFFSET(G69,-1,0),OFFSET(G69,-1,0)+1)</f>
        <v>65</v>
      </c>
      <c r="H69" t="str">
        <f t="shared" si="2"/>
        <v>10⇒16進数変換</v>
      </c>
    </row>
    <row r="70" spans="1:8" outlineLevel="1">
      <c r="A70" s="15"/>
      <c r="B70" s="15" t="s">
        <v>85</v>
      </c>
      <c r="C70" s="16" t="s">
        <v>411</v>
      </c>
      <c r="D70" s="16" t="str">
        <f>"CLng(""&amp;H"" &amp; ""FA"")"</f>
        <v>CLng("&amp;H" &amp; "FA")</v>
      </c>
      <c r="E70" s="17" t="s">
        <v>122</v>
      </c>
      <c r="F70" t="s">
        <v>122</v>
      </c>
      <c r="G70">
        <f t="shared" ca="1" si="3"/>
        <v>66</v>
      </c>
      <c r="H70" t="str">
        <f t="shared" si="2"/>
        <v>16⇒10進数変換</v>
      </c>
    </row>
    <row r="71" spans="1:8" outlineLevel="1">
      <c r="A71" s="15"/>
      <c r="B71" s="15" t="s">
        <v>86</v>
      </c>
      <c r="C71" s="16" t="str">
        <f>"&amp;HFFF0"</f>
        <v>&amp;HFFF0</v>
      </c>
      <c r="D71" s="16" t="str">
        <f>"&amp;HFFF0"</f>
        <v>&amp;HFFF0</v>
      </c>
      <c r="E71" s="17" t="s">
        <v>122</v>
      </c>
      <c r="F71" t="s">
        <v>122</v>
      </c>
      <c r="G71">
        <f t="shared" ca="1" si="3"/>
        <v>67</v>
      </c>
      <c r="H71" t="str">
        <f t="shared" si="2"/>
        <v>符号つき16進数表現</v>
      </c>
    </row>
    <row r="72" spans="1:8" outlineLevel="1">
      <c r="A72" s="15"/>
      <c r="B72" s="15" t="s">
        <v>87</v>
      </c>
      <c r="C72" s="16" t="str">
        <f>"&amp;HFFF0&amp;"</f>
        <v>&amp;HFFF0&amp;</v>
      </c>
      <c r="D72" s="16" t="str">
        <f>"&amp;HFFF0&amp;"</f>
        <v>&amp;HFFF0&amp;</v>
      </c>
      <c r="E72" s="17" t="s">
        <v>122</v>
      </c>
      <c r="F72" t="s">
        <v>122</v>
      </c>
      <c r="G72">
        <f t="shared" ca="1" si="3"/>
        <v>68</v>
      </c>
      <c r="H72" t="str">
        <f t="shared" si="2"/>
        <v>符号なし16進数表現</v>
      </c>
    </row>
    <row r="73" spans="1:8" outlineLevel="1">
      <c r="A73" s="15"/>
      <c r="B73" s="15" t="s">
        <v>88</v>
      </c>
      <c r="C73" s="16" t="str">
        <f>"Val(文字列式)"</f>
        <v>Val(文字列式)</v>
      </c>
      <c r="D73" s="16" t="str">
        <f>"CStr(234.5)"</f>
        <v>CStr(234.5)</v>
      </c>
      <c r="E73" s="17" t="s">
        <v>135</v>
      </c>
      <c r="F73" t="s">
        <v>122</v>
      </c>
      <c r="G73">
        <f t="shared" ca="1" si="3"/>
        <v>69</v>
      </c>
      <c r="H73" t="str">
        <f t="shared" si="2"/>
        <v>数値⇒文字列 変換</v>
      </c>
    </row>
    <row r="74" spans="1:8" outlineLevel="1">
      <c r="A74" s="15"/>
      <c r="B74" s="15" t="s">
        <v>89</v>
      </c>
      <c r="C74" s="16" t="str">
        <f>"Str(数値)"</f>
        <v>Str(数値)</v>
      </c>
      <c r="D74" s="16" t="str">
        <f>"CDbl(""234.5"")"</f>
        <v>CDbl("234.5")</v>
      </c>
      <c r="E74" s="17">
        <v>234.5</v>
      </c>
      <c r="F74" t="s">
        <v>122</v>
      </c>
      <c r="G74">
        <f t="shared" ca="1" si="3"/>
        <v>70</v>
      </c>
      <c r="H74" t="str">
        <f t="shared" si="2"/>
        <v>文字列⇒数値 変換①</v>
      </c>
    </row>
    <row r="75" spans="1:8" outlineLevel="1">
      <c r="A75" s="15"/>
      <c r="B75" s="15" t="s">
        <v>90</v>
      </c>
      <c r="C75" s="16" t="str">
        <f>"Str(数値)"</f>
        <v>Str(数値)</v>
      </c>
      <c r="D75" s="16" t="str">
        <f>"CLng(""234.5"")"</f>
        <v>CLng("234.5")</v>
      </c>
      <c r="E75" s="17">
        <v>234</v>
      </c>
      <c r="F75" t="s">
        <v>122</v>
      </c>
      <c r="G75">
        <f t="shared" ca="1" si="3"/>
        <v>71</v>
      </c>
      <c r="H75" t="str">
        <f t="shared" si="2"/>
        <v>文字列⇒数値 変換②</v>
      </c>
    </row>
    <row r="76" spans="1:8" outlineLevel="1">
      <c r="A76" s="15"/>
      <c r="B76" s="15" t="s">
        <v>91</v>
      </c>
      <c r="C76" s="16" t="s">
        <v>403</v>
      </c>
      <c r="D76" s="16" t="str">
        <f>"vbNewLine"</f>
        <v>vbNewLine</v>
      </c>
      <c r="E76" s="17" t="s">
        <v>136</v>
      </c>
      <c r="F76" t="s">
        <v>122</v>
      </c>
      <c r="G76">
        <f t="shared" ca="1" si="3"/>
        <v>72</v>
      </c>
      <c r="H76" t="str">
        <f t="shared" si="2"/>
        <v>改行</v>
      </c>
    </row>
    <row r="77" spans="1:8" outlineLevel="1">
      <c r="A77" s="15"/>
      <c r="B77" s="15" t="s">
        <v>92</v>
      </c>
      <c r="C77" s="16" t="str">
        <f>"Fix( 99.224 )"</f>
        <v>Fix( 99.224 )</v>
      </c>
      <c r="D77" s="16" t="str">
        <f>"Fix( 99.224 )"</f>
        <v>Fix( 99.224 )</v>
      </c>
      <c r="E77" s="17">
        <v>99</v>
      </c>
      <c r="F77" t="s">
        <v>122</v>
      </c>
      <c r="G77">
        <f t="shared" ca="1" si="3"/>
        <v>73</v>
      </c>
      <c r="H77" t="str">
        <f t="shared" si="2"/>
        <v>少数 正数 切り捨て①</v>
      </c>
    </row>
    <row r="78" spans="1:8" outlineLevel="1">
      <c r="A78" s="15"/>
      <c r="B78" s="15" t="s">
        <v>93</v>
      </c>
      <c r="C78" s="16" t="str">
        <f>"Int( 99.224 )"</f>
        <v>Int( 99.224 )</v>
      </c>
      <c r="D78" s="16" t="str">
        <f>"Int( 99.224 )"</f>
        <v>Int( 99.224 )</v>
      </c>
      <c r="E78" s="17">
        <v>99</v>
      </c>
      <c r="F78" t="s">
        <v>122</v>
      </c>
      <c r="G78">
        <f t="shared" ca="1" si="3"/>
        <v>74</v>
      </c>
      <c r="H78" t="str">
        <f t="shared" si="2"/>
        <v>少数 正数 切り捨て②</v>
      </c>
    </row>
    <row r="79" spans="1:8" outlineLevel="1">
      <c r="A79" s="15"/>
      <c r="B79" s="15" t="s">
        <v>94</v>
      </c>
      <c r="C79" s="16" t="str">
        <f>"Fix( -99.224 )"</f>
        <v>Fix( -99.224 )</v>
      </c>
      <c r="D79" s="16" t="str">
        <f>"Fix( -99.224 )"</f>
        <v>Fix( -99.224 )</v>
      </c>
      <c r="E79" s="17" t="s">
        <v>131</v>
      </c>
      <c r="F79" t="s">
        <v>122</v>
      </c>
      <c r="G79">
        <f t="shared" ca="1" si="3"/>
        <v>75</v>
      </c>
      <c r="H79" t="str">
        <f t="shared" si="2"/>
        <v>少数 負数 切り捨て①</v>
      </c>
    </row>
    <row r="80" spans="1:8" outlineLevel="1">
      <c r="A80" s="15"/>
      <c r="B80" s="15" t="s">
        <v>95</v>
      </c>
      <c r="C80" s="16" t="str">
        <f>"Int( -99.224 )"</f>
        <v>Int( -99.224 )</v>
      </c>
      <c r="D80" s="16" t="str">
        <f>"Int( -99.224 )"</f>
        <v>Int( -99.224 )</v>
      </c>
      <c r="E80" s="17" t="s">
        <v>132</v>
      </c>
      <c r="F80" t="s">
        <v>122</v>
      </c>
      <c r="G80">
        <f t="shared" ca="1" si="3"/>
        <v>76</v>
      </c>
      <c r="H80" t="str">
        <f t="shared" si="2"/>
        <v>少数 負数 切り捨て②</v>
      </c>
    </row>
    <row r="81" spans="1:8" outlineLevel="1">
      <c r="A81" s="15"/>
      <c r="B81" s="15" t="s">
        <v>96</v>
      </c>
      <c r="C81" s="16" t="str">
        <f>"Round( 99.555, 0 )"</f>
        <v>Round( 99.555, 0 )</v>
      </c>
      <c r="D81" s="16" t="str">
        <f>"Round( 99.555, 0 )"</f>
        <v>Round( 99.555, 0 )</v>
      </c>
      <c r="E81" s="17">
        <v>100</v>
      </c>
      <c r="F81" t="s">
        <v>122</v>
      </c>
      <c r="G81">
        <f t="shared" ca="1" si="3"/>
        <v>77</v>
      </c>
      <c r="H81" t="str">
        <f t="shared" si="2"/>
        <v>少数 正数 四捨五入（第一位）</v>
      </c>
    </row>
    <row r="82" spans="1:8" outlineLevel="1">
      <c r="A82" s="15"/>
      <c r="B82" s="15" t="s">
        <v>97</v>
      </c>
      <c r="C82" s="16" t="str">
        <f>"Round( 99.555, 1 )"</f>
        <v>Round( 99.555, 1 )</v>
      </c>
      <c r="D82" s="16" t="str">
        <f>"Round( 99.555, 1 )"</f>
        <v>Round( 99.555, 1 )</v>
      </c>
      <c r="E82" s="17">
        <v>99.6</v>
      </c>
      <c r="F82" t="s">
        <v>122</v>
      </c>
      <c r="G82">
        <f t="shared" ca="1" si="3"/>
        <v>78</v>
      </c>
      <c r="H82" t="str">
        <f t="shared" si="2"/>
        <v>少数 正数 四捨五入（第二位）</v>
      </c>
    </row>
    <row r="83" spans="1:8" outlineLevel="1">
      <c r="A83" s="15"/>
      <c r="B83" s="15" t="s">
        <v>98</v>
      </c>
      <c r="C83" s="16" t="str">
        <f>"Round( 99.555, 2 )"</f>
        <v>Round( 99.555, 2 )</v>
      </c>
      <c r="D83" s="16" t="str">
        <f>"Round( 99.555, 2 )"</f>
        <v>Round( 99.555, 2 )</v>
      </c>
      <c r="E83" s="17">
        <v>99.56</v>
      </c>
      <c r="F83" t="s">
        <v>122</v>
      </c>
      <c r="G83">
        <f t="shared" ca="1" si="3"/>
        <v>79</v>
      </c>
      <c r="H83" t="str">
        <f t="shared" si="2"/>
        <v>少数 正数 四捨五入（第三位）</v>
      </c>
    </row>
    <row r="84" spans="1:8" outlineLevel="1">
      <c r="A84" s="15"/>
      <c r="B84" s="15" t="s">
        <v>99</v>
      </c>
      <c r="C84" s="16" t="str">
        <f>"Round( -99.555, 0 )"</f>
        <v>Round( -99.555, 0 )</v>
      </c>
      <c r="D84" s="16" t="str">
        <f>"Round( -99.555, 0 )"</f>
        <v>Round( -99.555, 0 )</v>
      </c>
      <c r="E84" s="17">
        <v>-100</v>
      </c>
      <c r="F84" t="s">
        <v>122</v>
      </c>
      <c r="G84">
        <f t="shared" ca="1" si="3"/>
        <v>80</v>
      </c>
      <c r="H84" t="str">
        <f t="shared" si="2"/>
        <v>少数 負数 四捨五入（第一位）</v>
      </c>
    </row>
    <row r="85" spans="1:8" outlineLevel="1">
      <c r="A85" s="15"/>
      <c r="B85" s="15" t="s">
        <v>100</v>
      </c>
      <c r="C85" s="16" t="str">
        <f>"Round( -99.555, 1 )"</f>
        <v>Round( -99.555, 1 )</v>
      </c>
      <c r="D85" s="16" t="str">
        <f>"Round( -99.555, 1 )"</f>
        <v>Round( -99.555, 1 )</v>
      </c>
      <c r="E85" s="17">
        <v>-99.6</v>
      </c>
      <c r="F85" t="s">
        <v>122</v>
      </c>
      <c r="G85">
        <f t="shared" ca="1" si="3"/>
        <v>81</v>
      </c>
      <c r="H85" t="str">
        <f t="shared" si="2"/>
        <v>少数 負数 四捨五入（第二位）</v>
      </c>
    </row>
    <row r="86" spans="1:8" outlineLevel="1">
      <c r="A86" s="15"/>
      <c r="B86" s="15" t="s">
        <v>101</v>
      </c>
      <c r="C86" s="16" t="str">
        <f>"Round( -99.555, 2 )"</f>
        <v>Round( -99.555, 2 )</v>
      </c>
      <c r="D86" s="16" t="str">
        <f>"Round( -99.555, 2 )"</f>
        <v>Round( -99.555, 2 )</v>
      </c>
      <c r="E86" s="17">
        <v>-99.56</v>
      </c>
      <c r="F86" t="s">
        <v>122</v>
      </c>
      <c r="G86">
        <f t="shared" ca="1" si="3"/>
        <v>82</v>
      </c>
      <c r="H86" t="str">
        <f t="shared" si="2"/>
        <v>少数 負数 四捨五入（第三位）</v>
      </c>
    </row>
    <row r="87" spans="1:8" outlineLevel="1">
      <c r="A87" s="15"/>
      <c r="B87" s="15" t="s">
        <v>102</v>
      </c>
      <c r="C87" s="16" t="str">
        <f>"Round( 99.224 + 0.5, 0 )"</f>
        <v>Round( 99.224 + 0.5, 0 )</v>
      </c>
      <c r="D87" s="16" t="str">
        <f>"Round( 99.224 + 0.5, 0 )"</f>
        <v>Round( 99.224 + 0.5, 0 )</v>
      </c>
      <c r="E87" s="17">
        <v>100</v>
      </c>
      <c r="F87" t="s">
        <v>122</v>
      </c>
      <c r="G87">
        <f t="shared" ca="1" si="3"/>
        <v>83</v>
      </c>
      <c r="H87" t="str">
        <f t="shared" si="2"/>
        <v>少数 正数 切り上げ（第一位）</v>
      </c>
    </row>
    <row r="88" spans="1:8" outlineLevel="1">
      <c r="A88" s="15"/>
      <c r="B88" s="15" t="s">
        <v>103</v>
      </c>
      <c r="C88" s="16" t="str">
        <f>"Round( 99.224 + 0.05, 1 )"</f>
        <v>Round( 99.224 + 0.05, 1 )</v>
      </c>
      <c r="D88" s="16" t="str">
        <f>"Round( 99.224 + 0.05, 1 )"</f>
        <v>Round( 99.224 + 0.05, 1 )</v>
      </c>
      <c r="E88" s="17">
        <v>99.3</v>
      </c>
      <c r="F88" t="s">
        <v>122</v>
      </c>
      <c r="G88">
        <f t="shared" ca="1" si="3"/>
        <v>84</v>
      </c>
      <c r="H88" t="str">
        <f t="shared" si="2"/>
        <v>少数 正数 切り上げ（第二位）</v>
      </c>
    </row>
    <row r="89" spans="1:8" outlineLevel="1">
      <c r="A89" s="15"/>
      <c r="B89" s="15" t="s">
        <v>104</v>
      </c>
      <c r="C89" s="16" t="str">
        <f>"Round( -99.224 - 0.5, 0 )"</f>
        <v>Round( -99.224 - 0.5, 0 )</v>
      </c>
      <c r="D89" s="16" t="str">
        <f>"Round( -99.224 - 0.5, 0 )"</f>
        <v>Round( -99.224 - 0.5, 0 )</v>
      </c>
      <c r="E89" s="17">
        <v>-100</v>
      </c>
      <c r="F89" t="s">
        <v>122</v>
      </c>
      <c r="G89">
        <f t="shared" ca="1" si="3"/>
        <v>85</v>
      </c>
      <c r="H89" t="str">
        <f t="shared" si="2"/>
        <v>少数 負数 切り上げ（第一位）</v>
      </c>
    </row>
    <row r="90" spans="1:8" outlineLevel="1">
      <c r="A90" s="15"/>
      <c r="B90" s="15" t="s">
        <v>105</v>
      </c>
      <c r="C90" s="16" t="str">
        <f>"Round( -99.224 - 0.05, 1 )"</f>
        <v>Round( -99.224 - 0.05, 1 )</v>
      </c>
      <c r="D90" s="16" t="str">
        <f>"Round( -99.224 - 0.05, 1 )"</f>
        <v>Round( -99.224 - 0.05, 1 )</v>
      </c>
      <c r="E90" s="17">
        <v>-99.3</v>
      </c>
      <c r="F90" t="s">
        <v>122</v>
      </c>
      <c r="G90">
        <f t="shared" ca="1" si="3"/>
        <v>86</v>
      </c>
      <c r="H90" t="str">
        <f t="shared" si="2"/>
        <v>少数 負数 切り上げ（第二位）</v>
      </c>
    </row>
    <row r="91" spans="1:8" outlineLevel="1">
      <c r="A91" s="15"/>
      <c r="B91" s="15" t="s">
        <v>106</v>
      </c>
      <c r="C91" s="16" t="str">
        <f>"Round( 99.224 - 0.5, 0 )"</f>
        <v>Round( 99.224 - 0.5, 0 )</v>
      </c>
      <c r="D91" s="16" t="str">
        <f>"Round( 99.224 - 0.5, 0 )"</f>
        <v>Round( 99.224 - 0.5, 0 )</v>
      </c>
      <c r="E91" s="17" t="s">
        <v>133</v>
      </c>
      <c r="F91" t="s">
        <v>122</v>
      </c>
      <c r="G91">
        <f t="shared" ca="1" si="3"/>
        <v>87</v>
      </c>
      <c r="H91" t="str">
        <f t="shared" si="2"/>
        <v>少数 正数 切り下げ（第一位）</v>
      </c>
    </row>
    <row r="92" spans="1:8" outlineLevel="1">
      <c r="A92" s="15"/>
      <c r="B92" s="15" t="s">
        <v>107</v>
      </c>
      <c r="C92" s="16" t="str">
        <f>"Round( 99.224 - 0.05, 1 )"</f>
        <v>Round( 99.224 - 0.05, 1 )</v>
      </c>
      <c r="D92" s="16" t="str">
        <f>"Round( 99.224 - 0.05, 1 )"</f>
        <v>Round( 99.224 - 0.05, 1 )</v>
      </c>
      <c r="E92" s="17">
        <v>99.2</v>
      </c>
      <c r="F92" t="s">
        <v>122</v>
      </c>
      <c r="G92">
        <f t="shared" ca="1" si="3"/>
        <v>88</v>
      </c>
      <c r="H92" t="str">
        <f t="shared" si="2"/>
        <v>少数 正数 切り下げ（第二位）</v>
      </c>
    </row>
    <row r="93" spans="1:8" outlineLevel="1">
      <c r="A93" s="15"/>
      <c r="B93" s="15" t="s">
        <v>108</v>
      </c>
      <c r="C93" s="16" t="str">
        <f>"Round( -99.224 + 0.5, 0 )"</f>
        <v>Round( -99.224 + 0.5, 0 )</v>
      </c>
      <c r="D93" s="16" t="str">
        <f>"Round( -99.224 + 0.5, 0 )"</f>
        <v>Round( -99.224 + 0.5, 0 )</v>
      </c>
      <c r="E93" s="17" t="s">
        <v>134</v>
      </c>
      <c r="F93" t="s">
        <v>122</v>
      </c>
      <c r="G93">
        <f t="shared" ca="1" si="3"/>
        <v>89</v>
      </c>
      <c r="H93" t="str">
        <f t="shared" si="2"/>
        <v>少数 負数 切り下げ（第一位）</v>
      </c>
    </row>
    <row r="94" spans="1:8" outlineLevel="1">
      <c r="A94" s="15"/>
      <c r="B94" s="15" t="s">
        <v>109</v>
      </c>
      <c r="C94" s="16" t="str">
        <f>"Round( -99.224 + 0.05, 1 )"</f>
        <v>Round( -99.224 + 0.05, 1 )</v>
      </c>
      <c r="D94" s="16" t="str">
        <f>"Round( -99.224 + 0.05, 1 )"</f>
        <v>Round( -99.224 + 0.05, 1 )</v>
      </c>
      <c r="E94" s="17">
        <v>-99.2</v>
      </c>
      <c r="F94" t="s">
        <v>122</v>
      </c>
      <c r="G94">
        <f t="shared" ca="1" si="3"/>
        <v>90</v>
      </c>
      <c r="H94" t="str">
        <f t="shared" si="2"/>
        <v>少数 負数 切り下げ（第二位）</v>
      </c>
    </row>
    <row r="95" spans="1:8" outlineLevel="1">
      <c r="A95" s="15"/>
      <c r="B95" s="15" t="s">
        <v>689</v>
      </c>
      <c r="C95" s="16" t="s">
        <v>692</v>
      </c>
      <c r="D95" s="16" t="s">
        <v>687</v>
      </c>
      <c r="E95" s="17" t="s">
        <v>686</v>
      </c>
      <c r="F95" t="s">
        <v>122</v>
      </c>
      <c r="G95">
        <f t="shared" ca="1" si="3"/>
        <v>91</v>
      </c>
      <c r="H95" t="str">
        <f t="shared" si="2"/>
        <v>文字列表示形式(日付)</v>
      </c>
    </row>
    <row r="96" spans="1:8" outlineLevel="1">
      <c r="A96" s="15"/>
      <c r="B96" s="15" t="s">
        <v>688</v>
      </c>
      <c r="C96" s="16" t="s">
        <v>695</v>
      </c>
      <c r="D96" s="16" t="s">
        <v>693</v>
      </c>
      <c r="E96" s="17" t="s">
        <v>694</v>
      </c>
      <c r="F96" t="s">
        <v>122</v>
      </c>
      <c r="G96">
        <f t="shared" ca="1" si="3"/>
        <v>92</v>
      </c>
      <c r="H96" t="str">
        <f t="shared" si="2"/>
        <v>文字列表示形式(数値)</v>
      </c>
    </row>
    <row r="97" spans="1:8" outlineLevel="1">
      <c r="A97" s="15"/>
      <c r="B97" s="15" t="s">
        <v>691</v>
      </c>
      <c r="C97" s="32" t="s">
        <v>696</v>
      </c>
      <c r="D97" s="16" t="s">
        <v>698</v>
      </c>
      <c r="E97" s="17" t="s">
        <v>697</v>
      </c>
      <c r="F97" t="s">
        <v>122</v>
      </c>
      <c r="G97">
        <f t="shared" ca="1" si="3"/>
        <v>93</v>
      </c>
      <c r="H97" t="str">
        <f t="shared" si="2"/>
        <v>文字列表示形式(割合)</v>
      </c>
    </row>
    <row r="98" spans="1:8" outlineLevel="1">
      <c r="A98" s="15"/>
      <c r="B98" s="15" t="s">
        <v>690</v>
      </c>
      <c r="C98" s="33" t="s">
        <v>699</v>
      </c>
      <c r="D98" s="26" t="s">
        <v>700</v>
      </c>
      <c r="E98" s="17"/>
      <c r="F98" t="s">
        <v>122</v>
      </c>
      <c r="G98">
        <f t="shared" ca="1" si="3"/>
        <v>94</v>
      </c>
      <c r="H98" t="str">
        <f t="shared" si="2"/>
        <v>文字列表示形式(通貨)</v>
      </c>
    </row>
    <row r="99" spans="1:8">
      <c r="A99" s="12" t="s">
        <v>344</v>
      </c>
      <c r="B99" s="13"/>
      <c r="C99" s="13"/>
      <c r="D99" s="13"/>
      <c r="E99" s="14" t="s">
        <v>122</v>
      </c>
      <c r="F99" t="s">
        <v>122</v>
      </c>
      <c r="G99">
        <f t="shared" ca="1" si="3"/>
        <v>94</v>
      </c>
      <c r="H99" t="str">
        <f t="shared" si="2"/>
        <v/>
      </c>
    </row>
    <row r="100" spans="1:8" outlineLevel="1">
      <c r="A100" s="15"/>
      <c r="B100" s="15" t="s">
        <v>30</v>
      </c>
      <c r="C100" s="16" t="str">
        <f>"On Error Resume Next"</f>
        <v>On Error Resume Next</v>
      </c>
      <c r="D100" s="16" t="s">
        <v>398</v>
      </c>
      <c r="E100" s="17" t="s">
        <v>122</v>
      </c>
      <c r="F100" t="s">
        <v>122</v>
      </c>
      <c r="G100">
        <f t="shared" ca="1" si="3"/>
        <v>95</v>
      </c>
      <c r="H100" t="str">
        <f t="shared" si="2"/>
        <v>エラー設定</v>
      </c>
    </row>
    <row r="101" spans="1:8" outlineLevel="1">
      <c r="A101" s="15"/>
      <c r="B101" s="15" t="s">
        <v>31</v>
      </c>
      <c r="C101" s="16" t="str">
        <f>"On Error Goto 0"</f>
        <v>On Error Goto 0</v>
      </c>
      <c r="D101" s="16" t="str">
        <f>"On Error Goto 0"</f>
        <v>On Error Goto 0</v>
      </c>
      <c r="E101" s="17" t="s">
        <v>122</v>
      </c>
      <c r="F101" t="s">
        <v>122</v>
      </c>
      <c r="G101">
        <f t="shared" ca="1" si="3"/>
        <v>96</v>
      </c>
      <c r="H101" t="str">
        <f t="shared" si="2"/>
        <v>エラー解除</v>
      </c>
    </row>
    <row r="102" spans="1:8" outlineLevel="1">
      <c r="A102" s="15"/>
      <c r="B102" s="15" t="s">
        <v>32</v>
      </c>
      <c r="C102" s="16" t="str">
        <f>"Err.Number"</f>
        <v>Err.Number</v>
      </c>
      <c r="D102" s="16" t="str">
        <f>"Err.Number"</f>
        <v>Err.Number</v>
      </c>
      <c r="E102" s="17" t="s">
        <v>122</v>
      </c>
      <c r="F102" t="s">
        <v>122</v>
      </c>
      <c r="G102">
        <f t="shared" ca="1" si="3"/>
        <v>97</v>
      </c>
      <c r="H102" t="str">
        <f t="shared" si="2"/>
        <v>エラー番号</v>
      </c>
    </row>
    <row r="103" spans="1:8" outlineLevel="1">
      <c r="A103" s="15"/>
      <c r="B103" s="15" t="s">
        <v>33</v>
      </c>
      <c r="C103" s="16" t="str">
        <f>"Err.Description"</f>
        <v>Err.Description</v>
      </c>
      <c r="D103" s="16" t="str">
        <f>"Err.Description"</f>
        <v>Err.Description</v>
      </c>
      <c r="E103" s="17" t="s">
        <v>122</v>
      </c>
      <c r="F103" t="s">
        <v>122</v>
      </c>
      <c r="G103">
        <f t="shared" ca="1" si="3"/>
        <v>98</v>
      </c>
      <c r="H103" t="str">
        <f t="shared" si="2"/>
        <v>エラー内容</v>
      </c>
    </row>
    <row r="104" spans="1:8" outlineLevel="1">
      <c r="A104" s="15"/>
      <c r="B104" s="15" t="s">
        <v>144</v>
      </c>
      <c r="C104" s="16" t="str">
        <f>"On Error GoTo ErrorLabel"</f>
        <v>On Error GoTo ErrorLabel</v>
      </c>
      <c r="D104" s="30" t="s">
        <v>393</v>
      </c>
      <c r="E104" s="17" t="s">
        <v>275</v>
      </c>
      <c r="F104" t="s">
        <v>122</v>
      </c>
      <c r="G104">
        <f t="shared" ca="1" si="3"/>
        <v>99</v>
      </c>
      <c r="H104" t="str">
        <f t="shared" si="2"/>
        <v>エラーラベル</v>
      </c>
    </row>
    <row r="105" spans="1:8" outlineLevel="1">
      <c r="A105" s="15"/>
      <c r="B105" s="15" t="s">
        <v>145</v>
      </c>
      <c r="C105" s="16" t="str">
        <f>"ErrorLabel:"</f>
        <v>ErrorLabel:</v>
      </c>
      <c r="D105" s="30" t="s">
        <v>393</v>
      </c>
      <c r="E105" s="17" t="s">
        <v>122</v>
      </c>
      <c r="F105" t="s">
        <v>122</v>
      </c>
      <c r="G105">
        <f t="shared" ca="1" si="3"/>
        <v>100</v>
      </c>
      <c r="H105" t="str">
        <f t="shared" si="2"/>
        <v>ラベル定義</v>
      </c>
    </row>
    <row r="106" spans="1:8">
      <c r="A106" s="12" t="s">
        <v>345</v>
      </c>
      <c r="B106" s="13"/>
      <c r="C106" s="13"/>
      <c r="D106" s="13"/>
      <c r="E106" s="14" t="s">
        <v>122</v>
      </c>
      <c r="F106" t="s">
        <v>122</v>
      </c>
      <c r="G106">
        <f t="shared" ca="1" si="3"/>
        <v>100</v>
      </c>
      <c r="H106" t="str">
        <f t="shared" si="2"/>
        <v/>
      </c>
    </row>
    <row r="107" spans="1:8" outlineLevel="1">
      <c r="A107" s="15"/>
      <c r="B107" s="15" t="s">
        <v>669</v>
      </c>
      <c r="C107" s="16" t="str">
        <f>"Dim sTrgtFilePath As String
sTrgtFilePath = ""c:\codes\test\a.txt""
Open sTrgtFilePath For [Input|Output|Append] As #1"</f>
        <v>Dim sTrgtFilePath As String
sTrgtFilePath = "c:\codes\test\a.txt"
Open sTrgtFilePath For [Input|Output|Append] As #1</v>
      </c>
      <c r="D107"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E107" s="17" t="s">
        <v>122</v>
      </c>
      <c r="F107" t="s">
        <v>122</v>
      </c>
      <c r="G107">
        <f t="shared" ca="1" si="3"/>
        <v>101</v>
      </c>
      <c r="H107" t="str">
        <f t="shared" si="2"/>
        <v>ＴＸＴ(簡略版) オープン</v>
      </c>
    </row>
    <row r="108" spans="1:8" outlineLevel="1">
      <c r="A108" s="15"/>
      <c r="B108" s="15" t="s">
        <v>671</v>
      </c>
      <c r="C108" s="16" t="str">
        <f>"Dim sLine As String
Do Until EOF(1)
    Line Input #1, sLine
Loop"</f>
        <v>Dim sLine As String
Do Until EOF(1)
    Line Input #1, sLine
Loop</v>
      </c>
      <c r="D108" s="16" t="str">
        <f>"Do Until objTxtFile.AtEndOfStream
    MsgBox objTxtFile.ReadLine
Loop"</f>
        <v>Do Until objTxtFile.AtEndOfStream
    MsgBox objTxtFile.ReadLine
Loop</v>
      </c>
      <c r="E108" s="17" t="s">
        <v>122</v>
      </c>
      <c r="F108" t="s">
        <v>122</v>
      </c>
      <c r="G108">
        <f t="shared" ca="1" si="3"/>
        <v>102</v>
      </c>
      <c r="H108" t="str">
        <f t="shared" si="2"/>
        <v>ＴＸＴ(簡略版) 読込（一行ずつ）</v>
      </c>
    </row>
    <row r="109" spans="1:8" outlineLevel="1">
      <c r="A109" s="15"/>
      <c r="B109" s="15" t="s">
        <v>672</v>
      </c>
      <c r="C109"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D109" s="16" t="str">
        <f>"Dim vFile
vFile = Split(objTxtFile.ReadAll, vbNewLine)
Dim vLine
For Each vLine In vFile
    MsgBox vLine
Next"</f>
        <v>Dim vFile
vFile = Split(objTxtFile.ReadAll, vbNewLine)
Dim vLine
For Each vLine In vFile
    MsgBox vLine
Next</v>
      </c>
      <c r="E109" s="17" t="s">
        <v>286</v>
      </c>
      <c r="F109" t="s">
        <v>122</v>
      </c>
      <c r="G109">
        <f t="shared" ca="1" si="3"/>
        <v>103</v>
      </c>
      <c r="H109" t="str">
        <f t="shared" si="2"/>
        <v>ＴＸＴ(簡略版) 読込（一括）</v>
      </c>
    </row>
    <row r="110" spans="1:8" outlineLevel="1">
      <c r="A110" s="15"/>
      <c r="B110" s="15" t="s">
        <v>673</v>
      </c>
      <c r="C110" s="16" t="str">
        <f>"Dim sLine As String
Print #1, sLine"</f>
        <v>Dim sLine As String
Print #1, sLine</v>
      </c>
      <c r="D110" s="16" t="str">
        <f>"objTxtFile.WriteLine strLine"</f>
        <v>objTxtFile.WriteLine strLine</v>
      </c>
      <c r="E110" s="17" t="s">
        <v>122</v>
      </c>
      <c r="F110" t="s">
        <v>122</v>
      </c>
      <c r="G110">
        <f t="shared" ca="1" si="3"/>
        <v>104</v>
      </c>
      <c r="H110" t="str">
        <f t="shared" si="2"/>
        <v>ＴＸＴ(簡略版) 書込</v>
      </c>
    </row>
    <row r="111" spans="1:8" outlineLevel="1">
      <c r="A111" s="15"/>
      <c r="B111" s="15" t="s">
        <v>670</v>
      </c>
      <c r="C111" s="16" t="s">
        <v>397</v>
      </c>
      <c r="D111" s="16" t="str">
        <f>"objTxtFile.Close"</f>
        <v>objTxtFile.Close</v>
      </c>
      <c r="E111" s="17" t="s">
        <v>122</v>
      </c>
      <c r="F111" t="s">
        <v>122</v>
      </c>
      <c r="G111">
        <f t="shared" ca="1" si="3"/>
        <v>105</v>
      </c>
      <c r="H111" t="str">
        <f t="shared" si="2"/>
        <v>ＴＸＴ(簡略版) クローズ</v>
      </c>
    </row>
    <row r="112" spans="1:8" outlineLevel="1">
      <c r="A112" s="15"/>
      <c r="B112" s="15" t="s">
        <v>674</v>
      </c>
      <c r="C112" s="16" t="str">
        <f>"Dim adoStrm As Object
Set adoStrm = CreateObject(""ADODB.Stream"")"</f>
        <v>Dim adoStrm As Object
Set adoStrm = CreateObject("ADODB.Stream")</v>
      </c>
      <c r="D112" s="16" t="str">
        <f>"Dim adoStrm
Set adoStrm = CreateObject(""ADODB.Stream"")"</f>
        <v>Dim adoStrm
Set adoStrm = CreateObject("ADODB.Stream")</v>
      </c>
      <c r="E112" s="17" t="s">
        <v>122</v>
      </c>
      <c r="F112" t="s">
        <v>122</v>
      </c>
      <c r="G112">
        <f t="shared" ca="1" si="3"/>
        <v>106</v>
      </c>
      <c r="H112" t="str">
        <f t="shared" si="2"/>
        <v>ＴＸＴ(詳細版) 定義</v>
      </c>
    </row>
    <row r="113" spans="1:8" outlineLevel="1">
      <c r="A113" s="15"/>
      <c r="B113" s="15" t="s">
        <v>675</v>
      </c>
      <c r="C113" s="16" t="s">
        <v>661</v>
      </c>
      <c r="D113" s="16" t="s">
        <v>661</v>
      </c>
      <c r="E113" s="17" t="s">
        <v>662</v>
      </c>
      <c r="F113" t="s">
        <v>122</v>
      </c>
      <c r="G113">
        <f t="shared" ca="1" si="3"/>
        <v>107</v>
      </c>
      <c r="H113" t="str">
        <f t="shared" si="2"/>
        <v>ＴＸＴ(詳細版) ファイル種別指定</v>
      </c>
    </row>
    <row r="114" spans="1:8" outlineLevel="1">
      <c r="A114" s="15"/>
      <c r="B114" s="15" t="s">
        <v>676</v>
      </c>
      <c r="C114" s="16" t="s">
        <v>663</v>
      </c>
      <c r="D114" s="16" t="s">
        <v>663</v>
      </c>
      <c r="E114" s="17" t="s">
        <v>664</v>
      </c>
      <c r="F114" t="s">
        <v>122</v>
      </c>
      <c r="G114">
        <f t="shared" ca="1" si="3"/>
        <v>108</v>
      </c>
      <c r="H114" t="str">
        <f t="shared" si="2"/>
        <v>ＴＸＴ(詳細版) 文字コード指定</v>
      </c>
    </row>
    <row r="115" spans="1:8" outlineLevel="1">
      <c r="A115" s="15"/>
      <c r="B115" s="15" t="s">
        <v>677</v>
      </c>
      <c r="C115" s="16" t="s">
        <v>665</v>
      </c>
      <c r="D115" s="16" t="s">
        <v>665</v>
      </c>
      <c r="E115" s="17" t="s">
        <v>666</v>
      </c>
      <c r="F115" t="s">
        <v>122</v>
      </c>
      <c r="G115">
        <f t="shared" ca="1" si="3"/>
        <v>109</v>
      </c>
      <c r="H115" t="str">
        <f t="shared" si="2"/>
        <v>ＴＸＴ(詳細版) 改行コード指定</v>
      </c>
    </row>
    <row r="116" spans="1:8" outlineLevel="1">
      <c r="A116" s="15"/>
      <c r="B116" s="34" t="s">
        <v>678</v>
      </c>
      <c r="C116" s="16" t="str">
        <f>"adoStrm.Open
adoStrm.LoadFromFile sTrgtFilePath"</f>
        <v>adoStrm.Open
adoStrm.LoadFromFile sTrgtFilePath</v>
      </c>
      <c r="D116" s="16" t="str">
        <f>"adoStrm.Open
adoStrm.LoadFromFile sTrgtFilePath"</f>
        <v>adoStrm.Open
adoStrm.LoadFromFile sTrgtFilePath</v>
      </c>
      <c r="E116" s="17" t="s">
        <v>979</v>
      </c>
      <c r="F116" t="s">
        <v>122</v>
      </c>
      <c r="G116">
        <f t="shared" ca="1" si="3"/>
        <v>110</v>
      </c>
      <c r="H116" t="str">
        <f t="shared" si="2"/>
        <v>ＴＸＴ(詳細版) オープン(読込時用)</v>
      </c>
    </row>
    <row r="117" spans="1:8" outlineLevel="1">
      <c r="A117" s="15"/>
      <c r="B117" s="34" t="s">
        <v>680</v>
      </c>
      <c r="C117" s="16" t="str">
        <f>"Do Until adoStrm.EOS
    Debug.Print adoStrm.ReadText(-2)
Loop"</f>
        <v>Do Until adoStrm.EOS
    Debug.Print adoStrm.ReadText(-2)
Loop</v>
      </c>
      <c r="D117" s="16" t="str">
        <f>"Do Until adoStrm.EOS
    MsgBox adoStrm.ReadText(-2)
Loop"</f>
        <v>Do Until adoStrm.EOS
    MsgBox adoStrm.ReadText(-2)
Loop</v>
      </c>
      <c r="E117" s="17" t="s">
        <v>658</v>
      </c>
      <c r="F117" t="s">
        <v>122</v>
      </c>
      <c r="G117">
        <f t="shared" ca="1" si="3"/>
        <v>111</v>
      </c>
      <c r="H117" t="str">
        <f t="shared" si="2"/>
        <v>ＴＸＴ(詳細版) 読込（一行ずつ）</v>
      </c>
    </row>
    <row r="118" spans="1:8" outlineLevel="1">
      <c r="A118" s="15"/>
      <c r="B118" s="34" t="s">
        <v>681</v>
      </c>
      <c r="C118" s="16" t="str">
        <f>"Dim vFile As Variant
Dim vLine As Variant
vFile = Split(adoStrm.ReadText(-1), vbLf)
For Each vLine In vFile
    Debug.Print vLine
Next"</f>
        <v>Dim vFile As Variant
Dim vLine As Variant
vFile = Split(adoStrm.ReadText(-1), vbLf)
For Each vLine In vFile
    Debug.Print vLine
Next</v>
      </c>
      <c r="D118" s="16" t="str">
        <f>"Dim vFile
Dim vLine
vFile = Split(adoStrm.ReadText(-1), vbLf)
For Each vLine In vFile
    MsgBox vLine
Next"</f>
        <v>Dim vFile
Dim vLine
vFile = Split(adoStrm.ReadText(-1), vbLf)
For Each vLine In vFile
    MsgBox vLine
Next</v>
      </c>
      <c r="E118" s="17" t="s">
        <v>658</v>
      </c>
      <c r="F118" t="s">
        <v>122</v>
      </c>
      <c r="G118">
        <f t="shared" ca="1" si="3"/>
        <v>112</v>
      </c>
      <c r="H118" t="str">
        <f t="shared" si="2"/>
        <v>ＴＸＴ(詳細版) 読込（一括）</v>
      </c>
    </row>
    <row r="119" spans="1:8" outlineLevel="1">
      <c r="A119" s="15"/>
      <c r="B119" s="35" t="s">
        <v>679</v>
      </c>
      <c r="C119" s="16" t="s">
        <v>667</v>
      </c>
      <c r="D119" s="16" t="s">
        <v>667</v>
      </c>
      <c r="E119" s="17" t="s">
        <v>657</v>
      </c>
      <c r="F119" t="s">
        <v>122</v>
      </c>
      <c r="G119">
        <f t="shared" ca="1" si="3"/>
        <v>113</v>
      </c>
      <c r="H119" t="str">
        <f t="shared" si="2"/>
        <v>ＴＸＴ(詳細版) オープン(書込時用)</v>
      </c>
    </row>
    <row r="120" spans="1:8" outlineLevel="1">
      <c r="A120" s="15"/>
      <c r="B120" s="35" t="s">
        <v>682</v>
      </c>
      <c r="C120" s="24" t="s">
        <v>659</v>
      </c>
      <c r="D120" s="24" t="s">
        <v>659</v>
      </c>
      <c r="E120" s="17" t="s">
        <v>656</v>
      </c>
      <c r="F120" t="s">
        <v>122</v>
      </c>
      <c r="G120">
        <f t="shared" ca="1" si="3"/>
        <v>114</v>
      </c>
      <c r="H120" t="str">
        <f t="shared" si="2"/>
        <v>ＴＸＴ(詳細版) 書込</v>
      </c>
    </row>
    <row r="121" spans="1:8" outlineLevel="1">
      <c r="A121" s="15"/>
      <c r="B121" s="35" t="s">
        <v>683</v>
      </c>
      <c r="C121" s="24" t="s">
        <v>660</v>
      </c>
      <c r="D121" s="24" t="s">
        <v>660</v>
      </c>
      <c r="E121" s="17" t="s">
        <v>668</v>
      </c>
      <c r="F121" t="s">
        <v>122</v>
      </c>
      <c r="G121">
        <f t="shared" ca="1" si="3"/>
        <v>115</v>
      </c>
      <c r="H121" t="str">
        <f t="shared" si="2"/>
        <v>ＴＸＴ(詳細版) 保存(書込時用)</v>
      </c>
    </row>
    <row r="122" spans="1:8" outlineLevel="1">
      <c r="A122" s="15"/>
      <c r="B122" s="15" t="s">
        <v>684</v>
      </c>
      <c r="C122" s="16" t="s">
        <v>655</v>
      </c>
      <c r="D122" s="16" t="s">
        <v>655</v>
      </c>
      <c r="E122" s="17" t="s">
        <v>657</v>
      </c>
      <c r="F122" t="s">
        <v>122</v>
      </c>
      <c r="G122">
        <f t="shared" ca="1" si="3"/>
        <v>116</v>
      </c>
      <c r="H122" t="str">
        <f t="shared" si="2"/>
        <v>ＴＸＴ(詳細版) クローズ</v>
      </c>
    </row>
    <row r="123" spans="1:8" outlineLevel="1">
      <c r="A123" s="15"/>
      <c r="B123" s="36" t="s">
        <v>978</v>
      </c>
      <c r="C123"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3"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3" s="37" t="s">
        <v>979</v>
      </c>
      <c r="F123" t="s">
        <v>122</v>
      </c>
      <c r="G123">
        <f t="shared" ca="1" si="3"/>
        <v>117</v>
      </c>
      <c r="H123" t="str">
        <f t="shared" si="2"/>
        <v>ＴＸＴ(詳細版) 保存＆クローズ（BOMなしUTF-8出力用）</v>
      </c>
    </row>
    <row r="124" spans="1:8" outlineLevel="1">
      <c r="A124" s="15"/>
      <c r="B124" s="15" t="s">
        <v>685</v>
      </c>
      <c r="C124" s="16" t="str">
        <f>"Set wTargetBook = Workbooks.Open(sTargetBookName)"&amp;CHAR(10)&amp;"wTargetBook.Close SaveChanges:=True"</f>
        <v>Set wTargetBook = Workbooks.Open(sTargetBookName)
wTargetBook.Close SaveChanges:=True</v>
      </c>
      <c r="D124" s="30" t="s">
        <v>393</v>
      </c>
      <c r="E124" s="17" t="s">
        <v>122</v>
      </c>
      <c r="F124" t="s">
        <v>122</v>
      </c>
      <c r="G124">
        <f t="shared" ca="1" si="3"/>
        <v>118</v>
      </c>
      <c r="H124" t="str">
        <f t="shared" si="2"/>
        <v>ＸＬＳ オープン/クローズ</v>
      </c>
    </row>
    <row r="125" spans="1:8">
      <c r="A125" s="12" t="s">
        <v>346</v>
      </c>
      <c r="B125" s="13"/>
      <c r="C125" s="13"/>
      <c r="D125" s="13"/>
      <c r="E125" s="14" t="s">
        <v>122</v>
      </c>
      <c r="F125" t="s">
        <v>122</v>
      </c>
      <c r="G125">
        <f t="shared" ca="1" si="3"/>
        <v>118</v>
      </c>
      <c r="H125" t="str">
        <f t="shared" si="2"/>
        <v/>
      </c>
    </row>
    <row r="126" spans="1:8" outlineLevel="1">
      <c r="A126" s="15"/>
      <c r="B126" s="15" t="s">
        <v>110</v>
      </c>
      <c r="C126" s="16" t="str">
        <f>"Now"</f>
        <v>Now</v>
      </c>
      <c r="D126" s="16" t="str">
        <f>"Now()"</f>
        <v>Now()</v>
      </c>
      <c r="E126" s="17" t="s">
        <v>293</v>
      </c>
      <c r="F126" t="s">
        <v>122</v>
      </c>
      <c r="G126">
        <f t="shared" ca="1" si="3"/>
        <v>119</v>
      </c>
      <c r="H126" t="str">
        <f t="shared" si="2"/>
        <v>現在時刻取得</v>
      </c>
    </row>
    <row r="127" spans="1:8" outlineLevel="1">
      <c r="A127" s="15"/>
      <c r="B127" s="15" t="s">
        <v>111</v>
      </c>
      <c r="C127" s="16" t="str">
        <f>"Date"</f>
        <v>Date</v>
      </c>
      <c r="D127" s="16" t="str">
        <f>"Date()"</f>
        <v>Date()</v>
      </c>
      <c r="E127" s="17" t="s">
        <v>294</v>
      </c>
      <c r="F127" t="s">
        <v>122</v>
      </c>
      <c r="G127">
        <f t="shared" ca="1" si="3"/>
        <v>120</v>
      </c>
      <c r="H127" t="str">
        <f t="shared" si="2"/>
        <v>現在年月日取得</v>
      </c>
    </row>
    <row r="128" spans="1:8" outlineLevel="1">
      <c r="A128" s="15"/>
      <c r="B128" s="15" t="s">
        <v>112</v>
      </c>
      <c r="C128" s="16" t="str">
        <f>"Timer"</f>
        <v>Timer</v>
      </c>
      <c r="D128" s="16" t="str">
        <f>"Timer()"</f>
        <v>Timer()</v>
      </c>
      <c r="E128" s="17" t="s">
        <v>295</v>
      </c>
      <c r="F128" t="s">
        <v>122</v>
      </c>
      <c r="G128">
        <f t="shared" ca="1" si="3"/>
        <v>121</v>
      </c>
      <c r="H128" t="str">
        <f t="shared" si="2"/>
        <v>0:00から現在までの経過時間（秒数）</v>
      </c>
    </row>
    <row r="129" spans="1:8" outlineLevel="1">
      <c r="A129" s="15"/>
      <c r="B129" s="15" t="s">
        <v>113</v>
      </c>
      <c r="C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9" s="17" t="s">
        <v>296</v>
      </c>
      <c r="F129" t="s">
        <v>122</v>
      </c>
      <c r="G129">
        <f t="shared" ca="1" si="3"/>
        <v>122</v>
      </c>
      <c r="H129" t="str">
        <f t="shared" si="2"/>
        <v>日付比較</v>
      </c>
    </row>
    <row r="130" spans="1:8" outlineLevel="1">
      <c r="A130" s="15"/>
      <c r="B130" s="15" t="s">
        <v>114</v>
      </c>
      <c r="C130" s="16" t="str">
        <f>"Public Declare Sub Sleep Lib ""kernel32"" (ByVal dwMilliseconds As Long)"&amp;CHAR(10)&amp;"Sleep 1000"</f>
        <v>Public Declare Sub Sleep Lib "kernel32" (ByVal dwMilliseconds As Long)
Sleep 1000</v>
      </c>
      <c r="D130" s="16" t="str">
        <f>"WScript.sleep(3000)"</f>
        <v>WScript.sleep(3000)</v>
      </c>
      <c r="E130" s="17" t="s">
        <v>297</v>
      </c>
      <c r="F130" t="s">
        <v>122</v>
      </c>
      <c r="G130">
        <f t="shared" ca="1" si="3"/>
        <v>123</v>
      </c>
      <c r="H130" t="str">
        <f t="shared" si="2"/>
        <v>Wait処理</v>
      </c>
    </row>
    <row r="131" spans="1:8">
      <c r="A131" s="12" t="s">
        <v>356</v>
      </c>
      <c r="B131" s="13"/>
      <c r="C131" s="13"/>
      <c r="D131" s="13"/>
      <c r="E131" s="14" t="s">
        <v>122</v>
      </c>
      <c r="F131" t="s">
        <v>122</v>
      </c>
      <c r="G131">
        <f t="shared" ca="1" si="3"/>
        <v>123</v>
      </c>
      <c r="H131" t="str">
        <f t="shared" ref="H131:H195" si="4">IF(B131="","",B131)</f>
        <v/>
      </c>
    </row>
    <row r="132" spans="1:8" outlineLevel="1">
      <c r="A132" s="15"/>
      <c r="B132" s="15" t="s">
        <v>349</v>
      </c>
      <c r="C132" s="16" t="str">
        <f>"Dim cTrgtPaths As Variant
Set cTrgtPaths = CreateObject(""System.Collections.ArrayList"")"</f>
        <v>Dim cTrgtPaths As Variant
Set cTrgtPaths = CreateObject("System.Collections.ArrayList")</v>
      </c>
      <c r="D132" s="16" t="str">
        <f>"Dim cTrgtPaths
Set cTrgtPaths = CreateObject(""System.Collections.ArrayList"")"</f>
        <v>Dim cTrgtPaths
Set cTrgtPaths = CreateObject("System.Collections.ArrayList")</v>
      </c>
      <c r="E132" s="17" t="s">
        <v>122</v>
      </c>
      <c r="F132" t="s">
        <v>122</v>
      </c>
      <c r="G132">
        <f t="shared" ca="1" si="3"/>
        <v>124</v>
      </c>
      <c r="H132" t="str">
        <f t="shared" si="4"/>
        <v>オブジェクト定義</v>
      </c>
    </row>
    <row r="133" spans="1:8" outlineLevel="1">
      <c r="A133" s="15"/>
      <c r="B133" s="15" t="s">
        <v>357</v>
      </c>
      <c r="C133" s="16" t="s">
        <v>426</v>
      </c>
      <c r="D133" s="16" t="s">
        <v>426</v>
      </c>
      <c r="E133" s="17" t="s">
        <v>122</v>
      </c>
      <c r="F133" t="s">
        <v>122</v>
      </c>
      <c r="G133">
        <f t="shared" ref="G133:G197" ca="1" si="5">IF(H133="",OFFSET(G133,-1,0),OFFSET(G133,-1,0)+1)</f>
        <v>125</v>
      </c>
      <c r="H133" t="str">
        <f t="shared" si="4"/>
        <v>追加</v>
      </c>
    </row>
    <row r="134" spans="1:8" outlineLevel="1">
      <c r="A134" s="15"/>
      <c r="B134" s="15" t="s">
        <v>365</v>
      </c>
      <c r="C134" s="16" t="s">
        <v>427</v>
      </c>
      <c r="D134" s="16" t="s">
        <v>427</v>
      </c>
      <c r="E134" s="17" t="s">
        <v>122</v>
      </c>
      <c r="F134" t="s">
        <v>122</v>
      </c>
      <c r="G134">
        <f t="shared" ca="1" si="5"/>
        <v>126</v>
      </c>
      <c r="H134" t="str">
        <f t="shared" si="4"/>
        <v>項目取得 その１</v>
      </c>
    </row>
    <row r="135" spans="1:8" outlineLevel="1">
      <c r="A135" s="15"/>
      <c r="B135" s="15" t="s">
        <v>366</v>
      </c>
      <c r="C135" s="16" t="s">
        <v>428</v>
      </c>
      <c r="D135" s="16" t="s">
        <v>428</v>
      </c>
      <c r="E135" s="17" t="s">
        <v>124</v>
      </c>
      <c r="F135" t="s">
        <v>122</v>
      </c>
      <c r="G135">
        <f t="shared" ca="1" si="5"/>
        <v>127</v>
      </c>
      <c r="H135" t="str">
        <f t="shared" si="4"/>
        <v>項目取得 その２</v>
      </c>
    </row>
    <row r="136" spans="1:8" outlineLevel="1">
      <c r="A136" s="15"/>
      <c r="B136" s="15" t="s">
        <v>364</v>
      </c>
      <c r="C136" s="16" t="str">
        <f>"Dim vTrgtPath As Variant
For Each vTrgtPath In cTrgtPaths
    MsgBox vTrgtPath
Next"</f>
        <v>Dim vTrgtPath As Variant
For Each vTrgtPath In cTrgtPaths
    MsgBox vTrgtPath
Next</v>
      </c>
      <c r="D136" s="16" t="str">
        <f>"Dim vTrgtPath
For Each vTrgtPath In cTrgtPaths
    MsgBox vTrgtPath
Next"</f>
        <v>Dim vTrgtPath
For Each vTrgtPath In cTrgtPaths
    MsgBox vTrgtPath
Next</v>
      </c>
      <c r="E136" s="17" t="s">
        <v>122</v>
      </c>
      <c r="F136" t="s">
        <v>122</v>
      </c>
      <c r="G136">
        <f t="shared" ca="1" si="5"/>
        <v>128</v>
      </c>
      <c r="H136" t="str">
        <f t="shared" si="4"/>
        <v>項目取得 ループ</v>
      </c>
    </row>
    <row r="137" spans="1:8" outlineLevel="1">
      <c r="A137" s="15"/>
      <c r="B137" s="15" t="s">
        <v>358</v>
      </c>
      <c r="C137" s="16" t="s">
        <v>429</v>
      </c>
      <c r="D137" s="16" t="s">
        <v>429</v>
      </c>
      <c r="E137" s="17" t="s">
        <v>267</v>
      </c>
      <c r="F137" t="s">
        <v>122</v>
      </c>
      <c r="G137">
        <f t="shared" ca="1" si="5"/>
        <v>129</v>
      </c>
      <c r="H137" t="str">
        <f t="shared" si="4"/>
        <v>要素数取得</v>
      </c>
    </row>
    <row r="138" spans="1:8" outlineLevel="1">
      <c r="A138" s="15"/>
      <c r="B138" s="15" t="s">
        <v>359</v>
      </c>
      <c r="C138" s="16" t="s">
        <v>430</v>
      </c>
      <c r="D138" s="16" t="s">
        <v>430</v>
      </c>
      <c r="E138" s="17" t="s">
        <v>268</v>
      </c>
      <c r="F138" t="s">
        <v>122</v>
      </c>
      <c r="G138">
        <f t="shared" ca="1" si="5"/>
        <v>130</v>
      </c>
      <c r="H138" t="str">
        <f t="shared" si="4"/>
        <v>削除</v>
      </c>
    </row>
    <row r="139" spans="1:8" outlineLevel="1">
      <c r="A139" s="15"/>
      <c r="B139" s="15" t="s">
        <v>360</v>
      </c>
      <c r="C139" s="16" t="s">
        <v>431</v>
      </c>
      <c r="D139" s="30" t="s">
        <v>393</v>
      </c>
      <c r="E139" s="17" t="s">
        <v>434</v>
      </c>
      <c r="F139" t="s">
        <v>122</v>
      </c>
      <c r="G139">
        <f t="shared" ca="1" si="5"/>
        <v>131</v>
      </c>
      <c r="H139" t="str">
        <f t="shared" si="4"/>
        <v>挿入</v>
      </c>
    </row>
    <row r="140" spans="1:8" outlineLevel="1">
      <c r="A140" s="15"/>
      <c r="B140" s="15" t="s">
        <v>361</v>
      </c>
      <c r="C140" s="16" t="s">
        <v>432</v>
      </c>
      <c r="D140" s="16" t="s">
        <v>432</v>
      </c>
      <c r="E140" s="17" t="s">
        <v>122</v>
      </c>
      <c r="F140" t="s">
        <v>122</v>
      </c>
      <c r="G140">
        <f t="shared" ca="1" si="5"/>
        <v>132</v>
      </c>
      <c r="H140" t="str">
        <f t="shared" si="4"/>
        <v>ソート</v>
      </c>
    </row>
    <row r="141" spans="1:8" outlineLevel="1">
      <c r="A141" s="15"/>
      <c r="B141" s="15" t="s">
        <v>362</v>
      </c>
      <c r="C141" s="16" t="str">
        <f>"Dim avTrgtPaths As Variant
avTrgtPaths = cTrgtPaths.ToArray()"</f>
        <v>Dim avTrgtPaths As Variant
avTrgtPaths = cTrgtPaths.ToArray()</v>
      </c>
      <c r="D141" s="16" t="str">
        <f>"Dim avTrgtPaths
avTrgtPaths = cTrgtPaths.ToArray()"</f>
        <v>Dim avTrgtPaths
avTrgtPaths = cTrgtPaths.ToArray()</v>
      </c>
      <c r="E141" s="17" t="s">
        <v>269</v>
      </c>
      <c r="F141" t="s">
        <v>122</v>
      </c>
      <c r="G141">
        <f t="shared" ca="1" si="5"/>
        <v>133</v>
      </c>
      <c r="H141" t="str">
        <f t="shared" si="4"/>
        <v>配列変換</v>
      </c>
    </row>
    <row r="142" spans="1:8" outlineLevel="1">
      <c r="A142" s="15"/>
      <c r="B142" s="15" t="s">
        <v>363</v>
      </c>
      <c r="C142" s="16" t="s">
        <v>433</v>
      </c>
      <c r="D142" s="16" t="s">
        <v>433</v>
      </c>
      <c r="E142" s="17" t="s">
        <v>122</v>
      </c>
      <c r="F142" t="s">
        <v>122</v>
      </c>
      <c r="G142">
        <f t="shared" ca="1" si="5"/>
        <v>134</v>
      </c>
      <c r="H142" t="str">
        <f t="shared" si="4"/>
        <v>全要素削除</v>
      </c>
    </row>
    <row r="143" spans="1:8">
      <c r="A143" s="12" t="s">
        <v>355</v>
      </c>
      <c r="B143" s="13"/>
      <c r="C143" s="13"/>
      <c r="D143" s="13"/>
      <c r="E143" s="14" t="s">
        <v>122</v>
      </c>
      <c r="F143" t="s">
        <v>122</v>
      </c>
      <c r="G143">
        <f t="shared" ca="1" si="5"/>
        <v>134</v>
      </c>
      <c r="H143" t="str">
        <f t="shared" si="4"/>
        <v/>
      </c>
    </row>
    <row r="144" spans="1:8" outlineLevel="1">
      <c r="A144" s="15"/>
      <c r="B144" s="15" t="s">
        <v>349</v>
      </c>
      <c r="C144" s="16" t="str">
        <f>"Dim oPriceOfFruit As Object
Set oPriceOfFruit = CreateObject(""Scripting.Dictionary"")"</f>
        <v>Dim oPriceOfFruit As Object
Set oPriceOfFruit = CreateObject("Scripting.Dictionary")</v>
      </c>
      <c r="D144" s="16" t="str">
        <f>"Dim oPriceOfFruit
Set oPriceOfFruit = CreateObject(""Scripting.Dictionary"")"</f>
        <v>Dim oPriceOfFruit
Set oPriceOfFruit = CreateObject("Scripting.Dictionary")</v>
      </c>
      <c r="E144" s="17" t="s">
        <v>254</v>
      </c>
      <c r="F144" t="s">
        <v>122</v>
      </c>
      <c r="G144">
        <f t="shared" ca="1" si="5"/>
        <v>135</v>
      </c>
      <c r="H144" t="str">
        <f t="shared" si="4"/>
        <v>オブジェクト定義</v>
      </c>
    </row>
    <row r="145" spans="1:8" outlineLevel="1">
      <c r="A145" s="15"/>
      <c r="B145" s="15" t="s">
        <v>16</v>
      </c>
      <c r="C145" s="16" t="s">
        <v>343</v>
      </c>
      <c r="D145" s="16" t="s">
        <v>343</v>
      </c>
      <c r="E145" s="17" t="s">
        <v>122</v>
      </c>
      <c r="F145" t="s">
        <v>122</v>
      </c>
      <c r="G145">
        <f t="shared" ca="1" si="5"/>
        <v>136</v>
      </c>
      <c r="H145" t="str">
        <f t="shared" si="4"/>
        <v>連想配列 キー/項目追加</v>
      </c>
    </row>
    <row r="146" spans="1:8" outlineLevel="1">
      <c r="A146" s="15"/>
      <c r="B146" s="15" t="s">
        <v>17</v>
      </c>
      <c r="C146" s="16" t="s">
        <v>435</v>
      </c>
      <c r="D146" s="16" t="s">
        <v>435</v>
      </c>
      <c r="E146" s="17" t="s">
        <v>122</v>
      </c>
      <c r="F146" t="s">
        <v>122</v>
      </c>
      <c r="G146">
        <f t="shared" ca="1" si="5"/>
        <v>137</v>
      </c>
      <c r="H146" t="str">
        <f t="shared" si="4"/>
        <v>連想配列 存在確認</v>
      </c>
    </row>
    <row r="147" spans="1:8" outlineLevel="1">
      <c r="A147" s="15"/>
      <c r="B147" s="15" t="s">
        <v>18</v>
      </c>
      <c r="C147" s="16" t="str">
        <f>"For Each vKey In oPriceOfFruit
    Debug.print vKey
Next"</f>
        <v>For Each vKey In oPriceOfFruit
    Debug.print vKey
Next</v>
      </c>
      <c r="D147" s="16" t="str">
        <f>"For Each vKey In oPriceOfFruit
    MsgBox vKey
Next"</f>
        <v>For Each vKey In oPriceOfFruit
    MsgBox vKey
Next</v>
      </c>
      <c r="E147" s="17" t="s">
        <v>270</v>
      </c>
      <c r="F147" t="s">
        <v>122</v>
      </c>
      <c r="G147">
        <f t="shared" ca="1" si="5"/>
        <v>138</v>
      </c>
      <c r="H147" t="str">
        <f t="shared" si="4"/>
        <v>連想配列 キー取得（For Each）</v>
      </c>
    </row>
    <row r="148" spans="1:8" outlineLevel="1">
      <c r="A148" s="15"/>
      <c r="B148" s="15" t="s">
        <v>19</v>
      </c>
      <c r="C148" s="16" t="s">
        <v>436</v>
      </c>
      <c r="D148" s="16" t="s">
        <v>436</v>
      </c>
      <c r="E148" s="17" t="s">
        <v>122</v>
      </c>
      <c r="F148" t="s">
        <v>122</v>
      </c>
      <c r="G148">
        <f t="shared" ca="1" si="5"/>
        <v>139</v>
      </c>
      <c r="H148" t="str">
        <f t="shared" si="4"/>
        <v>連想配列 項目取得（キー）</v>
      </c>
    </row>
    <row r="149" spans="1:8" outlineLevel="1">
      <c r="A149" s="15"/>
      <c r="B149" s="15" t="s">
        <v>20</v>
      </c>
      <c r="C149" s="16" t="s">
        <v>437</v>
      </c>
      <c r="D149" s="16" t="s">
        <v>437</v>
      </c>
      <c r="E149" s="17" t="s">
        <v>271</v>
      </c>
      <c r="F149" t="s">
        <v>122</v>
      </c>
      <c r="G149">
        <f t="shared" ca="1" si="5"/>
        <v>140</v>
      </c>
      <c r="H149" t="str">
        <f t="shared" si="4"/>
        <v>連想配列 キー取得（インデックス）</v>
      </c>
    </row>
    <row r="150" spans="1:8" outlineLevel="1">
      <c r="A150" s="15"/>
      <c r="B150" s="15" t="s">
        <v>21</v>
      </c>
      <c r="C150" s="16" t="s">
        <v>438</v>
      </c>
      <c r="D150" s="16" t="s">
        <v>438</v>
      </c>
      <c r="E150" s="17" t="s">
        <v>271</v>
      </c>
      <c r="F150" t="s">
        <v>122</v>
      </c>
      <c r="G150">
        <f t="shared" ca="1" si="5"/>
        <v>141</v>
      </c>
      <c r="H150" t="str">
        <f t="shared" si="4"/>
        <v>連想配列 項目取得（インデックス）</v>
      </c>
    </row>
    <row r="151" spans="1:8" outlineLevel="1">
      <c r="A151" s="15"/>
      <c r="B151" s="15" t="s">
        <v>22</v>
      </c>
      <c r="C151" s="16" t="s">
        <v>439</v>
      </c>
      <c r="D151" s="16" t="s">
        <v>439</v>
      </c>
      <c r="E151" s="17" t="s">
        <v>122</v>
      </c>
      <c r="F151" t="s">
        <v>122</v>
      </c>
      <c r="G151">
        <f t="shared" ca="1" si="5"/>
        <v>142</v>
      </c>
      <c r="H151" t="str">
        <f t="shared" si="4"/>
        <v>連想配列 キー置換</v>
      </c>
    </row>
    <row r="152" spans="1:8" outlineLevel="1">
      <c r="A152" s="15"/>
      <c r="B152" s="15" t="s">
        <v>23</v>
      </c>
      <c r="C152" s="16" t="s">
        <v>440</v>
      </c>
      <c r="D152" s="16" t="s">
        <v>440</v>
      </c>
      <c r="E152" s="17" t="s">
        <v>122</v>
      </c>
      <c r="F152" t="s">
        <v>122</v>
      </c>
      <c r="G152">
        <f t="shared" ca="1" si="5"/>
        <v>143</v>
      </c>
      <c r="H152" t="str">
        <f t="shared" si="4"/>
        <v>連想配列 キー関連付け</v>
      </c>
    </row>
    <row r="153" spans="1:8" outlineLevel="1">
      <c r="A153" s="15"/>
      <c r="B153" s="15" t="s">
        <v>24</v>
      </c>
      <c r="C153" s="16" t="s">
        <v>441</v>
      </c>
      <c r="D153" s="16" t="s">
        <v>441</v>
      </c>
      <c r="E153" s="17" t="s">
        <v>122</v>
      </c>
      <c r="F153" t="s">
        <v>122</v>
      </c>
      <c r="G153">
        <f t="shared" ca="1" si="5"/>
        <v>144</v>
      </c>
      <c r="H153" t="str">
        <f t="shared" si="4"/>
        <v>連想配列 キー/項目数取得</v>
      </c>
    </row>
    <row r="154" spans="1:8" outlineLevel="1">
      <c r="A154" s="15"/>
      <c r="B154" s="15" t="s">
        <v>25</v>
      </c>
      <c r="C154" s="16" t="s">
        <v>442</v>
      </c>
      <c r="D154" s="16" t="s">
        <v>442</v>
      </c>
      <c r="E154" s="17" t="s">
        <v>272</v>
      </c>
      <c r="F154" t="s">
        <v>122</v>
      </c>
      <c r="G154">
        <f t="shared" ca="1" si="5"/>
        <v>145</v>
      </c>
      <c r="H154" t="str">
        <f t="shared" si="4"/>
        <v>連想配列 キー/項目削除</v>
      </c>
    </row>
    <row r="155" spans="1:8" outlineLevel="1">
      <c r="A155" s="15"/>
      <c r="B155" s="15" t="s">
        <v>26</v>
      </c>
      <c r="C155" s="16" t="s">
        <v>443</v>
      </c>
      <c r="D155" s="16" t="s">
        <v>443</v>
      </c>
      <c r="E155" s="17" t="s">
        <v>122</v>
      </c>
      <c r="F155" t="s">
        <v>122</v>
      </c>
      <c r="G155">
        <f t="shared" ca="1" si="5"/>
        <v>146</v>
      </c>
      <c r="H155" t="str">
        <f t="shared" si="4"/>
        <v>連想配列 キー/項目全削除</v>
      </c>
    </row>
    <row r="156" spans="1:8" outlineLevel="1">
      <c r="A156" s="15"/>
      <c r="B156" s="15" t="s">
        <v>27</v>
      </c>
      <c r="C156" s="16" t="s">
        <v>444</v>
      </c>
      <c r="D156" s="16" t="s">
        <v>444</v>
      </c>
      <c r="E156" s="17" t="s">
        <v>273</v>
      </c>
      <c r="F156" t="s">
        <v>122</v>
      </c>
      <c r="G156">
        <f t="shared" ca="1" si="5"/>
        <v>147</v>
      </c>
      <c r="H156" t="str">
        <f t="shared" si="4"/>
        <v>連想配列 配列変換（項目）</v>
      </c>
    </row>
    <row r="157" spans="1:8" outlineLevel="1">
      <c r="A157" s="15"/>
      <c r="B157" s="15" t="s">
        <v>28</v>
      </c>
      <c r="C157" s="16" t="s">
        <v>445</v>
      </c>
      <c r="D157" s="16" t="s">
        <v>445</v>
      </c>
      <c r="E157" s="17" t="s">
        <v>273</v>
      </c>
      <c r="F157" t="s">
        <v>122</v>
      </c>
      <c r="G157">
        <f t="shared" ca="1" si="5"/>
        <v>148</v>
      </c>
      <c r="H157" t="str">
        <f t="shared" si="4"/>
        <v>連想配列 配列変換（キー）</v>
      </c>
    </row>
    <row r="158" spans="1:8" outlineLevel="1">
      <c r="A158" s="15"/>
      <c r="B158" s="15" t="s">
        <v>29</v>
      </c>
      <c r="C158" s="16" t="s">
        <v>446</v>
      </c>
      <c r="D158" s="16" t="s">
        <v>446</v>
      </c>
      <c r="E158" s="17" t="s">
        <v>274</v>
      </c>
      <c r="F158" t="s">
        <v>122</v>
      </c>
      <c r="G158">
        <f t="shared" ca="1" si="5"/>
        <v>149</v>
      </c>
      <c r="H158" t="str">
        <f t="shared" si="4"/>
        <v>連想配列 設定変更</v>
      </c>
    </row>
    <row r="159" spans="1:8">
      <c r="A159" s="12" t="s">
        <v>348</v>
      </c>
      <c r="B159" s="13"/>
      <c r="C159" s="13"/>
      <c r="D159" s="13"/>
      <c r="E159" s="14" t="s">
        <v>122</v>
      </c>
      <c r="F159" t="s">
        <v>122</v>
      </c>
      <c r="G159">
        <f t="shared" ca="1" si="5"/>
        <v>149</v>
      </c>
      <c r="H159" t="str">
        <f t="shared" si="4"/>
        <v/>
      </c>
    </row>
    <row r="160" spans="1:8" outlineLevel="1">
      <c r="A160" s="15"/>
      <c r="B160" s="15" t="s">
        <v>349</v>
      </c>
      <c r="C160" s="16" t="str">
        <f>"Dim objWshShell
Set objWshShell = CreateObject(""WScript.Shell"")"</f>
        <v>Dim objWshShell
Set objWshShell = CreateObject("WScript.Shell")</v>
      </c>
      <c r="D160" s="16" t="str">
        <f>"Dim objWshShell"&amp;CHAR(10)&amp;"Set objWshShell = WScript.CreateObject(""WScript.Shell"")"</f>
        <v>Dim objWshShell
Set objWshShell = WScript.CreateObject("WScript.Shell")</v>
      </c>
      <c r="E160" s="17" t="s">
        <v>122</v>
      </c>
      <c r="F160" t="s">
        <v>122</v>
      </c>
      <c r="G160">
        <f t="shared" ca="1" si="5"/>
        <v>150</v>
      </c>
      <c r="H160" t="str">
        <f t="shared" si="4"/>
        <v>オブジェクト定義</v>
      </c>
    </row>
    <row r="161" spans="1:8" outlineLevel="1">
      <c r="A161" s="15"/>
      <c r="B161" s="15" t="s">
        <v>34</v>
      </c>
      <c r="C161" s="16" t="str">
        <f>"Set objExec = objWshShell.Exec(""C:\test.bat"")
Do While objExec.Status = 0
    WScript.Sleep 100
Loop"</f>
        <v>Set objExec = objWshShell.Exec("C:\test.bat")
Do While objExec.Status = 0
    WScript.Sleep 100
Loop</v>
      </c>
      <c r="D161" s="16" t="str">
        <f>"objWshShell.Exec(""C:\test.bat"")"</f>
        <v>objWshShell.Exec("C:\test.bat")</v>
      </c>
      <c r="E161" s="17" t="s">
        <v>276</v>
      </c>
      <c r="F161" t="s">
        <v>122</v>
      </c>
      <c r="G161">
        <f t="shared" ca="1" si="5"/>
        <v>151</v>
      </c>
      <c r="H161" t="str">
        <f t="shared" si="4"/>
        <v>バッチ実行①</v>
      </c>
    </row>
    <row r="162" spans="1:8" outlineLevel="1">
      <c r="A162" s="15"/>
      <c r="B162" s="15" t="s">
        <v>35</v>
      </c>
      <c r="C162" s="16" t="s">
        <v>447</v>
      </c>
      <c r="D162" s="16" t="str">
        <f>"objWshShell.Run ""C:\test.bat"", 0, True"</f>
        <v>objWshShell.Run "C:\test.bat", 0, True</v>
      </c>
      <c r="E162" s="25" t="s">
        <v>404</v>
      </c>
      <c r="F162" t="s">
        <v>122</v>
      </c>
      <c r="G162">
        <f t="shared" ca="1" si="5"/>
        <v>152</v>
      </c>
      <c r="H162" t="str">
        <f t="shared" si="4"/>
        <v>バッチ実行②</v>
      </c>
    </row>
    <row r="163" spans="1:8" outlineLevel="1">
      <c r="A163" s="15"/>
      <c r="B163" s="15" t="s">
        <v>36</v>
      </c>
      <c r="C163" s="16" t="s">
        <v>448</v>
      </c>
      <c r="D163" s="16" t="str">
        <f>"objWshShell.Run ""cmd /c echo.&gt; """"C:\test.txt"""""", 0, True"</f>
        <v>objWshShell.Run "cmd /c echo.&gt; ""C:\test.txt""", 0, True</v>
      </c>
      <c r="F163" t="s">
        <v>122</v>
      </c>
      <c r="G163">
        <f t="shared" ca="1" si="5"/>
        <v>153</v>
      </c>
      <c r="H163" t="str">
        <f t="shared" si="4"/>
        <v>コマンド実行</v>
      </c>
    </row>
    <row r="164" spans="1:8" outlineLevel="1">
      <c r="A164" s="15"/>
      <c r="B164" s="15" t="s">
        <v>2383</v>
      </c>
      <c r="C164" s="16" t="str">
        <f>"Private Declare Function ShellExecute Lib ""shell32.dll"" Alias ""ShellExecuteA"" ( _
    ByVal hWnd As Long, _
    ByVal lpOperation As String, _
    ByVal lpFile As String, _"&amp;"
    ByVal lpParameters As String, _
    ByVal lpDirectory As String, _
    ByVal nShowCmd As Long _
) As Long
ShellExecute 0, ""runas"", sCommand, sArguments, vbNullString, 1"</f>
        <v>Private Declare Function ShellExecute Lib "shell32.dll" Alias "ShellExecuteA" ( _
    ByVal hWnd As Long, _
    ByVal lpOperation As String, _
    ByVal lpFile As String, _
    ByVal lpParameters As String, _
    ByVal lpDirectory As String, _
    ByVal nShowCmd As Long _
) As Long
ShellExecute 0, "runas", sCommand, sArguments, vbNullString, 1</v>
      </c>
      <c r="D164" s="26" t="s">
        <v>2384</v>
      </c>
      <c r="E164" s="17" t="s">
        <v>122</v>
      </c>
      <c r="F164" t="s">
        <v>122</v>
      </c>
      <c r="G164">
        <f ca="1">IF(H164="",OFFSET(G164,-1,0),OFFSET(G164,-1,0)+1)</f>
        <v>154</v>
      </c>
      <c r="H164" t="str">
        <f>IF(B164="","",B164)</f>
        <v>コマンド実行（管理者権限）</v>
      </c>
    </row>
    <row r="165" spans="1:8" outlineLevel="1">
      <c r="A165" s="15"/>
      <c r="B165" s="15" t="s">
        <v>37</v>
      </c>
      <c r="C165" s="16" t="s">
        <v>449</v>
      </c>
      <c r="D165" s="16" t="str">
        <f>"objWshShell.RegRead(""HKCU\WshTest\Test1"")"</f>
        <v>objWshShell.RegRead("HKCU\WshTest\Test1")</v>
      </c>
      <c r="E165" s="17" t="s">
        <v>122</v>
      </c>
      <c r="F165" t="s">
        <v>122</v>
      </c>
      <c r="G165">
        <f t="shared" ca="1" si="5"/>
        <v>155</v>
      </c>
      <c r="H165" t="str">
        <f t="shared" si="4"/>
        <v>レジストリ読込</v>
      </c>
    </row>
    <row r="166" spans="1:8" outlineLevel="1">
      <c r="A166" s="15"/>
      <c r="B166" s="15" t="s">
        <v>38</v>
      </c>
      <c r="C166" s="16" t="s">
        <v>450</v>
      </c>
      <c r="D166" s="16" t="str">
        <f>"objWshShell.RegWrite(""HKCU\WshTest\Test1"", ""test"", ""REG\_SZ"")"</f>
        <v>objWshShell.RegWrite("HKCU\WshTest\Test1", "test", "REG\_SZ")</v>
      </c>
      <c r="E166" s="17" t="s">
        <v>277</v>
      </c>
      <c r="F166" t="s">
        <v>122</v>
      </c>
      <c r="G166">
        <f t="shared" ca="1" si="5"/>
        <v>156</v>
      </c>
      <c r="H166" t="str">
        <f t="shared" si="4"/>
        <v>レジストリ書込</v>
      </c>
    </row>
    <row r="167" spans="1:8" outlineLevel="1">
      <c r="A167" s="15"/>
      <c r="B167" s="15" t="s">
        <v>39</v>
      </c>
      <c r="C167" s="16" t="s">
        <v>451</v>
      </c>
      <c r="D167" s="16" t="str">
        <f>"objWshShell.Environment(""User"").Item(""MYPATH\_CODES"")"</f>
        <v>objWshShell.Environment("User").Item("MYPATH\_CODES")</v>
      </c>
      <c r="E167" s="17" t="s">
        <v>405</v>
      </c>
      <c r="F167" t="s">
        <v>122</v>
      </c>
      <c r="G167">
        <f t="shared" ca="1" si="5"/>
        <v>157</v>
      </c>
      <c r="H167" t="str">
        <f t="shared" si="4"/>
        <v>環境変数 値取得＆更新</v>
      </c>
    </row>
    <row r="168" spans="1:8" outlineLevel="1">
      <c r="A168" s="15"/>
      <c r="B168" s="15" t="s">
        <v>376</v>
      </c>
      <c r="C168" s="26" t="s">
        <v>412</v>
      </c>
      <c r="D168" s="16" t="str">
        <f>"objWshShell.Environment(""User"").Remove(""MYPATH\_CODES"")"</f>
        <v>objWshShell.Environment("User").Remove("MYPATH\_CODES")</v>
      </c>
      <c r="E168" s="17"/>
      <c r="F168" t="s">
        <v>122</v>
      </c>
      <c r="G168">
        <f t="shared" ca="1" si="5"/>
        <v>158</v>
      </c>
      <c r="H168" t="str">
        <f t="shared" si="4"/>
        <v>環境変数 削除</v>
      </c>
    </row>
    <row r="169" spans="1:8" outlineLevel="1">
      <c r="A169" s="15"/>
      <c r="B169" s="15" t="s">
        <v>391</v>
      </c>
      <c r="C169" s="16" t="s">
        <v>452</v>
      </c>
      <c r="D169" s="16" t="str">
        <f>"objWshShell.SpecialFolders(""Desktop"")"</f>
        <v>objWshShell.SpecialFolders("Desktop")</v>
      </c>
      <c r="E169" s="17" t="s">
        <v>146</v>
      </c>
      <c r="F169" t="s">
        <v>122</v>
      </c>
      <c r="G169">
        <f t="shared" ca="1" si="5"/>
        <v>159</v>
      </c>
      <c r="H169" t="str">
        <f t="shared" si="4"/>
        <v>特殊フォルダ パス取得</v>
      </c>
    </row>
    <row r="170" spans="1:8" outlineLevel="1">
      <c r="A170" s="15"/>
      <c r="B170" s="15" t="s">
        <v>40</v>
      </c>
      <c r="C170" s="16" t="str">
        <f>"With objWshShell.CreateShortcut( ""c:\test\src.txt.lnk"" )
    .TargetPath = ""c:\test\dst.txt""
    .Save
End With"</f>
        <v>With objWshShell.CreateShortcut( "c:\test\src.txt.lnk" )
    .TargetPath = "c:\test\dst.txt"
    .Save
End With</v>
      </c>
      <c r="D170" s="16" t="str">
        <f>"With objWshShell.CreateShortcut( ""c:\test\src.txt.lnk"" )"&amp;CHAR(10)&amp;".TargetPath = ""c:\test\dst.txt"""&amp;CHAR(10)&amp;".Save"&amp;CHAR(10)&amp;"End With"</f>
        <v>With objWshShell.CreateShortcut( "c:\test\src.txt.lnk" )
.TargetPath = "c:\test\dst.txt"
.Save
End With</v>
      </c>
      <c r="E170" s="17" t="s">
        <v>122</v>
      </c>
      <c r="F170" t="s">
        <v>122</v>
      </c>
      <c r="G170">
        <f t="shared" ca="1" si="5"/>
        <v>160</v>
      </c>
      <c r="H170" t="str">
        <f t="shared" si="4"/>
        <v>ショートカット 作成</v>
      </c>
    </row>
    <row r="171" spans="1:8" outlineLevel="1">
      <c r="A171" s="15"/>
      <c r="B171" s="15" t="s">
        <v>41</v>
      </c>
      <c r="C171" s="16" t="s">
        <v>453</v>
      </c>
      <c r="D171" s="16" t="str">
        <f>"objWshShell.CreateShortcut( ""c:\test\src.txt.lnk"" ).TargetPath"</f>
        <v>objWshShell.CreateShortcut( "c:\test\src.txt.lnk" ).TargetPath</v>
      </c>
      <c r="E171" s="17" t="s">
        <v>278</v>
      </c>
      <c r="F171" t="s">
        <v>122</v>
      </c>
      <c r="G171">
        <f t="shared" ca="1" si="5"/>
        <v>161</v>
      </c>
      <c r="H171" t="str">
        <f t="shared" si="4"/>
        <v>ショートカット 指示先パス取得</v>
      </c>
    </row>
    <row r="172" spans="1:8" outlineLevel="1">
      <c r="A172" s="15"/>
      <c r="B172" s="15" t="s">
        <v>42</v>
      </c>
      <c r="C172" s="16" t="str">
        <f>"With objWshShell.CreateShortcut( ""c:\test\src.txt.lnk"" )
    .TargetPath = ""c:\test\dst2.txt""
    .Save
End With"</f>
        <v>With objWshShell.CreateShortcut( "c:\test\src.txt.lnk" )
    .TargetPath = "c:\test\dst2.txt"
    .Save
End With</v>
      </c>
      <c r="D172" s="16" t="str">
        <f>"With objWshShell.CreateShortcut( ""c:\test\src.txt.lnk"" )"&amp;CHAR(10)&amp;".TargetPath = ""c:\test\dst2.txt"""&amp;CHAR(10)&amp;".Save"&amp;CHAR(10)&amp;"End With"</f>
        <v>With objWshShell.CreateShortcut( "c:\test\src.txt.lnk" )
.TargetPath = "c:\test\dst2.txt"
.Save
End With</v>
      </c>
      <c r="E172" s="17" t="s">
        <v>122</v>
      </c>
      <c r="F172" t="s">
        <v>122</v>
      </c>
      <c r="G172">
        <f t="shared" ca="1" si="5"/>
        <v>162</v>
      </c>
      <c r="H172" t="str">
        <f t="shared" si="4"/>
        <v>ショートカット 指示先パス更新</v>
      </c>
    </row>
    <row r="173" spans="1:8" outlineLevel="1">
      <c r="A173" s="15"/>
      <c r="B173" s="15" t="s">
        <v>43</v>
      </c>
      <c r="C173" s="26" t="s">
        <v>412</v>
      </c>
      <c r="D173" s="16" t="str">
        <f>"With objWshShell.CreateShortcut( ""c:\test\src.txt.lnk"" )"&amp;CHAR(10)&amp;".Description = ""テストコメント"""&amp;CHAR(10)&amp;".Save"&amp;CHAR(10)&amp;"End With"</f>
        <v>With objWshShell.CreateShortcut( "c:\test\src.txt.lnk" )
.Description = "テストコメント"
.Save
End With</v>
      </c>
      <c r="E173" s="17"/>
      <c r="F173" t="s">
        <v>122</v>
      </c>
      <c r="G173">
        <f t="shared" ca="1" si="5"/>
        <v>163</v>
      </c>
      <c r="H173" t="str">
        <f t="shared" si="4"/>
        <v>ショートカット コメント更新</v>
      </c>
    </row>
    <row r="174" spans="1:8" outlineLevel="1">
      <c r="A174" s="15"/>
      <c r="B174" s="15" t="s">
        <v>44</v>
      </c>
      <c r="C174" s="26" t="s">
        <v>412</v>
      </c>
      <c r="D174" s="16" t="str">
        <f>"With objWshShell.CreateShortcut( ""c:\test\src.txt.lnk"" )"&amp;CHAR(10)&amp;".Arguments = "" /b"""&amp;CHAR(10)&amp;".Save"&amp;CHAR(10)&amp;"End With"</f>
        <v>With objWshShell.CreateShortcut( "c:\test\src.txt.lnk" )
.Arguments = " /b"
.Save
End With</v>
      </c>
      <c r="E174" s="17"/>
      <c r="F174" t="s">
        <v>122</v>
      </c>
      <c r="G174">
        <f t="shared" ca="1" si="5"/>
        <v>164</v>
      </c>
      <c r="H174" t="str">
        <f t="shared" si="4"/>
        <v>ショートカット 引数更新</v>
      </c>
    </row>
    <row r="175" spans="1:8" outlineLevel="1">
      <c r="A175" s="15"/>
      <c r="B175" s="15" t="s">
        <v>45</v>
      </c>
      <c r="C175" s="26" t="s">
        <v>412</v>
      </c>
      <c r="D175" s="16" t="str">
        <f>"objWshShell.Popup ""メッセージ"", lSecond, ""タイトル"", vbInformation"</f>
        <v>objWshShell.Popup "メッセージ", lSecond, "タイトル", vbInformation</v>
      </c>
      <c r="E175" s="17"/>
      <c r="F175" t="s">
        <v>122</v>
      </c>
      <c r="G175">
        <f t="shared" ca="1" si="5"/>
        <v>165</v>
      </c>
      <c r="H175" t="str">
        <f t="shared" si="4"/>
        <v>ポップアップ出力</v>
      </c>
    </row>
    <row r="176" spans="1:8" outlineLevel="1">
      <c r="A176" s="15"/>
      <c r="B176" s="15" t="s">
        <v>138</v>
      </c>
      <c r="C176" s="16" t="str">
        <f>"With CreateObject(""new:{1C3B4210-F441-11CE-B9EA-00AA006B1A69}"")"&amp;CHAR(10)&amp;CHAR(9)&amp;".SetText sText"&amp;CHAR(10)&amp;CHAR(9)&amp;".PutInClipboard"&amp;CHAR(10)&amp;"End With"</f>
        <v>With CreateObject("new:{1C3B4210-F441-11CE-B9EA-00AA006B1A69}")
	.SetText sText
	.PutInClipboard
End With</v>
      </c>
      <c r="D176" s="16" t="str">
        <f>"objWshShell.Exec( ""clip"" ).StdIn.Write( ""テキスト"" )"</f>
        <v>objWshShell.Exec( "clip" ).StdIn.Write( "テキスト" )</v>
      </c>
      <c r="E176" s="17" t="s">
        <v>2044</v>
      </c>
      <c r="F176" t="s">
        <v>122</v>
      </c>
      <c r="G176">
        <f t="shared" ca="1" si="5"/>
        <v>166</v>
      </c>
      <c r="H176" t="str">
        <f t="shared" si="4"/>
        <v>クリップボード 書き込み</v>
      </c>
    </row>
    <row r="177" spans="1:8" outlineLevel="1">
      <c r="A177" s="15"/>
      <c r="B177" s="15" t="s">
        <v>139</v>
      </c>
      <c r="C177" s="16" t="str">
        <f>"With CreateObject(""new:{1C3B4210-F441-11CE-B9EA-00AA006B1A69}"")"&amp;CHAR(10)&amp;CHAR(9)&amp;".GetFromClipboard"&amp;CHAR(10)&amp;CHAR(9)&amp;"sText = .GetText"&amp;CHAR(10)&amp;"End With"</f>
        <v>With CreateObject("new:{1C3B4210-F441-11CE-B9EA-00AA006B1A69}")
	.GetFromClipboard
	sText = .GetText
End With</v>
      </c>
      <c r="D177" s="16" t="str">
        <f>"CreateObject(""htmlfile"").ParentWindow.Clipboarddata.GetData(""text"")"</f>
        <v>CreateObject("htmlfile").ParentWindow.Clipboarddata.GetData("text")</v>
      </c>
      <c r="E177" s="17" t="s">
        <v>2044</v>
      </c>
      <c r="F177" t="s">
        <v>122</v>
      </c>
      <c r="G177">
        <f t="shared" ca="1" si="5"/>
        <v>167</v>
      </c>
      <c r="H177" t="str">
        <f t="shared" si="4"/>
        <v>クリップボード 取得</v>
      </c>
    </row>
    <row r="178" spans="1:8">
      <c r="A178" s="12" t="s">
        <v>367</v>
      </c>
      <c r="B178" s="13"/>
      <c r="C178" s="13"/>
      <c r="D178" s="13"/>
      <c r="E178" s="14" t="s">
        <v>122</v>
      </c>
      <c r="F178" t="s">
        <v>122</v>
      </c>
      <c r="G178">
        <f t="shared" ca="1" si="5"/>
        <v>167</v>
      </c>
      <c r="H178" t="str">
        <f t="shared" si="4"/>
        <v/>
      </c>
    </row>
    <row r="179" spans="1:8" outlineLevel="1">
      <c r="A179" s="15"/>
      <c r="B179" s="15" t="s">
        <v>349</v>
      </c>
      <c r="C179" s="16" t="str">
        <f>"Dim objFSO As Object"&amp;CHAR(10)&amp;"Set objFSO = CreateObject(""Scripting.FileSystemObject"")"</f>
        <v>Dim objFSO As Object
Set objFSO = CreateObject("Scripting.FileSystemObject")</v>
      </c>
      <c r="D179" s="16" t="str">
        <f>"Dim objFSO"&amp;CHAR(10)&amp;"Set objFSO = CreateObject(""Scripting.FileSystemObject"")"</f>
        <v>Dim objFSO
Set objFSO = CreateObject("Scripting.FileSystemObject")</v>
      </c>
      <c r="E179" s="17" t="s">
        <v>122</v>
      </c>
      <c r="F179" t="s">
        <v>122</v>
      </c>
      <c r="G179">
        <f t="shared" ca="1" si="5"/>
        <v>168</v>
      </c>
      <c r="H179" t="str">
        <f t="shared" si="4"/>
        <v>オブジェクト定義</v>
      </c>
    </row>
    <row r="180" spans="1:8" outlineLevel="1">
      <c r="B180" s="15" t="s">
        <v>390</v>
      </c>
      <c r="C180" s="16" t="str">
        <f>"objFSO.CopyFile ThisWorkbook.FullName, ""c:\temp\test.xlsm"""</f>
        <v>objFSO.CopyFile ThisWorkbook.FullName, "c:\temp\test.xlsm"</v>
      </c>
      <c r="D180" s="38" t="s">
        <v>393</v>
      </c>
      <c r="E180" s="17" t="s">
        <v>122</v>
      </c>
      <c r="F180" t="s">
        <v>122</v>
      </c>
      <c r="G180">
        <f t="shared" ca="1" si="5"/>
        <v>169</v>
      </c>
      <c r="H180" t="str">
        <f t="shared" si="4"/>
        <v>ファイル コピー（自ブック）</v>
      </c>
    </row>
    <row r="181" spans="1:8" outlineLevel="1">
      <c r="A181" s="15"/>
      <c r="B181" s="15" t="s">
        <v>46</v>
      </c>
      <c r="C181" s="16" t="str">
        <f>"objFSO.CopyFile ""C:\codes\a.txt"", ""C:\codes\test\"""</f>
        <v>objFSO.CopyFile "C:\codes\a.txt", "C:\codes\test\"</v>
      </c>
      <c r="D181" s="16" t="str">
        <f>"objFSO.CopyFile ""C:\codes\a.txt"", ""C:\codes\test\"""</f>
        <v>objFSO.CopyFile "C:\codes\a.txt", "C:\codes\test\"</v>
      </c>
      <c r="E181" s="17" t="s">
        <v>279</v>
      </c>
      <c r="F181" t="s">
        <v>122</v>
      </c>
      <c r="G181">
        <f t="shared" ca="1" si="5"/>
        <v>170</v>
      </c>
      <c r="H181" t="str">
        <f t="shared" si="4"/>
        <v>ファイル コピー①</v>
      </c>
    </row>
    <row r="182" spans="1:8" outlineLevel="1">
      <c r="A182" s="15"/>
      <c r="B182" s="15" t="s">
        <v>47</v>
      </c>
      <c r="C182" s="16" t="str">
        <f>"objFSO.CopyFile ""C:\codes\a.txt"", ""C:\codes\test\a.txt"""</f>
        <v>objFSO.CopyFile "C:\codes\a.txt", "C:\codes\test\a.txt"</v>
      </c>
      <c r="D182" s="16" t="str">
        <f>"objFSO.CopyFile ""C:\codes\a.txt"", ""C:\codes\test\a.txt"""</f>
        <v>objFSO.CopyFile "C:\codes\a.txt", "C:\codes\test\a.txt"</v>
      </c>
      <c r="E182" s="17" t="s">
        <v>280</v>
      </c>
      <c r="F182" t="s">
        <v>122</v>
      </c>
      <c r="G182">
        <f t="shared" ca="1" si="5"/>
        <v>171</v>
      </c>
      <c r="H182" t="str">
        <f t="shared" si="4"/>
        <v>ファイル コピー②</v>
      </c>
    </row>
    <row r="183" spans="1:8" outlineLevel="1">
      <c r="A183" s="15"/>
      <c r="B183" s="15" t="s">
        <v>48</v>
      </c>
      <c r="C183" s="16" t="str">
        <f>"objFSO.DeleteFile ""c:\test"", True"</f>
        <v>objFSO.DeleteFile "c:\test", True</v>
      </c>
      <c r="D183" s="16" t="str">
        <f>"objFSO.DeleteFile ""c:\test"", True"</f>
        <v>objFSO.DeleteFile "c:\test", True</v>
      </c>
      <c r="E183" s="17" t="s">
        <v>966</v>
      </c>
      <c r="F183" t="s">
        <v>122</v>
      </c>
      <c r="G183">
        <f t="shared" ca="1" si="5"/>
        <v>172</v>
      </c>
      <c r="H183" t="str">
        <f t="shared" si="4"/>
        <v>ファイル 削除</v>
      </c>
    </row>
    <row r="184" spans="1:8" outlineLevel="1">
      <c r="A184" s="15"/>
      <c r="B184" s="15" t="s">
        <v>49</v>
      </c>
      <c r="C184" s="16" t="str">
        <f>"objFSO.MoveFile ""C:\codes\src.txt"", ""C:\codes\dst.txt"""</f>
        <v>objFSO.MoveFile "C:\codes\src.txt", "C:\codes\dst.txt"</v>
      </c>
      <c r="D184" s="16" t="str">
        <f>"objFSO.MoveFile ""C:\codes\src.txt"", ""C:\codes\dst.txt"""</f>
        <v>objFSO.MoveFile "C:\codes\src.txt", "C:\codes\dst.txt"</v>
      </c>
      <c r="E184" s="17" t="s">
        <v>122</v>
      </c>
      <c r="F184" t="s">
        <v>122</v>
      </c>
      <c r="G184">
        <f t="shared" ca="1" si="5"/>
        <v>173</v>
      </c>
      <c r="H184" t="str">
        <f t="shared" si="4"/>
        <v>ファイル 移動/リネーム</v>
      </c>
    </row>
    <row r="185" spans="1:8" outlineLevel="1">
      <c r="A185" s="15"/>
      <c r="B185" s="15" t="s">
        <v>147</v>
      </c>
      <c r="C185" s="16" t="str">
        <f>"objFSO.FileExists(""c:\codes\a.txt"")"</f>
        <v>objFSO.FileExists("c:\codes\a.txt")</v>
      </c>
      <c r="D185" s="16" t="str">
        <f>"objFSO.FileExists(""c:\codes\a.txt"") 'True"</f>
        <v>objFSO.FileExists("c:\codes\a.txt") 'True</v>
      </c>
      <c r="E185" s="17" t="s">
        <v>130</v>
      </c>
      <c r="F185" t="s">
        <v>122</v>
      </c>
      <c r="G185">
        <f t="shared" ca="1" si="5"/>
        <v>174</v>
      </c>
      <c r="H185" t="str">
        <f t="shared" si="4"/>
        <v>ファイル 存在確認①</v>
      </c>
    </row>
    <row r="186" spans="1:8" outlineLevel="1">
      <c r="A186" s="15"/>
      <c r="B186" s="15" t="s">
        <v>148</v>
      </c>
      <c r="C186" s="16" t="str">
        <f>"If Dir(""C:\Book1.xlsx"") &lt;&gt; """" Then"&amp;CHAR(10)&amp;CHAR(9)&amp;"存在"&amp;CHAR(10)&amp;"Else"&amp;CHAR(10)&amp;CHAR(9)&amp;"非存在"&amp;CHAR(10)&amp;"End If"</f>
        <v>If Dir("C:\Book1.xlsx") &lt;&gt; "" Then
	存在
Else
	非存在
End If</v>
      </c>
      <c r="D186" s="30" t="s">
        <v>393</v>
      </c>
      <c r="E186" s="17" t="s">
        <v>122</v>
      </c>
      <c r="F186" t="s">
        <v>122</v>
      </c>
      <c r="G186">
        <f t="shared" ca="1" si="5"/>
        <v>175</v>
      </c>
      <c r="H186" t="str">
        <f t="shared" si="4"/>
        <v>ファイル 存在確認②</v>
      </c>
    </row>
    <row r="187" spans="1:8" outlineLevel="1">
      <c r="A187" s="15"/>
      <c r="B187" s="15" t="s">
        <v>50</v>
      </c>
      <c r="C187" s="16" t="str">
        <f>"objFSO.GetFile( ""C:\codes\a.txt"" ).Attributes"</f>
        <v>objFSO.GetFile( "C:\codes\a.txt" ).Attributes</v>
      </c>
      <c r="D187" s="16" t="str">
        <f>"objFSO.GetFile( ""C:\codes\a.txt"" ).Attributes"</f>
        <v>objFSO.GetFile( "C:\codes\a.txt" ).Attributes</v>
      </c>
      <c r="E187" s="25" t="s">
        <v>137</v>
      </c>
      <c r="F187" t="s">
        <v>122</v>
      </c>
      <c r="G187">
        <f t="shared" ca="1" si="5"/>
        <v>176</v>
      </c>
      <c r="H187" t="str">
        <f t="shared" si="4"/>
        <v>ファイル 情報取得</v>
      </c>
    </row>
    <row r="188" spans="1:8" outlineLevel="1">
      <c r="A188" s="15"/>
      <c r="B188" s="15" t="s">
        <v>51</v>
      </c>
      <c r="C188" s="16" t="str">
        <f>"objFSO.GetFile( ""C:\codes\a.txt"" ).Attributes = 2"</f>
        <v>objFSO.GetFile( "C:\codes\a.txt" ).Attributes = 2</v>
      </c>
      <c r="D188" s="16" t="str">
        <f>"objFSO.GetFile( ""C:\codes\a.txt"" ).Attributes = 2"</f>
        <v>objFSO.GetFile( "C:\codes\a.txt" ).Attributes = 2</v>
      </c>
      <c r="E188" s="17" t="s">
        <v>122</v>
      </c>
      <c r="F188" t="s">
        <v>122</v>
      </c>
      <c r="G188">
        <f t="shared" ca="1" si="5"/>
        <v>177</v>
      </c>
      <c r="H188" t="str">
        <f t="shared" si="4"/>
        <v>ファイル 隠しファイル化</v>
      </c>
    </row>
    <row r="189" spans="1:8" outlineLevel="1">
      <c r="A189" s="15"/>
      <c r="B189" s="15" t="s">
        <v>52</v>
      </c>
      <c r="C189" s="16" t="str">
        <f>"objFSO.GetAbsolutePathName( ""C:\codes\a.txt"" )"</f>
        <v>objFSO.GetAbsolutePathName( "C:\codes\a.txt" )</v>
      </c>
      <c r="D189" s="16" t="str">
        <f>"objFSO.GetAbsolutePathName( ""C:\codes\a.txt"" )"</f>
        <v>objFSO.GetAbsolutePathName( "C:\codes\a.txt" )</v>
      </c>
      <c r="E189" s="17" t="s">
        <v>262</v>
      </c>
      <c r="F189" t="s">
        <v>122</v>
      </c>
      <c r="G189">
        <f t="shared" ca="1" si="5"/>
        <v>178</v>
      </c>
      <c r="H189" t="str">
        <f t="shared" si="4"/>
        <v>ファイル 絶対パス取得</v>
      </c>
    </row>
    <row r="190" spans="1:8" outlineLevel="1">
      <c r="A190" s="15"/>
      <c r="B190" s="15" t="s">
        <v>53</v>
      </c>
      <c r="C190" s="16" t="str">
        <f>"objFSO.GetDriveName( ""C:\codes\a.txt"" )"</f>
        <v>objFSO.GetDriveName( "C:\codes\a.txt" )</v>
      </c>
      <c r="D190" s="16" t="str">
        <f>"objFSO.GetDriveName( ""C:\codes\a.txt"" )"</f>
        <v>objFSO.GetDriveName( "C:\codes\a.txt" )</v>
      </c>
      <c r="E190" s="17" t="s">
        <v>263</v>
      </c>
      <c r="F190" t="s">
        <v>122</v>
      </c>
      <c r="G190">
        <f t="shared" ca="1" si="5"/>
        <v>179</v>
      </c>
      <c r="H190" t="str">
        <f t="shared" si="4"/>
        <v>ファイル ドライブ名取得</v>
      </c>
    </row>
    <row r="191" spans="1:8" outlineLevel="1">
      <c r="A191" s="15"/>
      <c r="B191" s="15" t="s">
        <v>718</v>
      </c>
      <c r="C191" s="16" t="str">
        <f>"objFSO.GetFileName( ""C:\codes\a.txt"" )"</f>
        <v>objFSO.GetFileName( "C:\codes\a.txt" )</v>
      </c>
      <c r="D191" s="16" t="s">
        <v>1034</v>
      </c>
      <c r="E191" s="17" t="s">
        <v>719</v>
      </c>
      <c r="F191" t="s">
        <v>122</v>
      </c>
      <c r="G191">
        <f t="shared" ca="1" si="5"/>
        <v>180</v>
      </c>
      <c r="H191" t="str">
        <f t="shared" si="4"/>
        <v>ファイル ファイル名/フォルダ名取得</v>
      </c>
    </row>
    <row r="192" spans="1:8" outlineLevel="1">
      <c r="A192" s="15"/>
      <c r="B192" s="15" t="s">
        <v>56</v>
      </c>
      <c r="C192" s="16" t="str">
        <f>"objFSO.GetParentFolderName( ""C:\codes\a.txt"" )"</f>
        <v>objFSO.GetParentFolderName( "C:\codes\a.txt" )</v>
      </c>
      <c r="D192" s="16" t="str">
        <f>"objFSO.GetParentFolderName( ""C:\codes\a.txt"" )"</f>
        <v>objFSO.GetParentFolderName( "C:\codes\a.txt" )</v>
      </c>
      <c r="E192" s="17" t="s">
        <v>266</v>
      </c>
      <c r="F192" t="s">
        <v>122</v>
      </c>
      <c r="G192">
        <f t="shared" ca="1" si="5"/>
        <v>181</v>
      </c>
      <c r="H192" t="str">
        <f t="shared" si="4"/>
        <v>ファイル 親フォルダパス取得</v>
      </c>
    </row>
    <row r="193" spans="1:8" outlineLevel="1">
      <c r="A193" s="15"/>
      <c r="B193" s="15" t="s">
        <v>54</v>
      </c>
      <c r="C193" s="16" t="str">
        <f>"objFSO.GetBaseName( ""C:\codes\a.txt"" )"</f>
        <v>objFSO.GetBaseName( "C:\codes\a.txt" )</v>
      </c>
      <c r="D193" s="16" t="str">
        <f>"objFSO.GetBaseName( ""C:\codes\a.txt"" )"</f>
        <v>objFSO.GetBaseName( "C:\codes\a.txt" )</v>
      </c>
      <c r="E193" s="17" t="s">
        <v>264</v>
      </c>
      <c r="F193" t="s">
        <v>122</v>
      </c>
      <c r="G193">
        <f t="shared" ca="1" si="5"/>
        <v>182</v>
      </c>
      <c r="H193" t="str">
        <f t="shared" si="4"/>
        <v>ファイル ファイルベース名取得</v>
      </c>
    </row>
    <row r="194" spans="1:8" outlineLevel="1">
      <c r="A194" s="15"/>
      <c r="B194" s="15" t="s">
        <v>967</v>
      </c>
      <c r="C194" s="16" t="str">
        <f>"objFSO.GetExtensionName( ""C:\codes\a.txt"" )"</f>
        <v>objFSO.GetExtensionName( "C:\codes\a.txt" )</v>
      </c>
      <c r="D194" s="16" t="str">
        <f>"objFSO.GetExtensionName( ""C:\codes\a.txt"" )"</f>
        <v>objFSO.GetExtensionName( "C:\codes\a.txt" )</v>
      </c>
      <c r="E194" s="17" t="s">
        <v>265</v>
      </c>
      <c r="F194" t="s">
        <v>122</v>
      </c>
      <c r="G194">
        <f t="shared" ca="1" si="5"/>
        <v>183</v>
      </c>
      <c r="H194" t="str">
        <f t="shared" si="4"/>
        <v>ファイル 拡張子取得</v>
      </c>
    </row>
    <row r="195" spans="1:8" outlineLevel="1">
      <c r="A195" s="15"/>
      <c r="B195" s="15" t="s">
        <v>57</v>
      </c>
      <c r="C195" s="16" t="str">
        <f>"objFSO.CopyFolder ""C:\codes\src"", ""C:\codes\dst"", True"</f>
        <v>objFSO.CopyFolder "C:\codes\src", "C:\codes\dst", True</v>
      </c>
      <c r="D195" s="16" t="str">
        <f>"objFSO.CopyFolder ""C:\codes\src"", ""C:\codes\dst"", True"</f>
        <v>objFSO.CopyFolder "C:\codes\src", "C:\codes\dst", True</v>
      </c>
      <c r="E195" s="17" t="s">
        <v>281</v>
      </c>
      <c r="F195" t="s">
        <v>122</v>
      </c>
      <c r="G195">
        <f t="shared" ca="1" si="5"/>
        <v>184</v>
      </c>
      <c r="H195" t="str">
        <f t="shared" si="4"/>
        <v>フォルダ コピー</v>
      </c>
    </row>
    <row r="196" spans="1:8" outlineLevel="1">
      <c r="A196" s="15"/>
      <c r="B196" s="15" t="s">
        <v>58</v>
      </c>
      <c r="C196" s="16" t="str">
        <f>"objFSO.DeleteFolder ""C:\codes\test"", True"</f>
        <v>objFSO.DeleteFolder "C:\codes\test", True</v>
      </c>
      <c r="D196" s="16" t="str">
        <f>"objFSO.DeleteFolder ""C:\codes\test"", True"</f>
        <v>objFSO.DeleteFolder "C:\codes\test", True</v>
      </c>
      <c r="E196" s="17" t="s">
        <v>282</v>
      </c>
      <c r="F196" t="s">
        <v>122</v>
      </c>
      <c r="G196">
        <f t="shared" ca="1" si="5"/>
        <v>185</v>
      </c>
      <c r="H196" t="str">
        <f t="shared" ref="H196:H259" si="6">IF(B196="","",B196)</f>
        <v>フォルダ 削除</v>
      </c>
    </row>
    <row r="197" spans="1:8" outlineLevel="1">
      <c r="A197" s="15"/>
      <c r="B197" s="15" t="s">
        <v>59</v>
      </c>
      <c r="C197" s="16" t="str">
        <f>"objFSO.CreateFolder( ""C:\codes\test"" )"</f>
        <v>objFSO.CreateFolder( "C:\codes\test" )</v>
      </c>
      <c r="D197" s="16" t="str">
        <f>"objFSO.CreateFolder( ""C:\codes\test"" )"</f>
        <v>objFSO.CreateFolder( "C:\codes\test" )</v>
      </c>
      <c r="E197" s="17" t="s">
        <v>283</v>
      </c>
      <c r="F197" t="s">
        <v>122</v>
      </c>
      <c r="G197">
        <f t="shared" ca="1" si="5"/>
        <v>186</v>
      </c>
      <c r="H197" t="str">
        <f t="shared" si="6"/>
        <v>フォルダ 作成</v>
      </c>
    </row>
    <row r="198" spans="1:8" outlineLevel="1">
      <c r="A198" s="15"/>
      <c r="B198" s="15" t="s">
        <v>60</v>
      </c>
      <c r="C198" s="16" t="str">
        <f>"objFSO.MoveFolder ""C:\codes\src"", ""C:\codes\dst"""</f>
        <v>objFSO.MoveFolder "C:\codes\src", "C:\codes\dst"</v>
      </c>
      <c r="D198" s="16" t="str">
        <f>"objFSO.MoveFolder ""C:\codes\src"", ""C:\codes\dst"""</f>
        <v>objFSO.MoveFolder "C:\codes\src", "C:\codes\dst"</v>
      </c>
      <c r="E198" s="17" t="s">
        <v>284</v>
      </c>
      <c r="F198" t="s">
        <v>122</v>
      </c>
      <c r="G198">
        <f t="shared" ref="G198:G261" ca="1" si="7">IF(H198="",OFFSET(G198,-1,0),OFFSET(G198,-1,0)+1)</f>
        <v>187</v>
      </c>
      <c r="H198" t="str">
        <f t="shared" si="6"/>
        <v>フォルダ 移動/リネーム</v>
      </c>
    </row>
    <row r="199" spans="1:8" outlineLevel="1">
      <c r="A199" s="15"/>
      <c r="B199" s="15" t="s">
        <v>61</v>
      </c>
      <c r="C199" s="16" t="str">
        <f>"objFSO.GetFolder( ""C:\codes"" ).Attributes"</f>
        <v>objFSO.GetFolder( "C:\codes" ).Attributes</v>
      </c>
      <c r="D199" s="16" t="s">
        <v>389</v>
      </c>
      <c r="E199" s="17" t="s">
        <v>285</v>
      </c>
      <c r="F199" t="s">
        <v>122</v>
      </c>
      <c r="G199">
        <f t="shared" ca="1" si="7"/>
        <v>188</v>
      </c>
      <c r="H199" t="str">
        <f t="shared" si="6"/>
        <v>フォルダ 情報取得</v>
      </c>
    </row>
    <row r="200" spans="1:8" outlineLevel="1">
      <c r="A200" s="15"/>
      <c r="B200" s="15" t="s">
        <v>387</v>
      </c>
      <c r="C200" s="16" t="str">
        <f>"objFSO.FolderExists( ""C:\codes"" )"</f>
        <v>objFSO.FolderExists( "C:\codes" )</v>
      </c>
      <c r="D200" s="16" t="str">
        <f>"objFSO.FolderExists( ""C:\codes"" )"</f>
        <v>objFSO.FolderExists( "C:\codes" )</v>
      </c>
      <c r="E200" s="17" t="b">
        <v>1</v>
      </c>
      <c r="F200" t="s">
        <v>122</v>
      </c>
      <c r="G200">
        <f t="shared" ca="1" si="7"/>
        <v>189</v>
      </c>
      <c r="H200" t="str">
        <f t="shared" si="6"/>
        <v>フォルダ 存在確認</v>
      </c>
    </row>
    <row r="201" spans="1:8" outlineLevel="1">
      <c r="A201" s="15"/>
      <c r="B201" s="15" t="s">
        <v>388</v>
      </c>
      <c r="C201" s="16" t="str">
        <f>"objFSO.GetParentFolderName( ""C:\codes\src"" )"</f>
        <v>objFSO.GetParentFolderName( "C:\codes\src" )</v>
      </c>
      <c r="D201" s="16" t="str">
        <f>"objFSO.GetParentFolderName( ""C:\codes\src"" )"</f>
        <v>objFSO.GetParentFolderName( "C:\codes\src" )</v>
      </c>
      <c r="E201" s="17" t="s">
        <v>266</v>
      </c>
      <c r="F201" t="s">
        <v>122</v>
      </c>
      <c r="G201">
        <f t="shared" ca="1" si="7"/>
        <v>190</v>
      </c>
      <c r="H201" t="str">
        <f t="shared" si="6"/>
        <v>フォルダ 親フォルダパス取得</v>
      </c>
    </row>
    <row r="202" spans="1:8" outlineLevel="1">
      <c r="B202" s="15" t="s">
        <v>339</v>
      </c>
      <c r="C202" s="16" t="s">
        <v>340</v>
      </c>
      <c r="D202" s="16" t="s">
        <v>340</v>
      </c>
      <c r="E202" s="17" t="s">
        <v>341</v>
      </c>
      <c r="F202" t="s">
        <v>122</v>
      </c>
      <c r="G202">
        <f t="shared" ca="1" si="7"/>
        <v>191</v>
      </c>
      <c r="H202" t="str">
        <f t="shared" si="6"/>
        <v>フォルダ 特殊フォルダパス取得</v>
      </c>
    </row>
    <row r="203" spans="1:8" outlineLevel="1">
      <c r="B203" s="15" t="s">
        <v>968</v>
      </c>
      <c r="C203"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D203"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E203" s="17"/>
      <c r="F203" t="s">
        <v>122</v>
      </c>
      <c r="G203">
        <f t="shared" ca="1" si="7"/>
        <v>192</v>
      </c>
      <c r="H203" t="str">
        <f t="shared" si="6"/>
        <v>ファイル/フォルダ 削除(ゴミ箱移動)</v>
      </c>
    </row>
    <row r="204" spans="1:8">
      <c r="A204" s="12" t="s">
        <v>475</v>
      </c>
      <c r="B204" s="13"/>
      <c r="C204" s="13"/>
      <c r="D204" s="13"/>
      <c r="E204" s="14" t="s">
        <v>122</v>
      </c>
      <c r="F204" t="s">
        <v>122</v>
      </c>
      <c r="G204">
        <f t="shared" ca="1" si="7"/>
        <v>192</v>
      </c>
      <c r="H204" t="str">
        <f t="shared" si="6"/>
        <v/>
      </c>
    </row>
    <row r="205" spans="1:8" outlineLevel="1">
      <c r="A205" s="15"/>
      <c r="B205" s="15" t="s">
        <v>349</v>
      </c>
      <c r="C205" s="16" t="str">
        <f>"Dim oRegExp As Object
Set oRegExp = CreateObject(""VBScript.RegExp"")"</f>
        <v>Dim oRegExp As Object
Set oRegExp = CreateObject("VBScript.RegExp")</v>
      </c>
      <c r="D205" s="15" t="str">
        <f>"Dim oRegExp
Set oRegExp = CreateObject(""VBScript.RegExp"")"</f>
        <v>Dim oRegExp
Set oRegExp = CreateObject("VBScript.RegExp")</v>
      </c>
      <c r="E205" s="17" t="s">
        <v>122</v>
      </c>
      <c r="F205" t="s">
        <v>122</v>
      </c>
      <c r="G205">
        <f t="shared" ca="1" si="7"/>
        <v>193</v>
      </c>
      <c r="H205" t="str">
        <f t="shared" si="6"/>
        <v>オブジェクト定義</v>
      </c>
    </row>
    <row r="206" spans="1:8" outlineLevel="1">
      <c r="A206" s="15"/>
      <c r="B206" s="15" t="s">
        <v>466</v>
      </c>
      <c r="C206" s="16" t="str">
        <f>"Dim sTargetStr As String
sTargetStr = ""TestFunc(int bbb) TestFunc01(char aaa) TestFunc02(int bbb)"""</f>
        <v>Dim sTargetStr As String
sTargetStr = "TestFunc(int bbb) TestFunc01(char aaa) TestFunc02(int bbb)"</v>
      </c>
      <c r="D206" s="15" t="str">
        <f>"Dim sTargetStr
sTargetStr = ""TestFunc(int bbb) TestFunc01(char aaa) TestFunc02(int bbb)"""</f>
        <v>Dim sTargetStr
sTargetStr = "TestFunc(int bbb) TestFunc01(char aaa) TestFunc02(int bbb)"</v>
      </c>
      <c r="E206" s="17" t="s">
        <v>479</v>
      </c>
      <c r="F206" t="s">
        <v>122</v>
      </c>
      <c r="G206">
        <f t="shared" ca="1" si="7"/>
        <v>194</v>
      </c>
      <c r="H206" t="str">
        <f t="shared" si="6"/>
        <v>検索設定 検索対象</v>
      </c>
    </row>
    <row r="207" spans="1:8" outlineLevel="1">
      <c r="A207" s="15"/>
      <c r="B207" s="15" t="s">
        <v>463</v>
      </c>
      <c r="C207" s="16" t="str">
        <f>"Dim sSearchPattern As String
sSearchPattern = ""(\w+)\((\w+) (\w+)\)""
oRegExp.Pattern = sSearchPattern"</f>
        <v>Dim sSearchPattern As String
sSearchPattern = "(\w+)\((\w+) (\w+)\)"
oRegExp.Pattern = sSearchPattern</v>
      </c>
      <c r="D207" s="15" t="str">
        <f>"Dim sSearchPattern
sSearchPattern = ""(\w+)\((\w+) (\w+)\)""
oRegExp.Pattern = sSearchPattern"</f>
        <v>Dim sSearchPattern
sSearchPattern = "(\w+)\((\w+) (\w+)\)"
oRegExp.Pattern = sSearchPattern</v>
      </c>
      <c r="E207" s="17" t="s">
        <v>479</v>
      </c>
      <c r="F207" t="s">
        <v>122</v>
      </c>
      <c r="G207">
        <f t="shared" ca="1" si="7"/>
        <v>195</v>
      </c>
      <c r="H207" t="str">
        <f t="shared" si="6"/>
        <v>検索設定 検索パターン</v>
      </c>
    </row>
    <row r="208" spans="1:8" outlineLevel="1">
      <c r="A208" s="15"/>
      <c r="B208" s="15" t="s">
        <v>464</v>
      </c>
      <c r="C208" s="16" t="s">
        <v>458</v>
      </c>
      <c r="D208" s="39" t="s">
        <v>480</v>
      </c>
      <c r="E208" s="17" t="s">
        <v>474</v>
      </c>
      <c r="F208" t="s">
        <v>122</v>
      </c>
      <c r="G208">
        <f t="shared" ca="1" si="7"/>
        <v>196</v>
      </c>
      <c r="H208" t="str">
        <f t="shared" si="6"/>
        <v>検索設定 大小文字区別</v>
      </c>
    </row>
    <row r="209" spans="1:8" outlineLevel="1">
      <c r="A209" s="15"/>
      <c r="B209" s="15" t="s">
        <v>465</v>
      </c>
      <c r="C209" s="16" t="s">
        <v>459</v>
      </c>
      <c r="D209" s="15" t="s">
        <v>481</v>
      </c>
      <c r="E209" s="17" t="s">
        <v>122</v>
      </c>
      <c r="F209" t="s">
        <v>122</v>
      </c>
      <c r="G209">
        <f t="shared" ca="1" si="7"/>
        <v>197</v>
      </c>
      <c r="H209" t="str">
        <f t="shared" si="6"/>
        <v>検索設定 文字列全体検索</v>
      </c>
    </row>
    <row r="210" spans="1:8" outlineLevel="1">
      <c r="A210" s="15"/>
      <c r="B210" s="15" t="s">
        <v>456</v>
      </c>
      <c r="C210" s="16" t="str">
        <f>"Dim oMatchResult As Object
Set oMatchResult = oRegExp.Execute(sTargetStr)"</f>
        <v>Dim oMatchResult As Object
Set oMatchResult = oRegExp.Execute(sTargetStr)</v>
      </c>
      <c r="D210" s="15" t="str">
        <f>"Dim oMatchResult
Set oMatchResult = oRegExp.Execute(sTargetStr)"</f>
        <v>Dim oMatchResult
Set oMatchResult = oRegExp.Execute(sTargetStr)</v>
      </c>
      <c r="E210" s="17" t="s">
        <v>122</v>
      </c>
      <c r="F210" t="s">
        <v>122</v>
      </c>
      <c r="G210">
        <f t="shared" ca="1" si="7"/>
        <v>198</v>
      </c>
      <c r="H210" t="str">
        <f t="shared" si="6"/>
        <v>検索実行</v>
      </c>
    </row>
    <row r="211" spans="1:8" outlineLevel="1">
      <c r="A211" s="15"/>
      <c r="B211" s="15" t="s">
        <v>728</v>
      </c>
      <c r="C211" s="16" t="s">
        <v>460</v>
      </c>
      <c r="D211" s="15" t="s">
        <v>482</v>
      </c>
      <c r="E211" s="17" t="s">
        <v>467</v>
      </c>
      <c r="F211" t="s">
        <v>122</v>
      </c>
      <c r="G211">
        <f t="shared" ca="1" si="7"/>
        <v>199</v>
      </c>
      <c r="H211" t="str">
        <f t="shared" si="6"/>
        <v>検索結果 マッチ数取得</v>
      </c>
    </row>
    <row r="212" spans="1:8" outlineLevel="1">
      <c r="A212" s="15"/>
      <c r="B212" s="15" t="s">
        <v>461</v>
      </c>
      <c r="C212" s="16" t="s">
        <v>468</v>
      </c>
      <c r="D212" s="15" t="s">
        <v>483</v>
      </c>
      <c r="E212" s="17" t="s">
        <v>471</v>
      </c>
      <c r="F212" t="s">
        <v>122</v>
      </c>
      <c r="G212">
        <f t="shared" ca="1" si="7"/>
        <v>200</v>
      </c>
      <c r="H212" t="str">
        <f t="shared" si="6"/>
        <v>検索結果 サブマッチ数取得</v>
      </c>
    </row>
    <row r="213" spans="1:8" outlineLevel="1">
      <c r="A213" s="15"/>
      <c r="B213" s="15" t="s">
        <v>730</v>
      </c>
      <c r="C213" s="16" t="s">
        <v>469</v>
      </c>
      <c r="D213" s="15" t="s">
        <v>484</v>
      </c>
      <c r="E213" s="17" t="s">
        <v>472</v>
      </c>
      <c r="F213" t="s">
        <v>122</v>
      </c>
      <c r="G213">
        <f t="shared" ca="1" si="7"/>
        <v>201</v>
      </c>
      <c r="H213" t="str">
        <f t="shared" si="6"/>
        <v>検索結果 マッチ文字列取得</v>
      </c>
    </row>
    <row r="214" spans="1:8" outlineLevel="1">
      <c r="A214" s="15"/>
      <c r="B214" s="15" t="s">
        <v>729</v>
      </c>
      <c r="C214" s="16" t="s">
        <v>470</v>
      </c>
      <c r="D214" s="15" t="s">
        <v>485</v>
      </c>
      <c r="E214" s="17" t="s">
        <v>473</v>
      </c>
      <c r="F214" t="s">
        <v>122</v>
      </c>
      <c r="G214">
        <f t="shared" ca="1" si="7"/>
        <v>202</v>
      </c>
      <c r="H214" t="str">
        <f t="shared" si="6"/>
        <v>検索結果 サブマッチ文字列取得</v>
      </c>
    </row>
    <row r="215" spans="1:8" outlineLevel="1">
      <c r="A215" s="15"/>
      <c r="B215" s="15" t="s">
        <v>720</v>
      </c>
      <c r="C215" s="16" t="s">
        <v>721</v>
      </c>
      <c r="D215" s="15" t="s">
        <v>722</v>
      </c>
      <c r="E215" s="17" t="s">
        <v>726</v>
      </c>
      <c r="F215" t="s">
        <v>122</v>
      </c>
      <c r="G215">
        <f t="shared" ca="1" si="7"/>
        <v>203</v>
      </c>
      <c r="H215" t="str">
        <f t="shared" si="6"/>
        <v>検索結果 マッチ位置取得</v>
      </c>
    </row>
    <row r="216" spans="1:8" outlineLevel="1">
      <c r="A216" s="15"/>
      <c r="B216" s="15" t="s">
        <v>723</v>
      </c>
      <c r="C216" s="16" t="s">
        <v>725</v>
      </c>
      <c r="D216" s="15" t="s">
        <v>724</v>
      </c>
      <c r="E216" s="17" t="s">
        <v>727</v>
      </c>
      <c r="F216" t="s">
        <v>122</v>
      </c>
      <c r="G216">
        <f t="shared" ca="1" si="7"/>
        <v>204</v>
      </c>
      <c r="H216" t="str">
        <f t="shared" si="6"/>
        <v>検索結果 マッチ長取得</v>
      </c>
    </row>
    <row r="217" spans="1:8" outlineLevel="1">
      <c r="A217" s="15"/>
      <c r="B217" s="15" t="s">
        <v>462</v>
      </c>
      <c r="C217" s="16" t="str">
        <f>"Dim sReplacePattern As String
sReplacePattern = ""型名:$2"""</f>
        <v>Dim sReplacePattern As String
sReplacePattern = "型名:$2"</v>
      </c>
      <c r="D217" s="15" t="str">
        <f>"Dim sReplacePattern
sReplacePattern = ""型名:$2"""</f>
        <v>Dim sReplacePattern
sReplacePattern = "型名:$2"</v>
      </c>
      <c r="E217" s="17"/>
      <c r="F217" t="s">
        <v>122</v>
      </c>
      <c r="G217">
        <f t="shared" ca="1" si="7"/>
        <v>205</v>
      </c>
      <c r="H217" t="str">
        <f t="shared" si="6"/>
        <v>置換実行</v>
      </c>
    </row>
    <row r="218" spans="1:8" outlineLevel="1">
      <c r="A218" s="15"/>
      <c r="B218" s="15" t="s">
        <v>478</v>
      </c>
      <c r="C218" s="16" t="str">
        <f>"Dim sReplaceResult As String
sReplaceResult = oRegExp.Replace(sTargetStr, sReplacePattern)"</f>
        <v>Dim sReplaceResult As String
sReplaceResult = oRegExp.Replace(sTargetStr, sReplacePattern)</v>
      </c>
      <c r="D218" s="15" t="str">
        <f>"Dim sReplaceResult
oRegExp.Replace(sTargetStr, sReplacePattern)"</f>
        <v>Dim sReplaceResult
oRegExp.Replace(sTargetStr, sReplacePattern)</v>
      </c>
      <c r="E218" s="17" t="s">
        <v>477</v>
      </c>
      <c r="F218" t="s">
        <v>122</v>
      </c>
      <c r="G218">
        <f t="shared" ca="1" si="7"/>
        <v>206</v>
      </c>
      <c r="H218" t="str">
        <f t="shared" si="6"/>
        <v>置換結果 結果取得</v>
      </c>
    </row>
    <row r="219" spans="1:8">
      <c r="A219" s="12" t="s">
        <v>394</v>
      </c>
      <c r="B219" s="13"/>
      <c r="C219" s="13"/>
      <c r="D219" s="13"/>
      <c r="E219" s="14" t="s">
        <v>122</v>
      </c>
      <c r="F219" t="s">
        <v>122</v>
      </c>
      <c r="G219">
        <f t="shared" ca="1" si="7"/>
        <v>206</v>
      </c>
      <c r="H219" t="str">
        <f t="shared" si="6"/>
        <v/>
      </c>
    </row>
    <row r="220" spans="1:8" outlineLevel="1">
      <c r="A220" s="15"/>
      <c r="B220" s="15" t="s">
        <v>115</v>
      </c>
      <c r="C220" s="40" t="s">
        <v>415</v>
      </c>
      <c r="D220" s="16" t="str">
        <f>"WScript.ScriptFullName"</f>
        <v>WScript.ScriptFullName</v>
      </c>
      <c r="E220" s="17"/>
      <c r="F220" t="s">
        <v>122</v>
      </c>
      <c r="G220">
        <f t="shared" ca="1" si="7"/>
        <v>207</v>
      </c>
      <c r="H220" t="str">
        <f t="shared" si="6"/>
        <v>実行スクリプト ファイルパス</v>
      </c>
    </row>
    <row r="221" spans="1:8" outlineLevel="1">
      <c r="A221" s="15"/>
      <c r="B221" s="15" t="s">
        <v>116</v>
      </c>
      <c r="C221" s="40" t="s">
        <v>413</v>
      </c>
      <c r="D221" s="16" t="str">
        <f>"WScript.ScriptName"</f>
        <v>WScript.ScriptName</v>
      </c>
      <c r="E221" s="17"/>
      <c r="F221" t="s">
        <v>122</v>
      </c>
      <c r="G221">
        <f t="shared" ca="1" si="7"/>
        <v>208</v>
      </c>
      <c r="H221" t="str">
        <f t="shared" si="6"/>
        <v>実行スクリプト ファイル名（拡張子あり）</v>
      </c>
    </row>
    <row r="222" spans="1:8" outlineLevel="1">
      <c r="A222" s="15"/>
      <c r="B222" s="15" t="s">
        <v>117</v>
      </c>
      <c r="C222" s="30" t="s">
        <v>393</v>
      </c>
      <c r="D222" s="16" t="str">
        <f>"Mid( WScript.ScriptName, 1, InStrRev( WScript.ScriptName, ""."" ) - 1 )"</f>
        <v>Mid( WScript.ScriptName, 1, InStrRev( WScript.ScriptName, "." ) - 1 )</v>
      </c>
      <c r="E222" s="17"/>
      <c r="F222" t="s">
        <v>122</v>
      </c>
      <c r="G222">
        <f t="shared" ca="1" si="7"/>
        <v>209</v>
      </c>
      <c r="H222" t="str">
        <f t="shared" si="6"/>
        <v>実行スクリプト ファイルベース名①</v>
      </c>
    </row>
    <row r="223" spans="1:8" outlineLevel="1">
      <c r="A223" s="15"/>
      <c r="B223" s="15" t="s">
        <v>118</v>
      </c>
      <c r="C223" s="30" t="s">
        <v>393</v>
      </c>
      <c r="D223" s="16" t="str">
        <f>"objFSO.GetBaseName( WScript.ScriptName )"</f>
        <v>objFSO.GetBaseName( WScript.ScriptName )</v>
      </c>
      <c r="E223" s="17"/>
      <c r="F223" t="s">
        <v>122</v>
      </c>
      <c r="G223">
        <f t="shared" ca="1" si="7"/>
        <v>210</v>
      </c>
      <c r="H223" t="str">
        <f t="shared" si="6"/>
        <v>実行スクリプト ファイルベース名②</v>
      </c>
    </row>
    <row r="224" spans="1:8" outlineLevel="1">
      <c r="A224" s="15"/>
      <c r="B224" s="15" t="s">
        <v>119</v>
      </c>
      <c r="C224" s="16" t="s">
        <v>414</v>
      </c>
      <c r="D224" s="16" t="str">
        <f>"Replace( WScript.ScriptFullName, ""\"" &amp; WScript.ScriptName, """" )"</f>
        <v>Replace( WScript.ScriptFullName, "\" &amp; WScript.ScriptName, "" )</v>
      </c>
      <c r="E224" s="17"/>
      <c r="F224" t="s">
        <v>122</v>
      </c>
      <c r="G224">
        <f t="shared" ca="1" si="7"/>
        <v>211</v>
      </c>
      <c r="H224" t="str">
        <f t="shared" si="6"/>
        <v>実行スクリプト フォルダパス①</v>
      </c>
    </row>
    <row r="225" spans="1:8" outlineLevel="1">
      <c r="A225" s="15"/>
      <c r="B225" s="15" t="s">
        <v>120</v>
      </c>
      <c r="C225" s="30" t="s">
        <v>393</v>
      </c>
      <c r="D225" s="16" t="str">
        <f>"objFSO.GetParentFolderName( WScript.ScriptFullName )"</f>
        <v>objFSO.GetParentFolderName( WScript.ScriptFullName )</v>
      </c>
      <c r="E225" s="17"/>
      <c r="F225" t="s">
        <v>122</v>
      </c>
      <c r="G225">
        <f t="shared" ca="1" si="7"/>
        <v>212</v>
      </c>
      <c r="H225" t="str">
        <f t="shared" si="6"/>
        <v>実行スクリプト フォルダパス②</v>
      </c>
    </row>
    <row r="226" spans="1:8">
      <c r="A226" s="12" t="s">
        <v>395</v>
      </c>
      <c r="B226" s="13"/>
      <c r="C226" s="13"/>
      <c r="D226" s="13"/>
      <c r="E226" s="14" t="s">
        <v>122</v>
      </c>
      <c r="F226" t="s">
        <v>122</v>
      </c>
      <c r="G226">
        <f t="shared" ca="1" si="7"/>
        <v>212</v>
      </c>
      <c r="H226" t="str">
        <f t="shared" si="6"/>
        <v/>
      </c>
    </row>
    <row r="227" spans="1:8" outlineLevel="1">
      <c r="A227" s="15"/>
      <c r="B227" s="15" t="s">
        <v>349</v>
      </c>
      <c r="C227" s="16" t="str">
        <f>"Dim oChartObj As ChartObject"&amp;CHAR(10)&amp;"Set oChartObj = ThisWorkbook.Sheets(シート名).ChartObjects(1)"</f>
        <v>Dim oChartObj As ChartObject
Set oChartObj = ThisWorkbook.Sheets(シート名).ChartObjects(1)</v>
      </c>
      <c r="D227" s="30" t="s">
        <v>393</v>
      </c>
      <c r="E227" s="17" t="s">
        <v>122</v>
      </c>
      <c r="F227" t="s">
        <v>122</v>
      </c>
      <c r="G227">
        <f t="shared" ca="1" si="7"/>
        <v>213</v>
      </c>
      <c r="H227" t="str">
        <f t="shared" si="6"/>
        <v>オブジェクト定義</v>
      </c>
    </row>
    <row r="228" spans="1:8" outlineLevel="1">
      <c r="A228" s="15"/>
      <c r="B228" s="15" t="s">
        <v>218</v>
      </c>
      <c r="C228" s="16" t="str">
        <f>"Set oChartObj = .Sheets(シート名).ChartObjects.Add( XPOS, YPOS, WIDTH, HEIGHT )"</f>
        <v>Set oChartObj = .Sheets(シート名).ChartObjects.Add( XPOS, YPOS, WIDTH, HEIGHT )</v>
      </c>
      <c r="D228" s="30" t="s">
        <v>393</v>
      </c>
      <c r="E228" s="17" t="s">
        <v>305</v>
      </c>
      <c r="F228" t="s">
        <v>122</v>
      </c>
      <c r="G228">
        <f t="shared" ca="1" si="7"/>
        <v>214</v>
      </c>
      <c r="H228" t="str">
        <f t="shared" si="6"/>
        <v>グラフ 追加</v>
      </c>
    </row>
    <row r="229" spans="1:8" outlineLevel="1">
      <c r="A229" s="15"/>
      <c r="B229" s="15" t="s">
        <v>219</v>
      </c>
      <c r="C229" s="16" t="str">
        <f>"oChartObj.Delete"</f>
        <v>oChartObj.Delete</v>
      </c>
      <c r="D229" s="30" t="s">
        <v>393</v>
      </c>
      <c r="E229" s="17" t="s">
        <v>122</v>
      </c>
      <c r="F229" t="s">
        <v>122</v>
      </c>
      <c r="G229">
        <f t="shared" ca="1" si="7"/>
        <v>215</v>
      </c>
      <c r="H229" t="str">
        <f t="shared" si="6"/>
        <v>グラフ 削除</v>
      </c>
    </row>
    <row r="230" spans="1:8" outlineLevel="1">
      <c r="A230" s="15"/>
      <c r="B230" s="15" t="s">
        <v>220</v>
      </c>
      <c r="C230" s="16" t="str">
        <f>"oChartObj.Chart.ChartArea.Copy"</f>
        <v>oChartObj.Chart.ChartArea.Copy</v>
      </c>
      <c r="D230" s="30" t="s">
        <v>393</v>
      </c>
      <c r="E230" s="17" t="s">
        <v>122</v>
      </c>
      <c r="F230" t="s">
        <v>122</v>
      </c>
      <c r="G230">
        <f t="shared" ca="1" si="7"/>
        <v>216</v>
      </c>
      <c r="H230" t="str">
        <f t="shared" si="6"/>
        <v>グラフ コピー</v>
      </c>
    </row>
    <row r="231" spans="1:8" outlineLevel="1">
      <c r="A231" s="15"/>
      <c r="B231" s="15" t="s">
        <v>221</v>
      </c>
      <c r="C231" s="16" t="str">
        <f>"oChartObj.Top = 10"</f>
        <v>oChartObj.Top = 10</v>
      </c>
      <c r="D231" s="30" t="s">
        <v>393</v>
      </c>
      <c r="E231" s="17" t="s">
        <v>122</v>
      </c>
      <c r="F231" t="s">
        <v>122</v>
      </c>
      <c r="G231">
        <f t="shared" ca="1" si="7"/>
        <v>217</v>
      </c>
      <c r="H231" t="str">
        <f t="shared" si="6"/>
        <v>グラフ 移動（Ｙ軸）</v>
      </c>
    </row>
    <row r="232" spans="1:8" outlineLevel="1">
      <c r="A232" s="15"/>
      <c r="B232" s="15" t="s">
        <v>222</v>
      </c>
      <c r="C232" s="16" t="str">
        <f>"oChartObj.Left = 20"</f>
        <v>oChartObj.Left = 20</v>
      </c>
      <c r="D232" s="30" t="s">
        <v>393</v>
      </c>
      <c r="E232" s="17" t="s">
        <v>122</v>
      </c>
      <c r="F232" t="s">
        <v>122</v>
      </c>
      <c r="G232">
        <f t="shared" ca="1" si="7"/>
        <v>218</v>
      </c>
      <c r="H232" t="str">
        <f t="shared" si="6"/>
        <v>グラフ 移動（Ｘ軸）</v>
      </c>
    </row>
    <row r="233" spans="1:8" outlineLevel="1">
      <c r="A233" s="15"/>
      <c r="B233" s="15" t="s">
        <v>223</v>
      </c>
      <c r="C233" s="16" t="str">
        <f>"oChartObj.Width = 200"</f>
        <v>oChartObj.Width = 200</v>
      </c>
      <c r="D233" s="30" t="s">
        <v>393</v>
      </c>
      <c r="E233" s="17" t="s">
        <v>122</v>
      </c>
      <c r="F233" t="s">
        <v>122</v>
      </c>
      <c r="G233">
        <f t="shared" ca="1" si="7"/>
        <v>219</v>
      </c>
      <c r="H233" t="str">
        <f t="shared" si="6"/>
        <v>グラフ サイズ変更（幅）</v>
      </c>
    </row>
    <row r="234" spans="1:8" outlineLevel="1">
      <c r="A234" s="15"/>
      <c r="B234" s="15" t="s">
        <v>224</v>
      </c>
      <c r="C234" s="16" t="str">
        <f>"oChartObj.Height = 300"</f>
        <v>oChartObj.Height = 300</v>
      </c>
      <c r="D234" s="30" t="s">
        <v>393</v>
      </c>
      <c r="E234" s="17" t="s">
        <v>122</v>
      </c>
      <c r="F234" t="s">
        <v>122</v>
      </c>
      <c r="G234">
        <f t="shared" ca="1" si="7"/>
        <v>220</v>
      </c>
      <c r="H234" t="str">
        <f t="shared" si="6"/>
        <v>グラフ サイズ変更（高さ）</v>
      </c>
    </row>
    <row r="235" spans="1:8" outlineLevel="1">
      <c r="A235" s="15"/>
      <c r="B235" s="15" t="s">
        <v>225</v>
      </c>
      <c r="C235" s="16" t="str">
        <f>"oChartObj.Chart.ChartType = xlXYScatterLines"</f>
        <v>oChartObj.Chart.ChartType = xlXYScatterLines</v>
      </c>
      <c r="D235" s="30" t="s">
        <v>393</v>
      </c>
      <c r="E235" s="17" t="s">
        <v>306</v>
      </c>
      <c r="F235" t="s">
        <v>122</v>
      </c>
      <c r="G235">
        <f t="shared" ca="1" si="7"/>
        <v>221</v>
      </c>
      <c r="H235" t="str">
        <f t="shared" si="6"/>
        <v>グラフ 種別</v>
      </c>
    </row>
    <row r="236" spans="1:8" outlineLevel="1">
      <c r="A236" s="15"/>
      <c r="B236" s="15" t="s">
        <v>226</v>
      </c>
      <c r="C236" s="16" t="str">
        <f>"oChartObj.Chart.SetSourceData Source:=Union(rXAxsRng, rDataRng)"</f>
        <v>oChartObj.Chart.SetSourceData Source:=Union(rXAxsRng, rDataRng)</v>
      </c>
      <c r="D236" s="30" t="s">
        <v>393</v>
      </c>
      <c r="E236" s="17" t="s">
        <v>307</v>
      </c>
      <c r="F236" t="s">
        <v>122</v>
      </c>
      <c r="G236">
        <f t="shared" ca="1" si="7"/>
        <v>222</v>
      </c>
      <c r="H236" t="str">
        <f t="shared" si="6"/>
        <v>グラフ データ範囲変更</v>
      </c>
    </row>
    <row r="237" spans="1:8" outlineLevel="1">
      <c r="A237" s="15"/>
      <c r="B237" s="15" t="s">
        <v>227</v>
      </c>
      <c r="C237" s="16" t="str">
        <f>"oChartObj.Chart.Axes(xlCategory).HasTitle = True"</f>
        <v>oChartObj.Chart.Axes(xlCategory).HasTitle = True</v>
      </c>
      <c r="D237" s="30" t="s">
        <v>393</v>
      </c>
      <c r="E237" s="17" t="s">
        <v>122</v>
      </c>
      <c r="F237" t="s">
        <v>122</v>
      </c>
      <c r="G237">
        <f t="shared" ca="1" si="7"/>
        <v>223</v>
      </c>
      <c r="H237" t="str">
        <f t="shared" si="6"/>
        <v>グラフ Ｘ軸 タイトル 有無</v>
      </c>
    </row>
    <row r="238" spans="1:8" outlineLevel="1">
      <c r="A238" s="15"/>
      <c r="B238" s="15" t="s">
        <v>228</v>
      </c>
      <c r="C238" s="16" t="str">
        <f>"oChartObj.Chart.Axes(xlCategory).AxisTitle.Text = ""Test Axis X"""</f>
        <v>oChartObj.Chart.Axes(xlCategory).AxisTitle.Text = "Test Axis X"</v>
      </c>
      <c r="D238" s="30" t="s">
        <v>393</v>
      </c>
      <c r="E238" s="17" t="s">
        <v>122</v>
      </c>
      <c r="F238" t="s">
        <v>122</v>
      </c>
      <c r="G238">
        <f t="shared" ca="1" si="7"/>
        <v>224</v>
      </c>
      <c r="H238" t="str">
        <f t="shared" si="6"/>
        <v>グラフ Ｘ軸 タイトル 変更</v>
      </c>
    </row>
    <row r="239" spans="1:8" outlineLevel="1">
      <c r="A239" s="15"/>
      <c r="B239" s="15" t="s">
        <v>229</v>
      </c>
      <c r="C239" s="16" t="str">
        <f>"oChartObj.Chart.Axes(xlCategory).HasMajorGridlines = True"</f>
        <v>oChartObj.Chart.Axes(xlCategory).HasMajorGridlines = True</v>
      </c>
      <c r="D239" s="30" t="s">
        <v>393</v>
      </c>
      <c r="E239" s="17" t="s">
        <v>122</v>
      </c>
      <c r="F239" t="s">
        <v>122</v>
      </c>
      <c r="G239">
        <f t="shared" ca="1" si="7"/>
        <v>225</v>
      </c>
      <c r="H239" t="str">
        <f t="shared" si="6"/>
        <v>グラフ Ｘ軸 目盛軸 有無</v>
      </c>
    </row>
    <row r="240" spans="1:8" outlineLevel="1">
      <c r="A240" s="15"/>
      <c r="B240" s="15" t="s">
        <v>230</v>
      </c>
      <c r="C240" s="16" t="str">
        <f>"oChartObj.Chart.Axes(xlCategory).MajorGridlines.Border.Color = RGB(217, 217, 217)"</f>
        <v>oChartObj.Chart.Axes(xlCategory).MajorGridlines.Border.Color = RGB(217, 217, 217)</v>
      </c>
      <c r="D240" s="30" t="s">
        <v>393</v>
      </c>
      <c r="E240" s="17" t="s">
        <v>122</v>
      </c>
      <c r="F240" t="s">
        <v>122</v>
      </c>
      <c r="G240">
        <f t="shared" ca="1" si="7"/>
        <v>226</v>
      </c>
      <c r="H240" t="str">
        <f t="shared" si="6"/>
        <v>グラフ Ｘ軸 目盛軸 色</v>
      </c>
    </row>
    <row r="241" spans="1:8" outlineLevel="1">
      <c r="A241" s="15"/>
      <c r="B241" s="15" t="s">
        <v>231</v>
      </c>
      <c r="C241" s="16" t="str">
        <f>"oChartObj.Chart.Axes(xlCategory).MajorGridlines.Border.Weight = 2"</f>
        <v>oChartObj.Chart.Axes(xlCategory).MajorGridlines.Border.Weight = 2</v>
      </c>
      <c r="D241" s="30" t="s">
        <v>393</v>
      </c>
      <c r="E241" s="17" t="s">
        <v>122</v>
      </c>
      <c r="F241" t="s">
        <v>122</v>
      </c>
      <c r="G241">
        <f t="shared" ca="1" si="7"/>
        <v>227</v>
      </c>
      <c r="H241" t="str">
        <f t="shared" si="6"/>
        <v>グラフ Ｘ軸 目盛軸 太さ</v>
      </c>
    </row>
    <row r="242" spans="1:8" outlineLevel="1">
      <c r="A242" s="15"/>
      <c r="B242" s="15" t="s">
        <v>232</v>
      </c>
      <c r="C242" s="16" t="str">
        <f>"oChartObj.Chart.Axes(xlCategory).MajorGridlines.Border.LineStyle = (xlContinuous\|xlDot\|xlDouble\|xlLineStyleNone\|...)"</f>
        <v>oChartObj.Chart.Axes(xlCategory).MajorGridlines.Border.LineStyle = (xlContinuous\|xlDot\|xlDouble\|xlLineStyleNone\|...)</v>
      </c>
      <c r="D242" s="30" t="s">
        <v>393</v>
      </c>
      <c r="E242" s="17" t="s">
        <v>122</v>
      </c>
      <c r="F242" t="s">
        <v>122</v>
      </c>
      <c r="G242">
        <f t="shared" ca="1" si="7"/>
        <v>228</v>
      </c>
      <c r="H242" t="str">
        <f t="shared" si="6"/>
        <v>グラフ Ｘ軸 目盛軸 スタイル</v>
      </c>
    </row>
    <row r="243" spans="1:8" outlineLevel="1">
      <c r="A243" s="15"/>
      <c r="B243" s="15" t="s">
        <v>233</v>
      </c>
      <c r="C243" s="17" t="s">
        <v>258</v>
      </c>
      <c r="D243" s="41" t="s">
        <v>393</v>
      </c>
      <c r="E243" s="17" t="s">
        <v>122</v>
      </c>
      <c r="F243" t="s">
        <v>122</v>
      </c>
      <c r="G243">
        <f t="shared" ca="1" si="7"/>
        <v>229</v>
      </c>
      <c r="H243" t="str">
        <f t="shared" si="6"/>
        <v>グラフ Ｘ軸 補助目盛軸 〃</v>
      </c>
    </row>
    <row r="244" spans="1:8" outlineLevel="1">
      <c r="A244" s="15"/>
      <c r="B244" s="15" t="s">
        <v>234</v>
      </c>
      <c r="C244" s="16" t="str">
        <f>"oChartObj.Chart.Axes(xlCategory).MinimumScaleIsAuto = False"</f>
        <v>oChartObj.Chart.Axes(xlCategory).MinimumScaleIsAuto = False</v>
      </c>
      <c r="D244" s="30" t="s">
        <v>393</v>
      </c>
      <c r="E244" s="17" t="s">
        <v>122</v>
      </c>
      <c r="F244" t="s">
        <v>122</v>
      </c>
      <c r="G244">
        <f t="shared" ca="1" si="7"/>
        <v>230</v>
      </c>
      <c r="H244" t="str">
        <f t="shared" si="6"/>
        <v>グラフ Ｘ軸 最小値 自動</v>
      </c>
    </row>
    <row r="245" spans="1:8" outlineLevel="1">
      <c r="A245" s="15"/>
      <c r="B245" s="15" t="s">
        <v>235</v>
      </c>
      <c r="C245" s="16" t="str">
        <f>"oChartObj.Chart.Axes(xlCategory).MaximumScaleIsAuto = False"</f>
        <v>oChartObj.Chart.Axes(xlCategory).MaximumScaleIsAuto = False</v>
      </c>
      <c r="D245" s="30" t="s">
        <v>393</v>
      </c>
      <c r="E245" s="17" t="s">
        <v>122</v>
      </c>
      <c r="F245" t="s">
        <v>122</v>
      </c>
      <c r="G245">
        <f t="shared" ca="1" si="7"/>
        <v>231</v>
      </c>
      <c r="H245" t="str">
        <f t="shared" si="6"/>
        <v>グラフ Ｘ軸 最大値 自動</v>
      </c>
    </row>
    <row r="246" spans="1:8" outlineLevel="1">
      <c r="A246" s="15"/>
      <c r="B246" s="15" t="s">
        <v>236</v>
      </c>
      <c r="C246" s="16" t="str">
        <f>"oChartObj.Chart.Axes(xlCategory).MinimumScale = 0"</f>
        <v>oChartObj.Chart.Axes(xlCategory).MinimumScale = 0</v>
      </c>
      <c r="D246" s="30" t="s">
        <v>393</v>
      </c>
      <c r="E246" s="17" t="s">
        <v>122</v>
      </c>
      <c r="F246" t="s">
        <v>122</v>
      </c>
      <c r="G246">
        <f t="shared" ca="1" si="7"/>
        <v>232</v>
      </c>
      <c r="H246" t="str">
        <f t="shared" si="6"/>
        <v>グラフ Ｘ軸 最小値 設定</v>
      </c>
    </row>
    <row r="247" spans="1:8" outlineLevel="1">
      <c r="A247" s="15"/>
      <c r="B247" s="15" t="s">
        <v>237</v>
      </c>
      <c r="C247" s="16" t="str">
        <f>"oChartObj.Chart.Axes(xlCategory).MaximumScale = 100"</f>
        <v>oChartObj.Chart.Axes(xlCategory).MaximumScale = 100</v>
      </c>
      <c r="D247" s="30" t="s">
        <v>393</v>
      </c>
      <c r="E247" s="17" t="s">
        <v>122</v>
      </c>
      <c r="F247" t="s">
        <v>122</v>
      </c>
      <c r="G247">
        <f t="shared" ca="1" si="7"/>
        <v>233</v>
      </c>
      <c r="H247" t="str">
        <f t="shared" si="6"/>
        <v>グラフ Ｘ軸 最大値 設定</v>
      </c>
    </row>
    <row r="248" spans="1:8" outlineLevel="1">
      <c r="A248" s="15"/>
      <c r="B248" s="15" t="s">
        <v>238</v>
      </c>
      <c r="C248" s="16" t="str">
        <f>"oChartObj.Chart.Axes(xlCategory).Crosses = (xlMinimum\|xlMaximum\|xlAutomatic)"</f>
        <v>oChartObj.Chart.Axes(xlCategory).Crosses = (xlMinimum\|xlMaximum\|xlAutomatic)</v>
      </c>
      <c r="D248" s="30" t="s">
        <v>393</v>
      </c>
      <c r="E248" s="17" t="s">
        <v>122</v>
      </c>
      <c r="F248" t="s">
        <v>122</v>
      </c>
      <c r="G248">
        <f t="shared" ca="1" si="7"/>
        <v>234</v>
      </c>
      <c r="H248" t="str">
        <f t="shared" si="6"/>
        <v>グラフ Ｘ軸 縦軸との交点</v>
      </c>
    </row>
    <row r="249" spans="1:8" outlineLevel="1">
      <c r="A249" s="15"/>
      <c r="B249" s="15" t="s">
        <v>239</v>
      </c>
      <c r="C249" s="16" t="s">
        <v>259</v>
      </c>
      <c r="D249" s="30" t="s">
        <v>393</v>
      </c>
      <c r="E249" s="17" t="s">
        <v>122</v>
      </c>
      <c r="F249" t="s">
        <v>122</v>
      </c>
      <c r="G249">
        <f t="shared" ca="1" si="7"/>
        <v>235</v>
      </c>
      <c r="H249" t="str">
        <f t="shared" si="6"/>
        <v>グラフ Ｙ軸 〃</v>
      </c>
    </row>
    <row r="250" spans="1:8" outlineLevel="1">
      <c r="A250" s="15"/>
      <c r="B250" s="15" t="s">
        <v>240</v>
      </c>
      <c r="C250" s="16" t="str">
        <f>"oChartObj.Chart.HasTitle = True"</f>
        <v>oChartObj.Chart.HasTitle = True</v>
      </c>
      <c r="D250" s="30" t="s">
        <v>393</v>
      </c>
      <c r="E250" s="17" t="s">
        <v>122</v>
      </c>
      <c r="F250" t="s">
        <v>122</v>
      </c>
      <c r="G250">
        <f t="shared" ca="1" si="7"/>
        <v>236</v>
      </c>
      <c r="H250" t="str">
        <f t="shared" si="6"/>
        <v>グラフ タイトル 有無</v>
      </c>
    </row>
    <row r="251" spans="1:8" outlineLevel="1">
      <c r="A251" s="15"/>
      <c r="B251" s="15" t="s">
        <v>241</v>
      </c>
      <c r="C251" s="16" t="str">
        <f>"oChartObj.Chart.ChartTitle.Text = ""Test Title"""</f>
        <v>oChartObj.Chart.ChartTitle.Text = "Test Title"</v>
      </c>
      <c r="D251" s="30" t="s">
        <v>393</v>
      </c>
      <c r="E251" s="17" t="s">
        <v>122</v>
      </c>
      <c r="F251" t="s">
        <v>122</v>
      </c>
      <c r="G251">
        <f t="shared" ca="1" si="7"/>
        <v>237</v>
      </c>
      <c r="H251" t="str">
        <f t="shared" si="6"/>
        <v>グラフ タイトル 変更</v>
      </c>
    </row>
    <row r="252" spans="1:8" outlineLevel="1">
      <c r="A252" s="15"/>
      <c r="B252" s="15" t="s">
        <v>242</v>
      </c>
      <c r="C252" s="16" t="str">
        <f>"oChartObj.Chart.ChartTitle.IncludeInLayout = False"</f>
        <v>oChartObj.Chart.ChartTitle.IncludeInLayout = False</v>
      </c>
      <c r="D252" s="30" t="s">
        <v>393</v>
      </c>
      <c r="E252" s="17" t="s">
        <v>308</v>
      </c>
      <c r="F252" t="s">
        <v>122</v>
      </c>
      <c r="G252">
        <f t="shared" ca="1" si="7"/>
        <v>238</v>
      </c>
      <c r="H252" t="str">
        <f t="shared" si="6"/>
        <v>グラフ タイトル グラフに重ねる</v>
      </c>
    </row>
    <row r="253" spans="1:8" outlineLevel="1">
      <c r="A253" s="15"/>
      <c r="B253" s="15" t="s">
        <v>243</v>
      </c>
      <c r="C253" s="16" t="str">
        <f>"oChartObj.Chart.HasLegend = True"</f>
        <v>oChartObj.Chart.HasLegend = True</v>
      </c>
      <c r="D253" s="30" t="s">
        <v>393</v>
      </c>
      <c r="E253" s="17" t="s">
        <v>122</v>
      </c>
      <c r="F253" t="s">
        <v>122</v>
      </c>
      <c r="G253">
        <f t="shared" ca="1" si="7"/>
        <v>239</v>
      </c>
      <c r="H253" t="str">
        <f t="shared" si="6"/>
        <v>グラフ 凡例 有無</v>
      </c>
    </row>
    <row r="254" spans="1:8" outlineLevel="1">
      <c r="A254" s="15"/>
      <c r="B254" s="15" t="s">
        <v>244</v>
      </c>
      <c r="C254" s="16" t="str">
        <f>"oChartObj.Chart.Legend.Position = xlLegendPositionTop"</f>
        <v>oChartObj.Chart.Legend.Position = xlLegendPositionTop</v>
      </c>
      <c r="D254" s="30" t="s">
        <v>393</v>
      </c>
      <c r="E254" s="17" t="s">
        <v>261</v>
      </c>
      <c r="F254" t="s">
        <v>122</v>
      </c>
      <c r="G254">
        <f t="shared" ca="1" si="7"/>
        <v>240</v>
      </c>
      <c r="H254" t="str">
        <f t="shared" si="6"/>
        <v>グラフ 凡例 位置</v>
      </c>
    </row>
    <row r="255" spans="1:8" outlineLevel="1">
      <c r="A255" s="15"/>
      <c r="B255" s="15" t="s">
        <v>245</v>
      </c>
      <c r="C255" s="16" t="str">
        <f>"oChartObj.Chart.Legend.IncludeInLayout = False"</f>
        <v>oChartObj.Chart.Legend.IncludeInLayout = False</v>
      </c>
      <c r="D255" s="30" t="s">
        <v>393</v>
      </c>
      <c r="E255" s="17" t="s">
        <v>308</v>
      </c>
      <c r="F255" t="s">
        <v>122</v>
      </c>
      <c r="G255">
        <f t="shared" ca="1" si="7"/>
        <v>241</v>
      </c>
      <c r="H255" t="str">
        <f t="shared" si="6"/>
        <v>グラフ 凡例 グラフに重ねる</v>
      </c>
    </row>
    <row r="256" spans="1:8" outlineLevel="1">
      <c r="A256" s="15"/>
      <c r="B256" s="15" t="s">
        <v>246</v>
      </c>
      <c r="C256" s="16" t="str">
        <f>".Sheets(シート名).PasteSpecial Format:=""図 (JPEG)"", Link:=False, DisplayAsIcon:=False"</f>
        <v>.Sheets(シート名).PasteSpecial Format:="図 (JPEG)", Link:=False, DisplayAsIcon:=False</v>
      </c>
      <c r="D256" s="30" t="s">
        <v>393</v>
      </c>
      <c r="E256" s="17" t="s">
        <v>122</v>
      </c>
      <c r="F256" t="s">
        <v>122</v>
      </c>
      <c r="G256">
        <f t="shared" ca="1" si="7"/>
        <v>242</v>
      </c>
      <c r="H256" t="str">
        <f t="shared" si="6"/>
        <v>グラフ 画像として貼り付け</v>
      </c>
    </row>
    <row r="257" spans="1:8" outlineLevel="1">
      <c r="A257" s="13" t="s">
        <v>350</v>
      </c>
      <c r="B257" s="13"/>
      <c r="C257" s="13"/>
      <c r="D257" s="13"/>
      <c r="E257" s="14" t="s">
        <v>122</v>
      </c>
      <c r="F257" t="s">
        <v>122</v>
      </c>
      <c r="G257">
        <f t="shared" ca="1" si="7"/>
        <v>242</v>
      </c>
      <c r="H257" t="str">
        <f t="shared" si="6"/>
        <v/>
      </c>
    </row>
    <row r="258" spans="1:8" outlineLevel="1">
      <c r="A258" s="15"/>
      <c r="B258" s="15" t="s">
        <v>248</v>
      </c>
      <c r="C258" s="16" t="str">
        <f>"Dim goPrgrsBar As New ProgressBar"&amp;CHAR(10)&amp;"goPrgrsBar.Show vbModeless"</f>
        <v>Dim goPrgrsBar As New ProgressBar
goPrgrsBar.Show vbModeless</v>
      </c>
      <c r="D258" s="30" t="s">
        <v>393</v>
      </c>
      <c r="E258" s="17" t="s">
        <v>122</v>
      </c>
      <c r="F258" t="s">
        <v>122</v>
      </c>
      <c r="G258">
        <f t="shared" ca="1" si="7"/>
        <v>243</v>
      </c>
      <c r="H258" t="str">
        <f t="shared" si="6"/>
        <v>フォーム ロード</v>
      </c>
    </row>
    <row r="259" spans="1:8" outlineLevel="1">
      <c r="A259" s="15"/>
      <c r="B259" s="15" t="s">
        <v>249</v>
      </c>
      <c r="C259" s="16" t="str">
        <f>"goPrgrsBar.Hide"&amp;CHAR(10)&amp;"Unload goPrgrsBar"&amp;CHAR(10)&amp;"Set goPrgrsBar = Nothing"</f>
        <v>goPrgrsBar.Hide
Unload goPrgrsBar
Set goPrgrsBar = Nothing</v>
      </c>
      <c r="D259" s="30" t="s">
        <v>393</v>
      </c>
      <c r="E259" s="17" t="s">
        <v>122</v>
      </c>
      <c r="F259" t="s">
        <v>122</v>
      </c>
      <c r="G259">
        <f t="shared" ca="1" si="7"/>
        <v>244</v>
      </c>
      <c r="H259" t="str">
        <f t="shared" si="6"/>
        <v>フォーム アンロード</v>
      </c>
    </row>
    <row r="260" spans="1:8" outlineLevel="1">
      <c r="A260" s="13" t="s">
        <v>351</v>
      </c>
      <c r="B260" s="13"/>
      <c r="C260" s="13"/>
      <c r="D260" s="13"/>
      <c r="E260" s="14" t="s">
        <v>122</v>
      </c>
      <c r="F260" t="s">
        <v>122</v>
      </c>
      <c r="G260">
        <f t="shared" ca="1" si="7"/>
        <v>244</v>
      </c>
      <c r="H260" t="str">
        <f t="shared" ref="H260:H323" si="8">IF(B260="","",B260)</f>
        <v/>
      </c>
    </row>
    <row r="261" spans="1:8" outlineLevel="1">
      <c r="A261" s="15"/>
      <c r="B261" s="15" t="s">
        <v>250</v>
      </c>
      <c r="C261" s="16" t="str">
        <f>"lChk = ThisWorkbook.Sheets(シート名).CheckBoxes(1).Value"</f>
        <v>lChk = ThisWorkbook.Sheets(シート名).CheckBoxes(1).Value</v>
      </c>
      <c r="D261" s="30" t="s">
        <v>393</v>
      </c>
      <c r="E261" s="17" t="s">
        <v>309</v>
      </c>
      <c r="F261" t="s">
        <v>122</v>
      </c>
      <c r="G261">
        <f t="shared" ca="1" si="7"/>
        <v>245</v>
      </c>
      <c r="H261" t="str">
        <f t="shared" si="8"/>
        <v>チェックボックス値取得（フォームコントロール）</v>
      </c>
    </row>
    <row r="262" spans="1:8" outlineLevel="1">
      <c r="A262" s="15"/>
      <c r="B262" s="15" t="s">
        <v>251</v>
      </c>
      <c r="C262" s="16" t="str">
        <f>"Private Sub xxx\_KeyUp(ByVal KeyCode As MSForms.ReturnInteger, ByVal Shift As Integer)"&amp;CHAR(10)&amp;"End Sub"</f>
        <v>Private Sub xxx\_KeyUp(ByVal KeyCode As MSForms.ReturnInteger, ByVal Shift As Integer)
End Sub</v>
      </c>
      <c r="D262" s="30" t="s">
        <v>393</v>
      </c>
      <c r="E262" s="17" t="s">
        <v>260</v>
      </c>
      <c r="F262" t="s">
        <v>122</v>
      </c>
      <c r="G262">
        <f t="shared" ref="G262:G330" ca="1" si="9">IF(H262="",OFFSET(G262,-1,0),OFFSET(G262,-1,0)+1)</f>
        <v>246</v>
      </c>
      <c r="H262" t="str">
        <f t="shared" si="8"/>
        <v>ユーザフォーム表示中のキー操作</v>
      </c>
    </row>
    <row r="263" spans="1:8" outlineLevel="1">
      <c r="A263" s="13" t="s">
        <v>392</v>
      </c>
      <c r="B263" s="13"/>
      <c r="C263" s="13"/>
      <c r="D263" s="13"/>
      <c r="E263" s="14" t="s">
        <v>122</v>
      </c>
      <c r="F263" t="s">
        <v>122</v>
      </c>
      <c r="G263">
        <f t="shared" ca="1" si="9"/>
        <v>246</v>
      </c>
      <c r="H263" t="str">
        <f t="shared" si="8"/>
        <v/>
      </c>
    </row>
    <row r="264" spans="1:8" outlineLevel="1">
      <c r="A264" s="15"/>
      <c r="B264" s="15" t="s">
        <v>386</v>
      </c>
      <c r="C264" s="16" t="s">
        <v>385</v>
      </c>
      <c r="D264" s="30" t="s">
        <v>393</v>
      </c>
      <c r="E264" s="17" t="s">
        <v>122</v>
      </c>
      <c r="F264" t="s">
        <v>122</v>
      </c>
      <c r="G264">
        <f t="shared" ca="1" si="9"/>
        <v>247</v>
      </c>
      <c r="H264" t="str">
        <f t="shared" si="8"/>
        <v>ユーザフォルダパス</v>
      </c>
    </row>
    <row r="265" spans="1:8" outlineLevel="1">
      <c r="A265" s="13" t="s">
        <v>352</v>
      </c>
      <c r="B265" s="13"/>
      <c r="C265" s="13"/>
      <c r="D265" s="13"/>
      <c r="E265" s="14" t="s">
        <v>122</v>
      </c>
      <c r="F265" t="s">
        <v>122</v>
      </c>
      <c r="G265">
        <f t="shared" ca="1" si="9"/>
        <v>247</v>
      </c>
      <c r="H265" t="str">
        <f t="shared" si="8"/>
        <v/>
      </c>
    </row>
    <row r="266" spans="1:8" outlineLevel="1">
      <c r="A266" s="15"/>
      <c r="B266" s="15" t="s">
        <v>310</v>
      </c>
      <c r="C266" s="16" t="str">
        <f>"Dim wWord As Object" &amp; CHAR(10) &amp; "Set wWord = CreateObject(""Word.Application"")" &amp; CHAR(10) &amp; "wWord.Visible = False"</f>
        <v>Dim wWord As Object
Set wWord = CreateObject("Word.Application")
wWord.Visible = False</v>
      </c>
      <c r="D266" s="30" t="s">
        <v>393</v>
      </c>
      <c r="E266" s="17" t="s">
        <v>122</v>
      </c>
      <c r="F266" t="s">
        <v>122</v>
      </c>
      <c r="G266">
        <f t="shared" ca="1" si="9"/>
        <v>248</v>
      </c>
      <c r="H266" t="str">
        <f t="shared" si="8"/>
        <v>ワード起動</v>
      </c>
    </row>
    <row r="267" spans="1:8" outlineLevel="1">
      <c r="A267" s="15"/>
      <c r="B267" s="15" t="s">
        <v>313</v>
      </c>
      <c r="C267" s="16" t="str">
        <f>"dDoc.Close" &amp; CHAR(10) &amp; "Set dDoc = Nothing"</f>
        <v>dDoc.Close
Set dDoc = Nothing</v>
      </c>
      <c r="D267" s="30" t="s">
        <v>393</v>
      </c>
      <c r="E267" s="17" t="s">
        <v>122</v>
      </c>
      <c r="F267" t="s">
        <v>122</v>
      </c>
      <c r="G267">
        <f t="shared" ca="1" si="9"/>
        <v>249</v>
      </c>
      <c r="H267" t="str">
        <f t="shared" si="8"/>
        <v>ワードファイルを閉じる</v>
      </c>
    </row>
    <row r="268" spans="1:8" outlineLevel="1">
      <c r="A268" s="15"/>
      <c r="B268" s="15" t="s">
        <v>314</v>
      </c>
      <c r="C268" s="16" t="str">
        <f>"wWord.Visible = False" &amp; CHAR(10) &amp; "wWord.Quit" &amp; CHAR(10) &amp; "Set wWord = Nothing"</f>
        <v>wWord.Visible = False
wWord.Quit
Set wWord = Nothing</v>
      </c>
      <c r="D268" s="30" t="s">
        <v>393</v>
      </c>
      <c r="E268" s="17" t="s">
        <v>122</v>
      </c>
      <c r="F268" t="s">
        <v>122</v>
      </c>
      <c r="G268">
        <f t="shared" ca="1" si="9"/>
        <v>250</v>
      </c>
      <c r="H268" t="str">
        <f t="shared" si="8"/>
        <v>ワード終了</v>
      </c>
    </row>
    <row r="269" spans="1:8" outlineLevel="1">
      <c r="A269" s="15"/>
      <c r="B269" s="15" t="s">
        <v>311</v>
      </c>
      <c r="C269" s="16" t="str">
        <f>"Dim dDoc As Object" &amp; CHAR(10) &amp; "Set dDoc = wWord.Documents.Open(""sFilePath"")"</f>
        <v>Dim dDoc As Object
Set dDoc = wWord.Documents.Open("sFilePath")</v>
      </c>
      <c r="D269" s="30" t="s">
        <v>393</v>
      </c>
      <c r="E269" s="17" t="s">
        <v>122</v>
      </c>
      <c r="F269" t="s">
        <v>122</v>
      </c>
      <c r="G269">
        <f t="shared" ca="1" si="9"/>
        <v>251</v>
      </c>
      <c r="H269" t="str">
        <f t="shared" si="8"/>
        <v>ワードファイルを開く</v>
      </c>
    </row>
    <row r="270" spans="1:8" outlineLevel="1">
      <c r="A270" s="15"/>
      <c r="B270" s="15" t="s">
        <v>312</v>
      </c>
      <c r="C270" s="16" t="str">
        <f>"Dim sParagraph As Object" &amp; CHAR(10) &amp; "For Each sParagraph In dDoc.Paragraphs" &amp; CHAR(10) &amp; CHAR(9) &amp; "'～処理～" &amp; CHAR(10) &amp; "Next sParagraph"</f>
        <v>Dim sParagraph As Object
For Each sParagraph In dDoc.Paragraphs
	'～処理～
Next sParagraph</v>
      </c>
      <c r="D270" s="30" t="s">
        <v>393</v>
      </c>
      <c r="E270" s="17" t="s">
        <v>122</v>
      </c>
      <c r="F270" t="s">
        <v>122</v>
      </c>
      <c r="G270">
        <f t="shared" ca="1" si="9"/>
        <v>252</v>
      </c>
      <c r="H270" t="str">
        <f t="shared" si="8"/>
        <v>テキスト読み込み</v>
      </c>
    </row>
    <row r="271" spans="1:8" outlineLevel="1">
      <c r="A271" s="13" t="s">
        <v>347</v>
      </c>
      <c r="B271" s="13"/>
      <c r="C271" s="13"/>
      <c r="D271" s="13"/>
      <c r="E271" s="14" t="s">
        <v>122</v>
      </c>
      <c r="F271" t="s">
        <v>122</v>
      </c>
      <c r="G271">
        <f t="shared" ca="1" si="9"/>
        <v>252</v>
      </c>
      <c r="H271" t="str">
        <f t="shared" si="8"/>
        <v/>
      </c>
    </row>
    <row r="272" spans="1:8" outlineLevel="1">
      <c r="A272" s="15"/>
      <c r="B272" s="15" t="s">
        <v>2024</v>
      </c>
      <c r="C272" s="16" t="s">
        <v>2028</v>
      </c>
      <c r="D272" s="30" t="s">
        <v>393</v>
      </c>
      <c r="E272" s="17"/>
      <c r="F272" t="s">
        <v>122</v>
      </c>
      <c r="G272">
        <f t="shared" ref="G272:G279" ca="1" si="10">IF(H272="",OFFSET(G272,-1,0),OFFSET(G272,-1,0)+1)</f>
        <v>253</v>
      </c>
      <c r="H272" t="str">
        <f t="shared" si="8"/>
        <v>ブック指定（ブック名指定）</v>
      </c>
    </row>
    <row r="273" spans="1:8" outlineLevel="1">
      <c r="A273" s="15"/>
      <c r="B273" s="15" t="s">
        <v>2025</v>
      </c>
      <c r="C273" s="16" t="s">
        <v>2029</v>
      </c>
      <c r="D273" s="30" t="s">
        <v>393</v>
      </c>
      <c r="E273" s="17" t="s">
        <v>2030</v>
      </c>
      <c r="F273" t="s">
        <v>122</v>
      </c>
      <c r="G273">
        <f t="shared" ca="1" si="10"/>
        <v>254</v>
      </c>
      <c r="H273" t="str">
        <f t="shared" si="8"/>
        <v>ブック指定（インデックス指定）</v>
      </c>
    </row>
    <row r="274" spans="1:8" outlineLevel="1">
      <c r="A274" s="15"/>
      <c r="B274" s="15" t="s">
        <v>2026</v>
      </c>
      <c r="C274" s="16" t="s">
        <v>2031</v>
      </c>
      <c r="D274" s="30" t="s">
        <v>393</v>
      </c>
      <c r="E274" s="17"/>
      <c r="F274" t="s">
        <v>122</v>
      </c>
      <c r="G274">
        <f t="shared" ca="1" si="10"/>
        <v>255</v>
      </c>
      <c r="H274" t="str">
        <f t="shared" si="8"/>
        <v>ブック指定（アクティブ）</v>
      </c>
    </row>
    <row r="275" spans="1:8" outlineLevel="1">
      <c r="A275" s="15"/>
      <c r="B275" s="15" t="s">
        <v>2027</v>
      </c>
      <c r="C275" s="16" t="s">
        <v>2032</v>
      </c>
      <c r="D275" s="30" t="s">
        <v>393</v>
      </c>
      <c r="E275" s="17"/>
      <c r="F275" t="s">
        <v>122</v>
      </c>
      <c r="G275">
        <f t="shared" ca="1" si="10"/>
        <v>256</v>
      </c>
      <c r="H275" t="str">
        <f t="shared" si="8"/>
        <v>ブック指定（自ブック）</v>
      </c>
    </row>
    <row r="276" spans="1:8" outlineLevel="1">
      <c r="A276" s="15"/>
      <c r="B276" s="15" t="s">
        <v>2038</v>
      </c>
      <c r="C276" s="16" t="s">
        <v>2033</v>
      </c>
      <c r="D276" s="30" t="s">
        <v>393</v>
      </c>
      <c r="E276" s="17"/>
      <c r="F276" t="s">
        <v>122</v>
      </c>
      <c r="G276">
        <f t="shared" ca="1" si="10"/>
        <v>257</v>
      </c>
      <c r="H276" t="str">
        <f t="shared" si="8"/>
        <v>シート指定（シート名指定）</v>
      </c>
    </row>
    <row r="277" spans="1:8" outlineLevel="1">
      <c r="A277" s="15"/>
      <c r="B277" s="15" t="s">
        <v>2036</v>
      </c>
      <c r="C277" s="16" t="s">
        <v>2034</v>
      </c>
      <c r="D277" s="30" t="s">
        <v>393</v>
      </c>
      <c r="E277" s="17" t="s">
        <v>2030</v>
      </c>
      <c r="F277" t="s">
        <v>122</v>
      </c>
      <c r="G277">
        <f t="shared" ca="1" si="10"/>
        <v>258</v>
      </c>
      <c r="H277" t="str">
        <f t="shared" si="8"/>
        <v>シート指定（インデックス指定）</v>
      </c>
    </row>
    <row r="278" spans="1:8" outlineLevel="1">
      <c r="A278" s="15"/>
      <c r="B278" s="15" t="s">
        <v>2037</v>
      </c>
      <c r="C278" s="16" t="s">
        <v>2035</v>
      </c>
      <c r="D278" s="30" t="s">
        <v>393</v>
      </c>
      <c r="E278" s="17"/>
      <c r="F278" t="s">
        <v>122</v>
      </c>
      <c r="G278">
        <f ca="1">IF(H278="",OFFSET(G278,-1,0),OFFSET(G278,-1,0)+1)</f>
        <v>259</v>
      </c>
      <c r="H278" t="str">
        <f t="shared" si="8"/>
        <v>シート指定（アクティブ）</v>
      </c>
    </row>
    <row r="279" spans="1:8" outlineLevel="1">
      <c r="A279" s="15"/>
      <c r="B279" s="15" t="s">
        <v>2039</v>
      </c>
      <c r="C279" s="16" t="s">
        <v>2040</v>
      </c>
      <c r="D279" s="30" t="s">
        <v>393</v>
      </c>
      <c r="E279" s="17" t="s">
        <v>2041</v>
      </c>
      <c r="F279" t="s">
        <v>122</v>
      </c>
      <c r="G279">
        <f t="shared" ca="1" si="10"/>
        <v>260</v>
      </c>
      <c r="H279" t="str">
        <f t="shared" si="8"/>
        <v>シート指定（自シート）</v>
      </c>
    </row>
    <row r="280" spans="1:8" outlineLevel="1">
      <c r="A280" s="15"/>
      <c r="B280" s="15" t="s">
        <v>149</v>
      </c>
      <c r="C280" s="16" t="str">
        <f>"Dim wTrgtBook As Workbook"&amp;CHAR(10)&amp;"Application.SheetsInNewWorkbook = 1"&amp;CHAR(10)&amp;"Set wTrgtBook = Workbooks.Add"</f>
        <v>Dim wTrgtBook As Workbook
Application.SheetsInNewWorkbook = 1
Set wTrgtBook = Workbooks.Add</v>
      </c>
      <c r="D280" s="30" t="s">
        <v>393</v>
      </c>
      <c r="E280" s="17" t="s">
        <v>298</v>
      </c>
      <c r="F280" t="s">
        <v>122</v>
      </c>
      <c r="G280">
        <f t="shared" ca="1" si="9"/>
        <v>261</v>
      </c>
      <c r="H280" t="str">
        <f t="shared" si="8"/>
        <v>ブック作成</v>
      </c>
    </row>
    <row r="281" spans="1:8" outlineLevel="1">
      <c r="A281" s="15"/>
      <c r="B281" s="15" t="s">
        <v>150</v>
      </c>
      <c r="C281" s="16" t="str">
        <f>"If wCsvBook.Name &lt;&gt; Dir(""C:\Book1.xlsx"") Then"&amp;CHAR(10)&amp;CHAR(9)&amp;"処理"&amp;CHAR(10)&amp;"Else"&amp;CHAR(10)&amp;CHAR(9)&amp;"エラー"&amp;CHAR(10)&amp;"End If"</f>
        <v>If wCsvBook.Name &lt;&gt; Dir("C:\Book1.xlsx") Then
	処理
Else
	エラー
End If</v>
      </c>
      <c r="D281" s="30" t="s">
        <v>393</v>
      </c>
      <c r="E281" s="17" t="s">
        <v>122</v>
      </c>
      <c r="F281" t="s">
        <v>122</v>
      </c>
      <c r="G281">
        <f t="shared" ca="1" si="9"/>
        <v>262</v>
      </c>
      <c r="H281" t="str">
        <f t="shared" si="8"/>
        <v>ブック既に開いているか確認</v>
      </c>
    </row>
    <row r="282" spans="1:8" outlineLevel="1">
      <c r="A282" s="15"/>
      <c r="B282" s="15" t="s">
        <v>151</v>
      </c>
      <c r="C282" s="16" t="str">
        <f>"Dim bAddBook As Workbook"&amp;CHAR(10)&amp;"Set bAddBook = Workbooks.Add"</f>
        <v>Dim bAddBook As Workbook
Set bAddBook = Workbooks.Add</v>
      </c>
      <c r="D282" s="30" t="s">
        <v>393</v>
      </c>
      <c r="E282" s="17" t="s">
        <v>122</v>
      </c>
      <c r="F282" t="s">
        <v>122</v>
      </c>
      <c r="G282">
        <f t="shared" ca="1" si="9"/>
        <v>263</v>
      </c>
      <c r="H282" t="str">
        <f t="shared" si="8"/>
        <v>ブック追加</v>
      </c>
    </row>
    <row r="283" spans="1:8" outlineLevel="1">
      <c r="A283" s="15"/>
      <c r="B283" s="15" t="s">
        <v>152</v>
      </c>
      <c r="C283" s="16" t="str">
        <f>"ThisWorkbook.Sheets(シート名).Copy: Set wTrgtBook = ActiveWorkbook"</f>
        <v>ThisWorkbook.Sheets(シート名).Copy: Set wTrgtBook = ActiveWorkbook</v>
      </c>
      <c r="D283" s="30" t="s">
        <v>393</v>
      </c>
      <c r="E283" s="17" t="s">
        <v>122</v>
      </c>
      <c r="F283" t="s">
        <v>122</v>
      </c>
      <c r="G283">
        <f t="shared" ca="1" si="9"/>
        <v>264</v>
      </c>
      <c r="H283" t="str">
        <f t="shared" si="8"/>
        <v>ブック作成＆シートコピー</v>
      </c>
    </row>
    <row r="284" spans="1:8" outlineLevel="1">
      <c r="A284" s="15"/>
      <c r="B284" s="15" t="s">
        <v>153</v>
      </c>
      <c r="C284" s="16" t="str">
        <f>"wTrgtBook.SaveAs Filename:=sFilePath"</f>
        <v>wTrgtBook.SaveAs Filename:=sFilePath</v>
      </c>
      <c r="D284" s="30" t="s">
        <v>393</v>
      </c>
      <c r="E284" s="17" t="s">
        <v>122</v>
      </c>
      <c r="F284" t="s">
        <v>122</v>
      </c>
      <c r="G284">
        <f t="shared" ca="1" si="9"/>
        <v>265</v>
      </c>
      <c r="H284" t="str">
        <f t="shared" si="8"/>
        <v>ブック新規保存</v>
      </c>
    </row>
    <row r="285" spans="1:8" outlineLevel="1">
      <c r="A285" s="15"/>
      <c r="B285" s="15" t="s">
        <v>154</v>
      </c>
      <c r="C285" s="16" t="str">
        <f>".Sheets.Count"</f>
        <v>.Sheets.Count</v>
      </c>
      <c r="D285" s="30" t="s">
        <v>393</v>
      </c>
      <c r="E285" s="17" t="s">
        <v>122</v>
      </c>
      <c r="F285" t="s">
        <v>122</v>
      </c>
      <c r="G285">
        <f t="shared" ca="1" si="9"/>
        <v>266</v>
      </c>
      <c r="H285" t="str">
        <f t="shared" si="8"/>
        <v>シート数取得</v>
      </c>
    </row>
    <row r="286" spans="1:8" outlineLevel="1">
      <c r="A286" s="15"/>
      <c r="B286" s="15" t="s">
        <v>155</v>
      </c>
      <c r="C286" s="16" t="str">
        <f>"Dim shAddSht As Worksheet"&amp;CHAR(10)&amp;"Set shAddSht = ThisWorkbook.Sheets.Add"</f>
        <v>Dim shAddSht As Worksheet
Set shAddSht = ThisWorkbook.Sheets.Add</v>
      </c>
      <c r="D286" s="30" t="s">
        <v>393</v>
      </c>
      <c r="E286" s="17" t="s">
        <v>122</v>
      </c>
      <c r="F286" t="s">
        <v>122</v>
      </c>
      <c r="G286">
        <f t="shared" ca="1" si="9"/>
        <v>267</v>
      </c>
      <c r="H286" t="str">
        <f t="shared" si="8"/>
        <v>シート追加</v>
      </c>
    </row>
    <row r="287" spans="1:8" outlineLevel="1">
      <c r="A287" s="15"/>
      <c r="B287" s="15" t="s">
        <v>156</v>
      </c>
      <c r="C287" s="16" t="str">
        <f>"ThisWorkbook.Sheets(シート名).Move After:=ThisWorkbook.Sheets( ThisWorkbook.Sheets.Count )"</f>
        <v>ThisWorkbook.Sheets(シート名).Move After:=ThisWorkbook.Sheets( ThisWorkbook.Sheets.Count )</v>
      </c>
      <c r="D287" s="30" t="s">
        <v>393</v>
      </c>
      <c r="E287" s="17" t="s">
        <v>122</v>
      </c>
      <c r="F287" t="s">
        <v>122</v>
      </c>
      <c r="G287">
        <f t="shared" ca="1" si="9"/>
        <v>268</v>
      </c>
      <c r="H287" t="str">
        <f t="shared" si="8"/>
        <v>シート移動（末尾）</v>
      </c>
    </row>
    <row r="288" spans="1:8" outlineLevel="1">
      <c r="A288" s="15"/>
      <c r="B288" s="15" t="s">
        <v>157</v>
      </c>
      <c r="C288" s="16" t="str">
        <f>"Application.DisplayAlerts = False"&amp;CHAR(10)&amp;".Sheets(シート名).Delete"&amp;CHAR(10)&amp;"Application.DisplayAlerts = True"</f>
        <v>Application.DisplayAlerts = False
.Sheets(シート名).Delete
Application.DisplayAlerts = True</v>
      </c>
      <c r="D288" s="30" t="s">
        <v>393</v>
      </c>
      <c r="E288" s="17" t="s">
        <v>122</v>
      </c>
      <c r="F288" t="s">
        <v>122</v>
      </c>
      <c r="G288">
        <f t="shared" ca="1" si="9"/>
        <v>269</v>
      </c>
      <c r="H288" t="str">
        <f t="shared" si="8"/>
        <v>シート削除</v>
      </c>
    </row>
    <row r="289" spans="1:8" outlineLevel="1">
      <c r="A289" s="15"/>
      <c r="B289" s="15" t="s">
        <v>158</v>
      </c>
      <c r="C289" s="16" t="str">
        <f>".Sheets(シート名).Visible = (True\|False)"</f>
        <v>.Sheets(シート名).Visible = (True\|False)</v>
      </c>
      <c r="D289" s="30" t="s">
        <v>393</v>
      </c>
      <c r="E289" s="17" t="s">
        <v>122</v>
      </c>
      <c r="F289" t="s">
        <v>122</v>
      </c>
      <c r="G289">
        <f t="shared" ca="1" si="9"/>
        <v>270</v>
      </c>
      <c r="H289" t="str">
        <f t="shared" si="8"/>
        <v>シート表示/非表示</v>
      </c>
    </row>
    <row r="290" spans="1:8" outlineLevel="1">
      <c r="A290" s="15"/>
      <c r="B290" s="15" t="s">
        <v>159</v>
      </c>
      <c r="C290" s="16" t="str">
        <f>".Sheets(シート名).Move Before:=Sheets(1)"</f>
        <v>.Sheets(シート名).Move Before:=Sheets(1)</v>
      </c>
      <c r="D290" s="30" t="s">
        <v>393</v>
      </c>
      <c r="E290" s="17" t="s">
        <v>122</v>
      </c>
      <c r="F290" t="s">
        <v>122</v>
      </c>
      <c r="G290">
        <f t="shared" ca="1" si="9"/>
        <v>271</v>
      </c>
      <c r="H290" t="str">
        <f t="shared" si="8"/>
        <v>シート並べ替え</v>
      </c>
    </row>
    <row r="291" spans="1:8" outlineLevel="1">
      <c r="A291" s="15"/>
      <c r="B291" s="15" t="s">
        <v>965</v>
      </c>
      <c r="C291" s="16" t="str">
        <f>".Sheets(旧シート名).Name = 新シート名"</f>
        <v>.Sheets(旧シート名).Name = 新シート名</v>
      </c>
      <c r="D291" s="30" t="s">
        <v>393</v>
      </c>
      <c r="E291" s="17" t="s">
        <v>122</v>
      </c>
      <c r="F291" t="s">
        <v>122</v>
      </c>
      <c r="G291">
        <f t="shared" ca="1" si="9"/>
        <v>272</v>
      </c>
      <c r="H291" t="str">
        <f t="shared" si="8"/>
        <v>シート名変更</v>
      </c>
    </row>
    <row r="292" spans="1:8" outlineLevel="1">
      <c r="A292" s="15"/>
      <c r="B292" s="15" t="s">
        <v>160</v>
      </c>
      <c r="C292" s="16" t="str">
        <f>"Application.ScreenUpdating = True"</f>
        <v>Application.ScreenUpdating = True</v>
      </c>
      <c r="D292" s="30" t="s">
        <v>393</v>
      </c>
      <c r="E292" s="17" t="s">
        <v>122</v>
      </c>
      <c r="F292" t="s">
        <v>122</v>
      </c>
      <c r="G292">
        <f t="shared" ca="1" si="9"/>
        <v>273</v>
      </c>
      <c r="H292" t="str">
        <f t="shared" si="8"/>
        <v>画面表示 ON</v>
      </c>
    </row>
    <row r="293" spans="1:8" outlineLevel="1">
      <c r="A293" s="15"/>
      <c r="B293" s="15" t="s">
        <v>161</v>
      </c>
      <c r="C293" s="16" t="str">
        <f>"Application.ScreenUpdating = False"</f>
        <v>Application.ScreenUpdating = False</v>
      </c>
      <c r="D293" s="30" t="s">
        <v>393</v>
      </c>
      <c r="E293" s="17" t="s">
        <v>122</v>
      </c>
      <c r="F293" t="s">
        <v>122</v>
      </c>
      <c r="G293">
        <f t="shared" ca="1" si="9"/>
        <v>274</v>
      </c>
      <c r="H293" t="str">
        <f t="shared" si="8"/>
        <v>画面表示 OFF</v>
      </c>
    </row>
    <row r="294" spans="1:8" outlineLevel="1">
      <c r="A294" s="15"/>
      <c r="B294" s="15" t="s">
        <v>162</v>
      </c>
      <c r="C294" s="16" t="str">
        <f>"Application.Calculation = xlCalculationAutomatic"</f>
        <v>Application.Calculation = xlCalculationAutomatic</v>
      </c>
      <c r="D294" s="30" t="s">
        <v>393</v>
      </c>
      <c r="E294" s="17" t="s">
        <v>122</v>
      </c>
      <c r="F294" t="s">
        <v>122</v>
      </c>
      <c r="G294">
        <f t="shared" ca="1" si="9"/>
        <v>275</v>
      </c>
      <c r="H294" t="str">
        <f t="shared" si="8"/>
        <v>計算方法切替 自動</v>
      </c>
    </row>
    <row r="295" spans="1:8" outlineLevel="1">
      <c r="A295" s="15"/>
      <c r="B295" s="15" t="s">
        <v>163</v>
      </c>
      <c r="C295" s="16" t="str">
        <f>"Application.Calculation = xlCalculationManual"</f>
        <v>Application.Calculation = xlCalculationManual</v>
      </c>
      <c r="D295" s="30" t="s">
        <v>393</v>
      </c>
      <c r="E295" s="17" t="s">
        <v>122</v>
      </c>
      <c r="F295" t="s">
        <v>122</v>
      </c>
      <c r="G295">
        <f t="shared" ca="1" si="9"/>
        <v>276</v>
      </c>
      <c r="H295" t="str">
        <f t="shared" si="8"/>
        <v>計算方法切替 手動</v>
      </c>
    </row>
    <row r="296" spans="1:8" outlineLevel="1">
      <c r="A296" s="15"/>
      <c r="B296" s="15" t="s">
        <v>164</v>
      </c>
      <c r="C296" s="16" t="str">
        <f>"Application.Calculate"</f>
        <v>Application.Calculate</v>
      </c>
      <c r="D296" s="30" t="s">
        <v>393</v>
      </c>
      <c r="E296" s="17" t="s">
        <v>122</v>
      </c>
      <c r="F296" t="s">
        <v>122</v>
      </c>
      <c r="G296">
        <f t="shared" ca="1" si="9"/>
        <v>277</v>
      </c>
      <c r="H296" t="str">
        <f t="shared" si="8"/>
        <v>ブック再計算</v>
      </c>
    </row>
    <row r="297" spans="1:8" outlineLevel="1">
      <c r="A297" s="15"/>
      <c r="B297" s="15" t="s">
        <v>165</v>
      </c>
      <c r="C297" s="16" t="str">
        <f>"Application.CalculateFull"</f>
        <v>Application.CalculateFull</v>
      </c>
      <c r="D297" s="30" t="s">
        <v>393</v>
      </c>
      <c r="E297" s="17" t="s">
        <v>122</v>
      </c>
      <c r="F297" t="s">
        <v>122</v>
      </c>
      <c r="G297">
        <f t="shared" ca="1" si="9"/>
        <v>278</v>
      </c>
      <c r="H297" t="str">
        <f t="shared" si="8"/>
        <v>ブック強制再計算</v>
      </c>
    </row>
    <row r="298" spans="1:8" outlineLevel="1">
      <c r="A298" s="15"/>
      <c r="B298" s="15" t="s">
        <v>489</v>
      </c>
      <c r="C298" s="16" t="s">
        <v>490</v>
      </c>
      <c r="D298" s="30" t="s">
        <v>393</v>
      </c>
      <c r="E298" s="17" t="s">
        <v>491</v>
      </c>
      <c r="F298" t="s">
        <v>122</v>
      </c>
      <c r="G298">
        <f t="shared" ca="1" si="9"/>
        <v>279</v>
      </c>
      <c r="H298" t="str">
        <f t="shared" si="8"/>
        <v>範囲の共通部分取り出し</v>
      </c>
    </row>
    <row r="299" spans="1:8" outlineLevel="1">
      <c r="A299" s="15"/>
      <c r="B299" s="15" t="s">
        <v>487</v>
      </c>
      <c r="C299" s="16" t="s">
        <v>486</v>
      </c>
      <c r="D299" s="30" t="s">
        <v>393</v>
      </c>
      <c r="E299" s="17" t="s">
        <v>488</v>
      </c>
      <c r="F299" t="s">
        <v>122</v>
      </c>
      <c r="G299">
        <f t="shared" ca="1" si="9"/>
        <v>280</v>
      </c>
      <c r="H299" t="str">
        <f t="shared" si="8"/>
        <v>範囲チェック</v>
      </c>
    </row>
    <row r="300" spans="1:8">
      <c r="A300" s="12" t="s">
        <v>396</v>
      </c>
      <c r="B300" s="13"/>
      <c r="C300" s="13"/>
      <c r="D300" s="13"/>
      <c r="E300" s="14" t="s">
        <v>122</v>
      </c>
      <c r="F300" t="s">
        <v>122</v>
      </c>
      <c r="G300">
        <f t="shared" ca="1" si="9"/>
        <v>280</v>
      </c>
      <c r="H300" t="str">
        <f t="shared" si="8"/>
        <v/>
      </c>
    </row>
    <row r="301" spans="1:8" outlineLevel="1">
      <c r="A301" s="15"/>
      <c r="B301" s="15" t="s">
        <v>256</v>
      </c>
      <c r="C301" s="16" t="str">
        <f>"Application.DisplayAlerts = False"</f>
        <v>Application.DisplayAlerts = False</v>
      </c>
      <c r="D301" s="30" t="s">
        <v>393</v>
      </c>
      <c r="E301" s="17" t="s">
        <v>122</v>
      </c>
      <c r="F301" t="s">
        <v>122</v>
      </c>
      <c r="G301">
        <f t="shared" ca="1" si="9"/>
        <v>281</v>
      </c>
      <c r="H301" t="str">
        <f t="shared" si="8"/>
        <v>確認メッセージ抑制</v>
      </c>
    </row>
    <row r="302" spans="1:8" outlineLevel="1">
      <c r="A302" s="15"/>
      <c r="B302" s="15" t="s">
        <v>255</v>
      </c>
      <c r="C302" s="16" t="str">
        <f>"Application.DisplayAlerts = True"</f>
        <v>Application.DisplayAlerts = True</v>
      </c>
      <c r="D302" s="30" t="s">
        <v>393</v>
      </c>
      <c r="E302" s="17" t="s">
        <v>122</v>
      </c>
      <c r="F302" t="s">
        <v>122</v>
      </c>
      <c r="G302">
        <f t="shared" ca="1" si="9"/>
        <v>282</v>
      </c>
      <c r="H302" t="str">
        <f t="shared" si="8"/>
        <v>確認メッセージ表示</v>
      </c>
    </row>
    <row r="303" spans="1:8" outlineLevel="1">
      <c r="A303" s="15"/>
      <c r="B303" s="15" t="s">
        <v>166</v>
      </c>
      <c r="C303" s="16" t="str">
        <f>".Rows(2).Select"</f>
        <v>.Rows(2).Select</v>
      </c>
      <c r="D303" s="30" t="s">
        <v>393</v>
      </c>
      <c r="E303" s="17" t="s">
        <v>122</v>
      </c>
      <c r="F303" t="s">
        <v>122</v>
      </c>
      <c r="G303">
        <f t="shared" ca="1" si="9"/>
        <v>283</v>
      </c>
      <c r="H303" t="str">
        <f t="shared" si="8"/>
        <v>選択 行</v>
      </c>
    </row>
    <row r="304" spans="1:8" outlineLevel="1">
      <c r="A304" s="15"/>
      <c r="B304" s="15" t="s">
        <v>167</v>
      </c>
      <c r="C304" s="16" t="str">
        <f>".Columns(2).Select"</f>
        <v>.Columns(2).Select</v>
      </c>
      <c r="D304" s="30" t="s">
        <v>393</v>
      </c>
      <c r="E304" s="17" t="s">
        <v>122</v>
      </c>
      <c r="F304" t="s">
        <v>122</v>
      </c>
      <c r="G304">
        <f t="shared" ca="1" si="9"/>
        <v>284</v>
      </c>
      <c r="H304" t="str">
        <f t="shared" si="8"/>
        <v>選択 列</v>
      </c>
    </row>
    <row r="305" spans="1:8" outlineLevel="1">
      <c r="A305" s="15"/>
      <c r="B305" s="15" t="s">
        <v>168</v>
      </c>
      <c r="C305" s="16" t="str">
        <f>".Cells(1,1).Select"</f>
        <v>.Cells(1,1).Select</v>
      </c>
      <c r="D305" s="30" t="s">
        <v>393</v>
      </c>
      <c r="E305" s="17" t="s">
        <v>122</v>
      </c>
      <c r="F305" t="s">
        <v>122</v>
      </c>
      <c r="G305">
        <f t="shared" ca="1" si="9"/>
        <v>285</v>
      </c>
      <c r="H305" t="str">
        <f t="shared" si="8"/>
        <v>選択 セル</v>
      </c>
    </row>
    <row r="306" spans="1:8" outlineLevel="1">
      <c r="A306" s="15"/>
      <c r="B306" s="15" t="s">
        <v>169</v>
      </c>
      <c r="C306" s="16" t="str">
        <f>".Range(.Cells(lStrtRow, lStrtClm), .Cells(lLastRow, lLastClm)).Select"</f>
        <v>.Range(.Cells(lStrtRow, lStrtClm), .Cells(lLastRow, lLastClm)).Select</v>
      </c>
      <c r="D306" s="30" t="s">
        <v>393</v>
      </c>
      <c r="E306" s="17" t="s">
        <v>122</v>
      </c>
      <c r="F306" t="s">
        <v>122</v>
      </c>
      <c r="G306">
        <f t="shared" ca="1" si="9"/>
        <v>286</v>
      </c>
      <c r="H306" t="str">
        <f t="shared" si="8"/>
        <v>選択 範囲</v>
      </c>
    </row>
    <row r="307" spans="1:8" outlineLevel="1">
      <c r="A307" s="15"/>
      <c r="B307" s="15" t="s">
        <v>170</v>
      </c>
      <c r="C307" s="16" t="str">
        <f>".Cells.Find(""りんご"", LookAt:=xlWhole).Row"</f>
        <v>.Cells.Find("りんご", LookAt:=xlWhole).Row</v>
      </c>
      <c r="D307" s="30" t="s">
        <v>393</v>
      </c>
      <c r="E307" s="17" t="s">
        <v>122</v>
      </c>
      <c r="F307" t="s">
        <v>122</v>
      </c>
      <c r="G307">
        <f t="shared" ca="1" si="9"/>
        <v>287</v>
      </c>
      <c r="H307" t="str">
        <f t="shared" si="8"/>
        <v>セル検索（行番号取得）</v>
      </c>
    </row>
    <row r="308" spans="1:8" outlineLevel="1">
      <c r="A308" s="15"/>
      <c r="B308" s="15" t="s">
        <v>170</v>
      </c>
      <c r="C308" s="16" t="str">
        <f>".Cells.Find(""りんご"", LookAt:=xlWhole).Column"</f>
        <v>.Cells.Find("りんご", LookAt:=xlWhole).Column</v>
      </c>
      <c r="D308" s="30" t="s">
        <v>393</v>
      </c>
      <c r="E308" s="17" t="s">
        <v>122</v>
      </c>
      <c r="F308" t="s">
        <v>122</v>
      </c>
      <c r="G308">
        <f t="shared" ca="1" si="9"/>
        <v>288</v>
      </c>
      <c r="H308" t="str">
        <f t="shared" si="8"/>
        <v>セル検索（行番号取得）</v>
      </c>
    </row>
    <row r="309" spans="1:8" outlineLevel="1">
      <c r="A309" s="15"/>
      <c r="B309" s="15" t="s">
        <v>171</v>
      </c>
      <c r="C309" s="16" t="str">
        <f>".Cells(X, Y).Value"</f>
        <v>.Cells(X, Y).Value</v>
      </c>
      <c r="D309" s="30" t="s">
        <v>393</v>
      </c>
      <c r="E309" s="17" t="s">
        <v>299</v>
      </c>
      <c r="F309" t="s">
        <v>122</v>
      </c>
      <c r="G309">
        <f t="shared" ca="1" si="9"/>
        <v>289</v>
      </c>
      <c r="H309" t="str">
        <f t="shared" si="8"/>
        <v>セル参照方法</v>
      </c>
    </row>
    <row r="310" spans="1:8" outlineLevel="1">
      <c r="A310" s="15"/>
      <c r="B310" s="15" t="s">
        <v>172</v>
      </c>
      <c r="C310" s="16" t="str">
        <f>".Cells(1, 1).Top"</f>
        <v>.Cells(1, 1).Top</v>
      </c>
      <c r="D310" s="30" t="s">
        <v>393</v>
      </c>
      <c r="E310" s="17" t="s">
        <v>300</v>
      </c>
      <c r="F310" t="s">
        <v>122</v>
      </c>
      <c r="G310">
        <f t="shared" ca="1" si="9"/>
        <v>290</v>
      </c>
      <c r="H310" t="str">
        <f t="shared" si="8"/>
        <v>セル位置取得（Ｙ軸）</v>
      </c>
    </row>
    <row r="311" spans="1:8" outlineLevel="1">
      <c r="A311" s="15"/>
      <c r="B311" s="15" t="s">
        <v>173</v>
      </c>
      <c r="C311" s="16" t="str">
        <f>".Cells(1, 1).Left"</f>
        <v>.Cells(1, 1).Left</v>
      </c>
      <c r="D311" s="30" t="s">
        <v>393</v>
      </c>
      <c r="E311" s="17" t="s">
        <v>301</v>
      </c>
      <c r="F311" t="s">
        <v>122</v>
      </c>
      <c r="G311">
        <f t="shared" ca="1" si="9"/>
        <v>291</v>
      </c>
      <c r="H311" t="str">
        <f t="shared" si="8"/>
        <v>セル位置取得（Ｘ軸）</v>
      </c>
    </row>
    <row r="312" spans="1:8" outlineLevel="1">
      <c r="A312" s="15"/>
      <c r="B312" s="15" t="s">
        <v>174</v>
      </c>
      <c r="C312" s="16" t="str">
        <f>".Cells(1, 1).EntireRow.Delete Shift:=xlShiftUp"</f>
        <v>.Cells(1, 1).EntireRow.Delete Shift:=xlShiftUp</v>
      </c>
      <c r="D312" s="30" t="s">
        <v>393</v>
      </c>
      <c r="E312" s="17" t="s">
        <v>122</v>
      </c>
      <c r="F312" t="s">
        <v>122</v>
      </c>
      <c r="G312">
        <f t="shared" ca="1" si="9"/>
        <v>292</v>
      </c>
      <c r="H312" t="str">
        <f t="shared" si="8"/>
        <v>行削除</v>
      </c>
    </row>
    <row r="313" spans="1:8" outlineLevel="1">
      <c r="A313" s="15"/>
      <c r="B313" s="15" t="s">
        <v>175</v>
      </c>
      <c r="C313" s="16" t="str">
        <f>"Application.CutCopyMode = False"&amp;CHAR(10)&amp;".Range(""2:4"").Insert"</f>
        <v>Application.CutCopyMode = False
.Range("2:4").Insert</v>
      </c>
      <c r="D313" s="30" t="s">
        <v>393</v>
      </c>
      <c r="E313" s="17" t="s">
        <v>122</v>
      </c>
      <c r="F313" t="s">
        <v>122</v>
      </c>
      <c r="G313">
        <f t="shared" ca="1" si="9"/>
        <v>293</v>
      </c>
      <c r="H313" t="str">
        <f t="shared" si="8"/>
        <v>行追加</v>
      </c>
    </row>
    <row r="314" spans="1:8" outlineLevel="1">
      <c r="A314" s="15"/>
      <c r="B314" s="15" t="s">
        <v>176</v>
      </c>
      <c r="C314" s="16" t="str">
        <f>".Cells(行, 列).Font.Strikethrough"</f>
        <v>.Cells(行, 列).Font.Strikethrough</v>
      </c>
      <c r="D314" s="30" t="s">
        <v>393</v>
      </c>
      <c r="E314" s="17" t="s">
        <v>122</v>
      </c>
      <c r="F314" t="s">
        <v>122</v>
      </c>
      <c r="G314">
        <f t="shared" ca="1" si="9"/>
        <v>294</v>
      </c>
      <c r="H314" t="str">
        <f t="shared" si="8"/>
        <v>取消線取得</v>
      </c>
    </row>
    <row r="315" spans="1:8" outlineLevel="1">
      <c r="A315" s="15"/>
      <c r="B315" s="15" t="s">
        <v>177</v>
      </c>
      <c r="C315" s="16" t="str">
        <f>"wTrgtBook.Sheets(シート名).Activate"&amp;CHAR(10)&amp;"ActiveWindow.DisplayGridlines = False"</f>
        <v>wTrgtBook.Sheets(シート名).Activate
ActiveWindow.DisplayGridlines = False</v>
      </c>
      <c r="D315" s="30" t="s">
        <v>393</v>
      </c>
      <c r="E315" s="17" t="s">
        <v>122</v>
      </c>
      <c r="F315" t="s">
        <v>122</v>
      </c>
      <c r="G315">
        <f t="shared" ca="1" si="9"/>
        <v>295</v>
      </c>
      <c r="H315" t="str">
        <f t="shared" si="8"/>
        <v>枠線非表示</v>
      </c>
    </row>
    <row r="316" spans="1:8" outlineLevel="1">
      <c r="A316" s="15"/>
      <c r="B316" s="15" t="s">
        <v>178</v>
      </c>
      <c r="C316" s="16" t="str">
        <f>".Range(""A1"").EntireRow.Hidden"</f>
        <v>.Range("A1").EntireRow.Hidden</v>
      </c>
      <c r="D316" s="30" t="s">
        <v>393</v>
      </c>
      <c r="E316" s="17" t="s">
        <v>122</v>
      </c>
      <c r="F316" t="s">
        <v>122</v>
      </c>
      <c r="G316">
        <f t="shared" ca="1" si="9"/>
        <v>296</v>
      </c>
      <c r="H316" t="str">
        <f t="shared" si="8"/>
        <v>可視/不可視チェック（行）</v>
      </c>
    </row>
    <row r="317" spans="1:8" outlineLevel="1">
      <c r="A317" s="15"/>
      <c r="B317" s="15" t="s">
        <v>179</v>
      </c>
      <c r="C317" s="16" t="str">
        <f>".Range(""A1"").EntireColumn.Hidden"</f>
        <v>.Range("A1").EntireColumn.Hidden</v>
      </c>
      <c r="D317" s="30" t="s">
        <v>393</v>
      </c>
      <c r="E317" s="17" t="s">
        <v>122</v>
      </c>
      <c r="F317" t="s">
        <v>122</v>
      </c>
      <c r="G317">
        <f t="shared" ca="1" si="9"/>
        <v>297</v>
      </c>
      <c r="H317" t="str">
        <f t="shared" si="8"/>
        <v>可視/不可視チェック（列）</v>
      </c>
    </row>
    <row r="318" spans="1:8" outlineLevel="1">
      <c r="A318" s="15"/>
      <c r="B318" s="15" t="s">
        <v>334</v>
      </c>
      <c r="C318" s="16" t="str">
        <f>"If .Cells(1, 1).EntireRow.Hidden Or .Cells(1, 1).EntireColumn.Hidden Then
    '非表示セル
Else
    '表示セル
End If
"</f>
        <v xml:space="preserve">If .Cells(1, 1).EntireRow.Hidden Or .Cells(1, 1).EntireColumn.Hidden Then
    '非表示セル
Else
    '表示セル
End If
</v>
      </c>
      <c r="D318" s="30" t="s">
        <v>393</v>
      </c>
      <c r="E318" s="17" t="s">
        <v>122</v>
      </c>
      <c r="F318" t="s">
        <v>122</v>
      </c>
      <c r="G318">
        <f t="shared" ca="1" si="9"/>
        <v>298</v>
      </c>
      <c r="H318" t="str">
        <f t="shared" si="8"/>
        <v>非表示セル判定</v>
      </c>
    </row>
    <row r="319" spans="1:8" outlineLevel="1">
      <c r="A319" s="15"/>
      <c r="B319" s="15" t="s">
        <v>180</v>
      </c>
      <c r="C319" s="16" t="str">
        <f>"文字列変数 = .Range(""A1"").Font.Name"</f>
        <v>文字列変数 = .Range("A1").Font.Name</v>
      </c>
      <c r="D319" s="30" t="s">
        <v>393</v>
      </c>
      <c r="E319" s="17" t="s">
        <v>122</v>
      </c>
      <c r="F319" t="s">
        <v>122</v>
      </c>
      <c r="G319">
        <f t="shared" ca="1" si="9"/>
        <v>299</v>
      </c>
      <c r="H319" t="str">
        <f t="shared" si="8"/>
        <v>フォント名取得</v>
      </c>
    </row>
    <row r="320" spans="1:8" outlineLevel="1">
      <c r="A320" s="15"/>
      <c r="B320" s="15" t="s">
        <v>181</v>
      </c>
      <c r="C320" s="16" t="str">
        <f>".Range(""A1"").Font.Size = 14"</f>
        <v>.Range("A1").Font.Size = 14</v>
      </c>
      <c r="D320" s="30" t="s">
        <v>393</v>
      </c>
      <c r="E320" s="17" t="s">
        <v>122</v>
      </c>
      <c r="F320" t="s">
        <v>122</v>
      </c>
      <c r="G320">
        <f t="shared" ca="1" si="9"/>
        <v>300</v>
      </c>
      <c r="H320" t="str">
        <f t="shared" si="8"/>
        <v>フォントサイズ変更</v>
      </c>
    </row>
    <row r="321" spans="1:8" outlineLevel="1">
      <c r="A321" s="15"/>
      <c r="B321" s="15" t="s">
        <v>182</v>
      </c>
      <c r="C321" s="16" t="str">
        <f>".Range(""A1"").Font.Color = RGB(0, 255, 0)"</f>
        <v>.Range("A1").Font.Color = RGB(0, 255, 0)</v>
      </c>
      <c r="D321" s="30" t="s">
        <v>393</v>
      </c>
      <c r="E321" s="17" t="s">
        <v>122</v>
      </c>
      <c r="F321" t="s">
        <v>122</v>
      </c>
      <c r="G321">
        <f t="shared" ca="1" si="9"/>
        <v>301</v>
      </c>
      <c r="H321" t="str">
        <f t="shared" si="8"/>
        <v>フォントカラー変更</v>
      </c>
    </row>
    <row r="322" spans="1:8" outlineLevel="1">
      <c r="A322" s="15"/>
      <c r="B322" s="15" t="s">
        <v>183</v>
      </c>
      <c r="C322" s="16" t="str">
        <f>".Range(""A1"").Font.Bold = True"</f>
        <v>.Range("A1").Font.Bold = True</v>
      </c>
      <c r="D322" s="30" t="s">
        <v>393</v>
      </c>
      <c r="E322" s="17" t="s">
        <v>122</v>
      </c>
      <c r="F322" t="s">
        <v>122</v>
      </c>
      <c r="G322">
        <f t="shared" ca="1" si="9"/>
        <v>302</v>
      </c>
      <c r="H322" t="str">
        <f t="shared" si="8"/>
        <v>フォント太字変更</v>
      </c>
    </row>
    <row r="323" spans="1:8" outlineLevel="1">
      <c r="A323" s="15"/>
      <c r="B323" s="15" t="s">
        <v>184</v>
      </c>
      <c r="C323" s="16" t="str">
        <f>".Range(""A1"").Font.Underline = True"</f>
        <v>.Range("A1").Font.Underline = True</v>
      </c>
      <c r="D323" s="30" t="s">
        <v>393</v>
      </c>
      <c r="E323" s="17" t="s">
        <v>122</v>
      </c>
      <c r="F323" t="s">
        <v>122</v>
      </c>
      <c r="G323">
        <f t="shared" ca="1" si="9"/>
        <v>303</v>
      </c>
      <c r="H323" t="str">
        <f t="shared" si="8"/>
        <v>フォント下線変更</v>
      </c>
    </row>
    <row r="324" spans="1:8" outlineLevel="1">
      <c r="A324" s="15"/>
      <c r="B324" s="15" t="s">
        <v>185</v>
      </c>
      <c r="C324" s="16" t="str">
        <f>".Range(""A1"").Interior.Color = RGB(255, 255, 0)"</f>
        <v>.Range("A1").Interior.Color = RGB(255, 255, 0)</v>
      </c>
      <c r="D324" s="30" t="s">
        <v>393</v>
      </c>
      <c r="E324" s="17" t="s">
        <v>122</v>
      </c>
      <c r="F324" t="s">
        <v>122</v>
      </c>
      <c r="G324">
        <f t="shared" ca="1" si="9"/>
        <v>304</v>
      </c>
      <c r="H324" t="str">
        <f t="shared" ref="H324:H330" si="11">IF(B324="","",B324)</f>
        <v>背景色変更</v>
      </c>
    </row>
    <row r="325" spans="1:8" outlineLevel="1">
      <c r="A325" s="15"/>
      <c r="B325" s="15" t="s">
        <v>186</v>
      </c>
      <c r="C325" s="16" t="str">
        <f>".Range(""A1:C3"").Borders.LineStyle = xlContinuous"</f>
        <v>.Range("A1:C3").Borders.LineStyle = xlContinuous</v>
      </c>
      <c r="D325" s="30" t="s">
        <v>393</v>
      </c>
      <c r="E325" s="17" t="s">
        <v>122</v>
      </c>
      <c r="F325" t="s">
        <v>122</v>
      </c>
      <c r="G325">
        <f t="shared" ca="1" si="9"/>
        <v>305</v>
      </c>
      <c r="H325" t="str">
        <f t="shared" si="11"/>
        <v>罫線（格子）設定</v>
      </c>
    </row>
    <row r="326" spans="1:8" outlineLevel="1">
      <c r="A326" s="15"/>
      <c r="B326" s="15" t="s">
        <v>187</v>
      </c>
      <c r="C326" s="16" t="str">
        <f>".Range(""A1:C3"").MergeCells = True"</f>
        <v>.Range("A1:C3").MergeCells = True</v>
      </c>
      <c r="D326" s="30" t="s">
        <v>393</v>
      </c>
      <c r="E326" s="17" t="s">
        <v>122</v>
      </c>
      <c r="F326" t="s">
        <v>122</v>
      </c>
      <c r="G326">
        <f t="shared" ca="1" si="9"/>
        <v>306</v>
      </c>
      <c r="H326" t="str">
        <f t="shared" si="11"/>
        <v>セル結合</v>
      </c>
    </row>
    <row r="327" spans="1:8" outlineLevel="1">
      <c r="A327" s="15"/>
      <c r="B327" s="15" t="s">
        <v>188</v>
      </c>
      <c r="C327" s="16" t="str">
        <f>".Range(""A1:C3"").HorizontalAlignment = xlGeneral"</f>
        <v>.Range("A1:C3").HorizontalAlignment = xlGeneral</v>
      </c>
      <c r="D327" s="30" t="s">
        <v>393</v>
      </c>
      <c r="E327" s="17" t="s">
        <v>257</v>
      </c>
      <c r="F327" t="s">
        <v>122</v>
      </c>
      <c r="G327">
        <f t="shared" ca="1" si="9"/>
        <v>307</v>
      </c>
      <c r="H327" t="str">
        <f t="shared" si="11"/>
        <v>セル内 水平位置調整</v>
      </c>
    </row>
    <row r="328" spans="1:8" outlineLevel="1">
      <c r="A328" s="15"/>
      <c r="B328" s="15" t="s">
        <v>189</v>
      </c>
      <c r="C328" s="16" t="str">
        <f>".Range(""A1:C3"").VerticalAlignment = xlCenter"</f>
        <v>.Range("A1:C3").VerticalAlignment = xlCenter</v>
      </c>
      <c r="D328" s="30" t="s">
        <v>393</v>
      </c>
      <c r="E328" s="17" t="s">
        <v>190</v>
      </c>
      <c r="F328" t="s">
        <v>122</v>
      </c>
      <c r="G328">
        <f t="shared" ca="1" si="9"/>
        <v>308</v>
      </c>
      <c r="H328" t="str">
        <f t="shared" si="11"/>
        <v>セル内 垂直位置調整</v>
      </c>
    </row>
    <row r="329" spans="1:8" outlineLevel="1">
      <c r="A329" s="15"/>
      <c r="B329" s="15" t="s">
        <v>701</v>
      </c>
      <c r="C329" s="16" t="str">
        <f>".Cells(1, 列).End(xlDown).Row"</f>
        <v>.Cells(1, 列).End(xlDown).Row</v>
      </c>
      <c r="D329" s="30" t="s">
        <v>393</v>
      </c>
      <c r="E329" s="17" t="s">
        <v>122</v>
      </c>
      <c r="F329" t="s">
        <v>122</v>
      </c>
      <c r="G329">
        <f t="shared" ca="1" si="9"/>
        <v>309</v>
      </c>
      <c r="H329" t="str">
        <f t="shared" si="11"/>
        <v>先頭行取得</v>
      </c>
    </row>
    <row r="330" spans="1:8" outlineLevel="1">
      <c r="A330" s="15"/>
      <c r="B330" s="15" t="s">
        <v>702</v>
      </c>
      <c r="C330" s="16" t="str">
        <f>".Cells(行, 1).End(xlToRight).Column"</f>
        <v>.Cells(行, 1).End(xlToRight).Column</v>
      </c>
      <c r="D330" s="30" t="s">
        <v>393</v>
      </c>
      <c r="E330" s="17" t="s">
        <v>122</v>
      </c>
      <c r="F330" t="s">
        <v>122</v>
      </c>
      <c r="G330">
        <f t="shared" ca="1" si="9"/>
        <v>310</v>
      </c>
      <c r="H330" t="str">
        <f t="shared" si="11"/>
        <v>先頭列取得</v>
      </c>
    </row>
    <row r="331" spans="1:8" outlineLevel="1">
      <c r="A331" s="15"/>
      <c r="B331" s="15" t="s">
        <v>191</v>
      </c>
      <c r="C331" s="16" t="str">
        <f>".Cells(.Rows.Count, 列).End(xlUp).Row"</f>
        <v>.Cells(.Rows.Count, 列).End(xlUp).Row</v>
      </c>
      <c r="D331" s="30" t="s">
        <v>393</v>
      </c>
      <c r="E331" s="17" t="s">
        <v>122</v>
      </c>
      <c r="F331" t="s">
        <v>122</v>
      </c>
      <c r="G331">
        <f t="shared" ref="G331:G388" ca="1" si="12">IF(H331="",OFFSET(G331,-1,0),OFFSET(G331,-1,0)+1)</f>
        <v>311</v>
      </c>
      <c r="H331" t="str">
        <f t="shared" ref="H331:H388" si="13">IF(B331="","",B331)</f>
        <v>最終行取得</v>
      </c>
    </row>
    <row r="332" spans="1:8" outlineLevel="1">
      <c r="A332" s="15"/>
      <c r="B332" s="15" t="s">
        <v>192</v>
      </c>
      <c r="C332" s="16" t="str">
        <f>".Cells(行, .Columns.Count).End(xlToLeft).Column"</f>
        <v>.Cells(行, .Columns.Count).End(xlToLeft).Column</v>
      </c>
      <c r="D332" s="30" t="s">
        <v>393</v>
      </c>
      <c r="E332" s="17" t="s">
        <v>122</v>
      </c>
      <c r="F332" t="s">
        <v>122</v>
      </c>
      <c r="G332">
        <f t="shared" ca="1" si="12"/>
        <v>312</v>
      </c>
      <c r="H332" t="str">
        <f t="shared" si="13"/>
        <v>最終列取得</v>
      </c>
    </row>
    <row r="333" spans="1:8" outlineLevel="1">
      <c r="A333" s="15"/>
      <c r="B333" s="15" t="s">
        <v>193</v>
      </c>
      <c r="C333" s="16" t="str">
        <f>".Sheets(シート名).UsedRange.Rows.Count + 1"</f>
        <v>.Sheets(シート名).UsedRange.Rows.Count + 1</v>
      </c>
      <c r="D333" s="30" t="s">
        <v>393</v>
      </c>
      <c r="E333" s="17" t="s">
        <v>122</v>
      </c>
      <c r="F333" t="s">
        <v>122</v>
      </c>
      <c r="G333">
        <f t="shared" ca="1" si="12"/>
        <v>313</v>
      </c>
      <c r="H333" t="str">
        <f t="shared" si="13"/>
        <v>最終行取得（全列の中で最大）</v>
      </c>
    </row>
    <row r="334" spans="1:8" outlineLevel="1">
      <c r="A334" s="15"/>
      <c r="B334" s="15" t="s">
        <v>194</v>
      </c>
      <c r="C334" s="16" t="str">
        <f>".Sheets(シート名).UsedRange.Columns.Count + 1"</f>
        <v>.Sheets(シート名).UsedRange.Columns.Count + 1</v>
      </c>
      <c r="D334" s="30" t="s">
        <v>393</v>
      </c>
      <c r="E334" s="17" t="s">
        <v>122</v>
      </c>
      <c r="F334" t="s">
        <v>122</v>
      </c>
      <c r="G334">
        <f t="shared" ca="1" si="12"/>
        <v>314</v>
      </c>
      <c r="H334" t="str">
        <f t="shared" si="13"/>
        <v>最終列取得（全行の中で最大）</v>
      </c>
    </row>
    <row r="335" spans="1:8" outlineLevel="1">
      <c r="A335" s="15"/>
      <c r="B335" s="15" t="s">
        <v>195</v>
      </c>
      <c r="C335" s="16" t="str">
        <f>"Selection(1).Row"</f>
        <v>Selection(1).Row</v>
      </c>
      <c r="D335" s="30" t="s">
        <v>393</v>
      </c>
      <c r="E335" s="17" t="s">
        <v>122</v>
      </c>
      <c r="F335" t="s">
        <v>122</v>
      </c>
      <c r="G335">
        <f t="shared" ca="1" si="12"/>
        <v>315</v>
      </c>
      <c r="H335" t="str">
        <f t="shared" si="13"/>
        <v>選択範囲位置取得（先頭行）</v>
      </c>
    </row>
    <row r="336" spans="1:8" outlineLevel="1">
      <c r="A336" s="15"/>
      <c r="B336" s="15" t="s">
        <v>196</v>
      </c>
      <c r="C336" s="16" t="str">
        <f>"Selection(Selection.Count).Row"</f>
        <v>Selection(Selection.Count).Row</v>
      </c>
      <c r="D336" s="30" t="s">
        <v>393</v>
      </c>
      <c r="E336" s="17" t="s">
        <v>122</v>
      </c>
      <c r="F336" t="s">
        <v>122</v>
      </c>
      <c r="G336">
        <f t="shared" ca="1" si="12"/>
        <v>316</v>
      </c>
      <c r="H336" t="str">
        <f t="shared" si="13"/>
        <v>選択範囲位置取得（末尾行）</v>
      </c>
    </row>
    <row r="337" spans="1:8" outlineLevel="1">
      <c r="A337" s="15"/>
      <c r="B337" s="15" t="s">
        <v>197</v>
      </c>
      <c r="C337" s="16" t="str">
        <f>"Selection(1).Column"</f>
        <v>Selection(1).Column</v>
      </c>
      <c r="D337" s="30" t="s">
        <v>393</v>
      </c>
      <c r="E337" s="17" t="s">
        <v>122</v>
      </c>
      <c r="F337" t="s">
        <v>122</v>
      </c>
      <c r="G337">
        <f t="shared" ca="1" si="12"/>
        <v>317</v>
      </c>
      <c r="H337" t="str">
        <f t="shared" si="13"/>
        <v>選択範囲位置取得（先頭列）</v>
      </c>
    </row>
    <row r="338" spans="1:8" outlineLevel="1">
      <c r="A338" s="15"/>
      <c r="B338" s="15" t="s">
        <v>198</v>
      </c>
      <c r="C338" s="16" t="str">
        <f>"Selection(Selection.Count).Column"</f>
        <v>Selection(Selection.Count).Column</v>
      </c>
      <c r="D338" s="30" t="s">
        <v>393</v>
      </c>
      <c r="E338" s="17" t="s">
        <v>122</v>
      </c>
      <c r="F338" t="s">
        <v>122</v>
      </c>
      <c r="G338">
        <f t="shared" ca="1" si="12"/>
        <v>318</v>
      </c>
      <c r="H338" t="str">
        <f t="shared" si="13"/>
        <v>選択範囲位置取得（末尾列）</v>
      </c>
    </row>
    <row r="339" spans="1:8" outlineLevel="1">
      <c r="A339" s="15"/>
      <c r="B339" s="15" t="s">
        <v>323</v>
      </c>
      <c r="C339" s="16" t="s">
        <v>321</v>
      </c>
      <c r="D339" s="30" t="s">
        <v>393</v>
      </c>
      <c r="E339" s="17" t="s">
        <v>329</v>
      </c>
      <c r="F339" t="s">
        <v>122</v>
      </c>
      <c r="G339">
        <f t="shared" ca="1" si="12"/>
        <v>319</v>
      </c>
      <c r="H339" t="str">
        <f t="shared" si="13"/>
        <v>選択範囲数（複数セル選択時）</v>
      </c>
    </row>
    <row r="340" spans="1:8" outlineLevel="1">
      <c r="A340" s="15"/>
      <c r="B340" s="15" t="s">
        <v>324</v>
      </c>
      <c r="C340" s="16" t="s">
        <v>322</v>
      </c>
      <c r="D340" s="30" t="s">
        <v>393</v>
      </c>
      <c r="E340" s="17" t="s">
        <v>327</v>
      </c>
      <c r="F340" t="s">
        <v>122</v>
      </c>
      <c r="G340">
        <f t="shared" ca="1" si="12"/>
        <v>320</v>
      </c>
      <c r="H340" t="str">
        <f t="shared" si="13"/>
        <v>選択範囲内のセル数（複数セル選択時）</v>
      </c>
    </row>
    <row r="341" spans="1:8" outlineLevel="1">
      <c r="A341" s="15"/>
      <c r="B341" s="15" t="s">
        <v>325</v>
      </c>
      <c r="C341" s="16" t="s">
        <v>326</v>
      </c>
      <c r="D341" s="30" t="s">
        <v>393</v>
      </c>
      <c r="E341" s="17" t="s">
        <v>328</v>
      </c>
      <c r="F341" t="s">
        <v>122</v>
      </c>
      <c r="G341">
        <f t="shared" ca="1" si="12"/>
        <v>321</v>
      </c>
      <c r="H341" t="str">
        <f t="shared" si="13"/>
        <v>選択範囲内のセル値（複数セル選択時）</v>
      </c>
    </row>
    <row r="342" spans="1:8" outlineLevel="1">
      <c r="A342" s="15"/>
      <c r="B342" s="15" t="s">
        <v>199</v>
      </c>
      <c r="C342" s="16" t="str">
        <f>".Range(.Cells(1, 1), .Cells(6, 3))"</f>
        <v>.Range(.Cells(1, 1), .Cells(6, 3))</v>
      </c>
      <c r="D342" s="30" t="s">
        <v>393</v>
      </c>
      <c r="E342" s="17" t="s">
        <v>122</v>
      </c>
      <c r="F342" t="s">
        <v>122</v>
      </c>
      <c r="G342">
        <f t="shared" ca="1" si="12"/>
        <v>322</v>
      </c>
      <c r="H342" t="str">
        <f t="shared" si="13"/>
        <v>Rangeオブジェクトの行/列番号指定</v>
      </c>
    </row>
    <row r="343" spans="1:8" outlineLevel="1">
      <c r="A343" s="15"/>
      <c r="B343" s="15" t="s">
        <v>200</v>
      </c>
      <c r="C343" s="16" t="str">
        <f>".Range(""A1:B9"").Copy Destination:=ThisWorkBook.Sheets(シート名２).Range(""B1"")"</f>
        <v>.Range("A1:B9").Copy Destination:=ThisWorkBook.Sheets(シート名２).Range("B1")</v>
      </c>
      <c r="D343" s="30" t="s">
        <v>393</v>
      </c>
      <c r="E343" s="17" t="s">
        <v>122</v>
      </c>
      <c r="F343" t="s">
        <v>122</v>
      </c>
      <c r="G343">
        <f t="shared" ca="1" si="12"/>
        <v>323</v>
      </c>
      <c r="H343" t="str">
        <f t="shared" si="13"/>
        <v>セルコピー（書式保持）</v>
      </c>
    </row>
    <row r="344" spans="1:8" outlineLevel="1">
      <c r="A344" s="15"/>
      <c r="B344" s="15" t="s">
        <v>201</v>
      </c>
      <c r="C344" s="16" t="str">
        <f>".Range(.Cells(1, 1), .Cells(.Rows.Count, 2)).Sort Key1:=.Cells(1, 2) ,order1:=xlAscending"</f>
        <v>.Range(.Cells(1, 1), .Cells(.Rows.Count, 2)).Sort Key1:=.Cells(1, 2) ,order1:=xlAscending</v>
      </c>
      <c r="D344" s="30" t="s">
        <v>393</v>
      </c>
      <c r="E344" s="17" t="s">
        <v>122</v>
      </c>
      <c r="F344" t="s">
        <v>122</v>
      </c>
      <c r="G344">
        <f t="shared" ca="1" si="12"/>
        <v>324</v>
      </c>
      <c r="H344" t="str">
        <f t="shared" si="13"/>
        <v>セルソート</v>
      </c>
    </row>
    <row r="345" spans="1:8" outlineLevel="1">
      <c r="A345" s="15"/>
      <c r="B345" s="15" t="s">
        <v>202</v>
      </c>
      <c r="C345" s="16" t="str">
        <f>".Range(""A1:A2"").ClearContents"</f>
        <v>.Range("A1:A2").ClearContents</v>
      </c>
      <c r="D345" s="30" t="s">
        <v>393</v>
      </c>
      <c r="E345" s="17" t="s">
        <v>122</v>
      </c>
      <c r="F345" t="s">
        <v>122</v>
      </c>
      <c r="G345">
        <f t="shared" ca="1" si="12"/>
        <v>325</v>
      </c>
      <c r="H345" t="str">
        <f t="shared" si="13"/>
        <v>範囲セル 値クリア（書式そのまま）</v>
      </c>
    </row>
    <row r="346" spans="1:8" outlineLevel="1">
      <c r="A346" s="15"/>
      <c r="B346" s="15" t="s">
        <v>203</v>
      </c>
      <c r="C346" s="16" t="str">
        <f>".Range(""A1:A2"").ClearFormats"</f>
        <v>.Range("A1:A2").ClearFormats</v>
      </c>
      <c r="D346" s="30" t="s">
        <v>393</v>
      </c>
      <c r="E346" s="17" t="s">
        <v>122</v>
      </c>
      <c r="F346" t="s">
        <v>122</v>
      </c>
      <c r="G346">
        <f t="shared" ca="1" si="12"/>
        <v>326</v>
      </c>
      <c r="H346" t="str">
        <f t="shared" si="13"/>
        <v>範囲セル 書式クリア</v>
      </c>
    </row>
    <row r="347" spans="1:8" outlineLevel="1">
      <c r="A347" s="15"/>
      <c r="B347" s="15" t="s">
        <v>204</v>
      </c>
      <c r="C347" s="16" t="str">
        <f>".Range(""A1:A2"").PasteSpecial (xlPasteFormats)"</f>
        <v>.Range("A1:A2").PasteSpecial (xlPasteFormats)</v>
      </c>
      <c r="D347" s="30" t="s">
        <v>393</v>
      </c>
      <c r="E347" s="17" t="s">
        <v>190</v>
      </c>
      <c r="F347" t="s">
        <v>122</v>
      </c>
      <c r="G347">
        <f t="shared" ca="1" si="12"/>
        <v>327</v>
      </c>
      <c r="H347" t="str">
        <f t="shared" si="13"/>
        <v>範囲セル 書式貼り付け</v>
      </c>
    </row>
    <row r="348" spans="1:8" outlineLevel="1">
      <c r="A348" s="15"/>
      <c r="B348" s="15" t="s">
        <v>205</v>
      </c>
      <c r="C348" s="16" t="str">
        <f>".Range(""A1:CV100"").SpecialCells(xlCellTypeBlanks).Select"</f>
        <v>.Range("A1:CV100").SpecialCells(xlCellTypeBlanks).Select</v>
      </c>
      <c r="D348" s="30" t="s">
        <v>393</v>
      </c>
      <c r="E348" s="17" t="s">
        <v>122</v>
      </c>
      <c r="F348" t="s">
        <v>122</v>
      </c>
      <c r="G348">
        <f t="shared" ca="1" si="12"/>
        <v>328</v>
      </c>
      <c r="H348" t="str">
        <f t="shared" si="13"/>
        <v>空白セル選択</v>
      </c>
    </row>
    <row r="349" spans="1:8" outlineLevel="1">
      <c r="A349" s="15"/>
      <c r="B349" s="15" t="s">
        <v>206</v>
      </c>
      <c r="C349" s="16" t="str">
        <f>".Range(""A1"").ColumnWidth = 5"</f>
        <v>.Range("A1").ColumnWidth = 5</v>
      </c>
      <c r="D349" s="30" t="s">
        <v>393</v>
      </c>
      <c r="E349" s="17" t="s">
        <v>302</v>
      </c>
      <c r="F349" t="s">
        <v>122</v>
      </c>
      <c r="G349">
        <f t="shared" ca="1" si="12"/>
        <v>329</v>
      </c>
      <c r="H349" t="str">
        <f t="shared" si="13"/>
        <v>列幅変更</v>
      </c>
    </row>
    <row r="350" spans="1:8" outlineLevel="1">
      <c r="A350" s="15"/>
      <c r="B350" s="15" t="s">
        <v>207</v>
      </c>
      <c r="C350" s="16" t="str">
        <f>".Range(.Cells(4, 2), .Cells(9, 2)).Columns.AutoFit"</f>
        <v>.Range(.Cells(4, 2), .Cells(9, 2)).Columns.AutoFit</v>
      </c>
      <c r="D350" s="30" t="s">
        <v>393</v>
      </c>
      <c r="E350" s="17" t="s">
        <v>303</v>
      </c>
      <c r="F350" t="s">
        <v>122</v>
      </c>
      <c r="G350">
        <f t="shared" ca="1" si="12"/>
        <v>330</v>
      </c>
      <c r="H350" t="str">
        <f t="shared" si="13"/>
        <v>自動列幅調整</v>
      </c>
    </row>
    <row r="351" spans="1:8" outlineLevel="1">
      <c r="A351" s="15"/>
      <c r="B351" s="15" t="s">
        <v>208</v>
      </c>
      <c r="C351" s="16" t="str">
        <f>".Sheets(シート名).UsedRange.Columns.AutoFit"</f>
        <v>.Sheets(シート名).UsedRange.Columns.AutoFit</v>
      </c>
      <c r="D351" s="30" t="s">
        <v>393</v>
      </c>
      <c r="E351" s="17" t="s">
        <v>303</v>
      </c>
      <c r="F351" t="s">
        <v>122</v>
      </c>
      <c r="G351">
        <f t="shared" ca="1" si="12"/>
        <v>331</v>
      </c>
      <c r="H351" t="str">
        <f t="shared" si="13"/>
        <v>自動列幅調整（全領域）</v>
      </c>
    </row>
    <row r="352" spans="1:8" outlineLevel="1">
      <c r="A352" s="15"/>
      <c r="B352" s="15" t="s">
        <v>209</v>
      </c>
      <c r="C352" s="16" t="str">
        <f>"Application.CutCopyMode = False"</f>
        <v>Application.CutCopyMode = False</v>
      </c>
      <c r="D352" s="30" t="s">
        <v>393</v>
      </c>
      <c r="E352" s="17" t="s">
        <v>122</v>
      </c>
      <c r="F352" t="s">
        <v>122</v>
      </c>
      <c r="G352">
        <f t="shared" ca="1" si="12"/>
        <v>332</v>
      </c>
      <c r="H352" t="str">
        <f t="shared" si="13"/>
        <v>コピー/切り取りモード解除</v>
      </c>
    </row>
    <row r="353" spans="1:8" outlineLevel="1">
      <c r="A353" s="15"/>
      <c r="B353" s="15" t="s">
        <v>210</v>
      </c>
      <c r="C353" s="16" t="str">
        <f>".Range( .Rows( lStrtRow ), .Rows( lLastRow ) ).Group"</f>
        <v>.Range( .Rows( lStrtRow ), .Rows( lLastRow ) ).Group</v>
      </c>
      <c r="D353" s="30" t="s">
        <v>393</v>
      </c>
      <c r="E353" s="17" t="s">
        <v>304</v>
      </c>
      <c r="F353" t="s">
        <v>122</v>
      </c>
      <c r="G353">
        <f t="shared" ca="1" si="12"/>
        <v>333</v>
      </c>
      <c r="H353" t="str">
        <f t="shared" si="13"/>
        <v>グループ化（行）</v>
      </c>
    </row>
    <row r="354" spans="1:8" outlineLevel="1">
      <c r="A354" s="15"/>
      <c r="B354" s="15" t="s">
        <v>210</v>
      </c>
      <c r="C354" s="16" t="str">
        <f>".Range( .Columns( lStrtRow ), .Columns( lLastRow ) ).Group"</f>
        <v>.Range( .Columns( lStrtRow ), .Columns( lLastRow ) ).Group</v>
      </c>
      <c r="D354" s="30" t="s">
        <v>393</v>
      </c>
      <c r="E354" s="17" t="s">
        <v>304</v>
      </c>
      <c r="F354" t="s">
        <v>122</v>
      </c>
      <c r="G354">
        <f t="shared" ca="1" si="12"/>
        <v>334</v>
      </c>
      <c r="H354" t="str">
        <f t="shared" si="13"/>
        <v>グループ化（行）</v>
      </c>
    </row>
    <row r="355" spans="1:8" outlineLevel="1">
      <c r="A355" s="15"/>
      <c r="B355" s="15" t="s">
        <v>211</v>
      </c>
      <c r="C355" s="16" t="str">
        <f>".Sheets(シート名).Outline.SummaryRow = ( xlBelow \| xlAbove )"</f>
        <v>.Sheets(シート名).Outline.SummaryRow = ( xlBelow \| xlAbove )</v>
      </c>
      <c r="D355" s="30" t="s">
        <v>393</v>
      </c>
      <c r="E355" s="17" t="s">
        <v>122</v>
      </c>
      <c r="F355" t="s">
        <v>122</v>
      </c>
      <c r="G355">
        <f t="shared" ca="1" si="12"/>
        <v>335</v>
      </c>
      <c r="H355" t="str">
        <f t="shared" si="13"/>
        <v>アウトライン設定変更（上下）</v>
      </c>
    </row>
    <row r="356" spans="1:8" outlineLevel="1">
      <c r="A356" s="15"/>
      <c r="B356" s="15" t="s">
        <v>212</v>
      </c>
      <c r="C356" s="16" t="str">
        <f>".Sheets(シート名).Outline.SummaryColumn = ( xlRight \| xlLeft )"</f>
        <v>.Sheets(シート名).Outline.SummaryColumn = ( xlRight \| xlLeft )</v>
      </c>
      <c r="D356" s="30" t="s">
        <v>393</v>
      </c>
      <c r="E356" s="17" t="s">
        <v>122</v>
      </c>
      <c r="F356" t="s">
        <v>122</v>
      </c>
      <c r="G356">
        <f t="shared" ca="1" si="12"/>
        <v>336</v>
      </c>
      <c r="H356" t="str">
        <f t="shared" si="13"/>
        <v>アウトライン設定変更（左右）</v>
      </c>
    </row>
    <row r="357" spans="1:8" outlineLevel="1">
      <c r="A357" s="15"/>
      <c r="B357" s="15" t="s">
        <v>213</v>
      </c>
      <c r="C357" s="16" t="str">
        <f>".Sheets(シート名).Outline.AutomaticStyles = ( True \| False )"</f>
        <v>.Sheets(シート名).Outline.AutomaticStyles = ( True \| False )</v>
      </c>
      <c r="D357" s="30" t="s">
        <v>393</v>
      </c>
      <c r="E357" s="17" t="s">
        <v>122</v>
      </c>
      <c r="F357" t="s">
        <v>122</v>
      </c>
      <c r="G357">
        <f t="shared" ca="1" si="12"/>
        <v>337</v>
      </c>
      <c r="H357" t="str">
        <f t="shared" si="13"/>
        <v>アウトライン設定変更（自動）</v>
      </c>
    </row>
    <row r="358" spans="1:8" outlineLevel="1">
      <c r="A358" s="15"/>
      <c r="B358" s="15" t="s">
        <v>214</v>
      </c>
      <c r="C358" s="16" t="str">
        <f>".Range(.Cells(lStrtRow, lStrtClm), .Cells(lLastRow, lLastClm)).AutoFilter"</f>
        <v>.Range(.Cells(lStrtRow, lStrtClm), .Cells(lLastRow, lLastClm)).AutoFilter</v>
      </c>
      <c r="D358" s="30" t="s">
        <v>393</v>
      </c>
      <c r="E358" s="17" t="s">
        <v>122</v>
      </c>
      <c r="F358" t="s">
        <v>122</v>
      </c>
      <c r="G358">
        <f t="shared" ca="1" si="12"/>
        <v>338</v>
      </c>
      <c r="H358" t="str">
        <f t="shared" si="13"/>
        <v>オートフィルタ設定</v>
      </c>
    </row>
    <row r="359" spans="1:8" outlineLevel="1">
      <c r="A359" s="15"/>
      <c r="B359" s="15" t="s">
        <v>215</v>
      </c>
      <c r="C359" s="16" t="str">
        <f>".Rows(行).Select"&amp;CHAR(10)&amp;"ActiveWindow.FreezePanes = True"</f>
        <v>.Rows(行).Select
ActiveWindow.FreezePanes = True</v>
      </c>
      <c r="D359" s="30" t="s">
        <v>393</v>
      </c>
      <c r="E359" s="17" t="s">
        <v>122</v>
      </c>
      <c r="F359" t="s">
        <v>122</v>
      </c>
      <c r="G359">
        <f t="shared" ca="1" si="12"/>
        <v>339</v>
      </c>
      <c r="H359" t="str">
        <f t="shared" si="13"/>
        <v>ウィンドウ枠固定 設定(行)</v>
      </c>
    </row>
    <row r="360" spans="1:8" outlineLevel="1">
      <c r="A360" s="15"/>
      <c r="B360" s="15" t="s">
        <v>215</v>
      </c>
      <c r="C360" s="16" t="str">
        <f>".Columns(列).Select"&amp;CHAR(10)&amp;"ActiveWindow.FreezePanes = True"</f>
        <v>.Columns(列).Select
ActiveWindow.FreezePanes = True</v>
      </c>
      <c r="D360" s="30" t="s">
        <v>393</v>
      </c>
      <c r="E360" s="17" t="s">
        <v>122</v>
      </c>
      <c r="F360" t="s">
        <v>122</v>
      </c>
      <c r="G360">
        <f t="shared" ca="1" si="12"/>
        <v>340</v>
      </c>
      <c r="H360" t="str">
        <f t="shared" si="13"/>
        <v>ウィンドウ枠固定 設定(行)</v>
      </c>
    </row>
    <row r="361" spans="1:8" outlineLevel="1">
      <c r="A361" s="15"/>
      <c r="B361" s="15" t="s">
        <v>216</v>
      </c>
      <c r="C361" s="16" t="str">
        <f>".Cells(行,列).Select"&amp;CHAR(10)&amp;"ActiveWindow.FreezePanes = True"</f>
        <v>.Cells(行,列).Select
ActiveWindow.FreezePanes = True</v>
      </c>
      <c r="D361" s="30" t="s">
        <v>393</v>
      </c>
      <c r="E361" s="17" t="s">
        <v>122</v>
      </c>
      <c r="F361" t="s">
        <v>122</v>
      </c>
      <c r="G361">
        <f t="shared" ca="1" si="12"/>
        <v>341</v>
      </c>
      <c r="H361" t="str">
        <f t="shared" si="13"/>
        <v>ウィンドウ枠固定 設定(セル)</v>
      </c>
    </row>
    <row r="362" spans="1:8" outlineLevel="1">
      <c r="A362" s="15"/>
      <c r="B362" s="15" t="s">
        <v>217</v>
      </c>
      <c r="C362" s="16" t="str">
        <f>"ActiveWindow.FreezePanes = False"</f>
        <v>ActiveWindow.FreezePanes = False</v>
      </c>
      <c r="D362" s="30" t="s">
        <v>393</v>
      </c>
      <c r="E362" s="17" t="s">
        <v>122</v>
      </c>
      <c r="F362" t="s">
        <v>122</v>
      </c>
      <c r="G362">
        <f t="shared" ca="1" si="12"/>
        <v>342</v>
      </c>
      <c r="H362" t="str">
        <f t="shared" si="13"/>
        <v>ウィンドウ枠固定 解除</v>
      </c>
    </row>
    <row r="363" spans="1:8" outlineLevel="1">
      <c r="A363" s="15"/>
      <c r="B363" s="15" t="s">
        <v>247</v>
      </c>
      <c r="C363" s="16" t="str">
        <f>"Application.WorksheetFunction.VLookup(.Range(""C1""), .Range(""A1:B7""), 2, False)"</f>
        <v>Application.WorksheetFunction.VLookup(.Range("C1"), .Range("A1:B7"), 2, False)</v>
      </c>
      <c r="D363" s="30" t="s">
        <v>393</v>
      </c>
      <c r="E363" s="17" t="s">
        <v>122</v>
      </c>
      <c r="F363" t="s">
        <v>122</v>
      </c>
      <c r="G363">
        <f t="shared" ca="1" si="12"/>
        <v>343</v>
      </c>
      <c r="H363" t="str">
        <f t="shared" si="13"/>
        <v>ワークシート関数</v>
      </c>
    </row>
    <row r="364" spans="1:8" outlineLevel="1">
      <c r="A364" s="15"/>
      <c r="B364" s="15" t="s">
        <v>121</v>
      </c>
      <c r="C364" s="16" t="str">
        <f>"CreateObject(""WScript.Network"").UserName"</f>
        <v>CreateObject("WScript.Network").UserName</v>
      </c>
      <c r="D364" s="30" t="s">
        <v>393</v>
      </c>
      <c r="E364" s="17" t="s">
        <v>128</v>
      </c>
      <c r="F364" t="s">
        <v>122</v>
      </c>
      <c r="G364">
        <f t="shared" ca="1" si="12"/>
        <v>344</v>
      </c>
      <c r="H364" t="str">
        <f t="shared" si="13"/>
        <v>ユーザー名取得</v>
      </c>
    </row>
    <row r="365" spans="1:8" outlineLevel="1">
      <c r="A365" s="15"/>
      <c r="B365" s="15" t="s">
        <v>336</v>
      </c>
      <c r="C365" s="16" t="s">
        <v>335</v>
      </c>
      <c r="D365" s="30" t="s">
        <v>393</v>
      </c>
      <c r="E365" s="42" t="str">
        <f>HYPERLINK("https://msdn.microsoft.com/ja-jp/library/office/ff197461.aspx","sShtcutKey＝Shift:+,Ctrl:^,Alt:%,...")</f>
        <v>sShtcutKey＝Shift:+,Ctrl:^,Alt:%,...</v>
      </c>
      <c r="F365" t="s">
        <v>122</v>
      </c>
      <c r="G365">
        <f t="shared" ca="1" si="12"/>
        <v>345</v>
      </c>
      <c r="H365" t="str">
        <f t="shared" si="13"/>
        <v>ショートカットキー設定</v>
      </c>
    </row>
    <row r="366" spans="1:8" outlineLevel="1">
      <c r="A366" s="15"/>
      <c r="B366" s="15" t="s">
        <v>653</v>
      </c>
      <c r="C366" s="16" t="s">
        <v>651</v>
      </c>
      <c r="D366" s="30" t="s">
        <v>393</v>
      </c>
      <c r="E366" s="17"/>
      <c r="F366" t="s">
        <v>122</v>
      </c>
      <c r="G366">
        <f t="shared" ca="1" si="12"/>
        <v>346</v>
      </c>
      <c r="H366" t="str">
        <f t="shared" si="13"/>
        <v>ステータスバー表示</v>
      </c>
    </row>
    <row r="367" spans="1:8" outlineLevel="1">
      <c r="A367" s="15"/>
      <c r="B367" s="15" t="s">
        <v>652</v>
      </c>
      <c r="C367" s="16" t="s">
        <v>654</v>
      </c>
      <c r="D367" s="30" t="s">
        <v>393</v>
      </c>
      <c r="E367" s="17"/>
      <c r="F367" t="s">
        <v>122</v>
      </c>
      <c r="G367">
        <f t="shared" ca="1" si="12"/>
        <v>347</v>
      </c>
      <c r="H367" t="str">
        <f t="shared" si="13"/>
        <v>ステータスバー非表示</v>
      </c>
    </row>
    <row r="368" spans="1:8" outlineLevel="1">
      <c r="A368" s="15"/>
      <c r="B368" s="15" t="s">
        <v>706</v>
      </c>
      <c r="C368"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D368" s="30" t="s">
        <v>393</v>
      </c>
      <c r="E368" s="17" t="s">
        <v>707</v>
      </c>
      <c r="F368" t="s">
        <v>122</v>
      </c>
      <c r="G368">
        <f t="shared" ca="1" si="12"/>
        <v>348</v>
      </c>
      <c r="H368" t="str">
        <f t="shared" si="13"/>
        <v>オブジェクト位置取得</v>
      </c>
    </row>
    <row r="369" spans="1:8" outlineLevel="1">
      <c r="A369" s="15"/>
      <c r="B369" s="15" t="s">
        <v>733</v>
      </c>
      <c r="C369" s="16" t="s">
        <v>734</v>
      </c>
      <c r="D369" s="30" t="s">
        <v>393</v>
      </c>
      <c r="E369" s="17" t="s">
        <v>122</v>
      </c>
      <c r="F369" t="s">
        <v>122</v>
      </c>
      <c r="G369">
        <f t="shared" ca="1" si="12"/>
        <v>349</v>
      </c>
      <c r="H369" t="str">
        <f t="shared" si="13"/>
        <v>セルコメント 有無判定</v>
      </c>
    </row>
    <row r="370" spans="1:8" outlineLevel="1">
      <c r="A370" s="15"/>
      <c r="B370" s="15" t="s">
        <v>737</v>
      </c>
      <c r="C370" s="16" t="s">
        <v>738</v>
      </c>
      <c r="D370" s="30" t="s">
        <v>393</v>
      </c>
      <c r="E370" s="17" t="s">
        <v>122</v>
      </c>
      <c r="F370" t="s">
        <v>122</v>
      </c>
      <c r="G370">
        <f t="shared" ca="1" si="12"/>
        <v>350</v>
      </c>
      <c r="H370" t="str">
        <f t="shared" si="13"/>
        <v>セルコメント 追加</v>
      </c>
    </row>
    <row r="371" spans="1:8" outlineLevel="1">
      <c r="A371" s="15"/>
      <c r="B371" s="15" t="s">
        <v>731</v>
      </c>
      <c r="C371" s="16" t="s">
        <v>736</v>
      </c>
      <c r="D371" s="30" t="s">
        <v>393</v>
      </c>
      <c r="E371" s="17" t="s">
        <v>122</v>
      </c>
      <c r="F371" t="s">
        <v>122</v>
      </c>
      <c r="G371">
        <f t="shared" ca="1" si="12"/>
        <v>351</v>
      </c>
      <c r="H371" t="str">
        <f t="shared" si="13"/>
        <v>セルコメント 編集</v>
      </c>
    </row>
    <row r="372" spans="1:8" outlineLevel="1">
      <c r="A372" s="15"/>
      <c r="B372" s="15" t="s">
        <v>732</v>
      </c>
      <c r="C372" s="16" t="s">
        <v>735</v>
      </c>
      <c r="D372" s="30" t="s">
        <v>393</v>
      </c>
      <c r="E372" s="17" t="s">
        <v>122</v>
      </c>
      <c r="F372" t="s">
        <v>122</v>
      </c>
      <c r="G372">
        <f t="shared" ca="1" si="12"/>
        <v>352</v>
      </c>
      <c r="H372" t="str">
        <f t="shared" si="13"/>
        <v>セルコメント 書式設定</v>
      </c>
    </row>
    <row r="373" spans="1:8">
      <c r="A373" s="12" t="s">
        <v>457</v>
      </c>
      <c r="B373" s="13"/>
      <c r="C373" s="13"/>
      <c r="D373" s="13"/>
      <c r="E373" s="13" t="s">
        <v>122</v>
      </c>
      <c r="F373" t="s">
        <v>122</v>
      </c>
      <c r="G373">
        <f t="shared" ca="1" si="12"/>
        <v>352</v>
      </c>
      <c r="H373" t="str">
        <f t="shared" si="13"/>
        <v/>
      </c>
    </row>
    <row r="374" spans="1:8" outlineLevel="1">
      <c r="A374" s="15"/>
      <c r="B374" s="15" t="s">
        <v>454</v>
      </c>
      <c r="C374"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D374" s="30" t="s">
        <v>393</v>
      </c>
      <c r="E374" s="17" t="s">
        <v>122</v>
      </c>
      <c r="G374">
        <f t="shared" ca="1" si="12"/>
        <v>353</v>
      </c>
      <c r="H374" t="str">
        <f t="shared" si="13"/>
        <v>シート存在確認</v>
      </c>
    </row>
    <row r="375" spans="1:8" outlineLevel="1">
      <c r="A375" s="15"/>
      <c r="B375" s="15" t="s">
        <v>455</v>
      </c>
      <c r="C375"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D375" s="30" t="s">
        <v>393</v>
      </c>
      <c r="E375" s="17" t="s">
        <v>122</v>
      </c>
      <c r="G375">
        <f t="shared" ca="1" si="12"/>
        <v>354</v>
      </c>
      <c r="H375" t="str">
        <f t="shared" si="13"/>
        <v>セル検索</v>
      </c>
    </row>
    <row r="376" spans="1:8" outlineLevel="1">
      <c r="A376" s="15"/>
      <c r="B376" s="15"/>
      <c r="C376" s="16"/>
      <c r="D376" s="16"/>
      <c r="E376" s="17" t="s">
        <v>122</v>
      </c>
      <c r="G376">
        <f t="shared" ca="1" si="12"/>
        <v>354</v>
      </c>
      <c r="H376" t="str">
        <f t="shared" si="13"/>
        <v/>
      </c>
    </row>
    <row r="377" spans="1:8" outlineLevel="1">
      <c r="A377" s="15"/>
      <c r="B377" s="15"/>
      <c r="C377" s="16"/>
      <c r="D377" s="16"/>
      <c r="E377" s="17" t="s">
        <v>122</v>
      </c>
      <c r="G377">
        <f t="shared" ca="1" si="12"/>
        <v>354</v>
      </c>
      <c r="H377" t="str">
        <f t="shared" si="13"/>
        <v/>
      </c>
    </row>
    <row r="378" spans="1:8" outlineLevel="1">
      <c r="A378" s="15"/>
      <c r="B378" s="15"/>
      <c r="C378" s="16"/>
      <c r="D378" s="16"/>
      <c r="E378" s="17" t="s">
        <v>122</v>
      </c>
      <c r="G378">
        <f t="shared" ca="1" si="12"/>
        <v>354</v>
      </c>
      <c r="H378" t="str">
        <f t="shared" si="13"/>
        <v/>
      </c>
    </row>
    <row r="379" spans="1:8" outlineLevel="1">
      <c r="A379" s="15"/>
      <c r="B379" s="15"/>
      <c r="C379" s="16"/>
      <c r="D379" s="16"/>
      <c r="E379" s="17" t="s">
        <v>122</v>
      </c>
      <c r="G379">
        <f t="shared" ca="1" si="12"/>
        <v>354</v>
      </c>
      <c r="H379" t="str">
        <f t="shared" si="13"/>
        <v/>
      </c>
    </row>
    <row r="380" spans="1:8" outlineLevel="1">
      <c r="A380" s="15"/>
      <c r="B380" s="15"/>
      <c r="C380" s="16"/>
      <c r="D380" s="16"/>
      <c r="E380" s="17" t="s">
        <v>122</v>
      </c>
      <c r="G380">
        <f t="shared" ca="1" si="12"/>
        <v>354</v>
      </c>
      <c r="H380" t="str">
        <f t="shared" si="13"/>
        <v/>
      </c>
    </row>
    <row r="381" spans="1:8" outlineLevel="1">
      <c r="A381" s="15"/>
      <c r="B381" s="15"/>
      <c r="C381" s="16"/>
      <c r="D381" s="16"/>
      <c r="E381" s="17" t="s">
        <v>122</v>
      </c>
      <c r="G381">
        <f t="shared" ca="1" si="12"/>
        <v>354</v>
      </c>
      <c r="H381" t="str">
        <f t="shared" si="13"/>
        <v/>
      </c>
    </row>
    <row r="382" spans="1:8" outlineLevel="1">
      <c r="A382" s="15"/>
      <c r="B382" s="15"/>
      <c r="C382" s="16"/>
      <c r="D382" s="16"/>
      <c r="E382" s="17" t="s">
        <v>122</v>
      </c>
      <c r="G382">
        <f t="shared" ca="1" si="12"/>
        <v>354</v>
      </c>
      <c r="H382" t="str">
        <f t="shared" si="13"/>
        <v/>
      </c>
    </row>
    <row r="383" spans="1:8" outlineLevel="1">
      <c r="A383" s="15"/>
      <c r="B383" s="15"/>
      <c r="C383" s="16"/>
      <c r="D383" s="16"/>
      <c r="E383" s="17" t="s">
        <v>122</v>
      </c>
      <c r="G383">
        <f t="shared" ca="1" si="12"/>
        <v>354</v>
      </c>
      <c r="H383" t="str">
        <f t="shared" si="13"/>
        <v/>
      </c>
    </row>
    <row r="384" spans="1:8" outlineLevel="1">
      <c r="A384" s="15"/>
      <c r="B384" s="15"/>
      <c r="C384" s="16"/>
      <c r="D384" s="16"/>
      <c r="E384" s="17" t="s">
        <v>122</v>
      </c>
      <c r="G384">
        <f t="shared" ca="1" si="12"/>
        <v>354</v>
      </c>
      <c r="H384" t="str">
        <f t="shared" si="13"/>
        <v/>
      </c>
    </row>
    <row r="385" spans="1:8" outlineLevel="1">
      <c r="A385" s="15"/>
      <c r="B385" s="15"/>
      <c r="C385" s="16"/>
      <c r="D385" s="16"/>
      <c r="E385" s="17" t="s">
        <v>122</v>
      </c>
      <c r="G385">
        <f t="shared" ca="1" si="12"/>
        <v>354</v>
      </c>
      <c r="H385" t="str">
        <f t="shared" si="13"/>
        <v/>
      </c>
    </row>
    <row r="386" spans="1:8" outlineLevel="1">
      <c r="A386" s="15"/>
      <c r="B386" s="15"/>
      <c r="C386" s="16"/>
      <c r="D386" s="16"/>
      <c r="E386" s="17" t="s">
        <v>122</v>
      </c>
      <c r="G386">
        <f t="shared" ca="1" si="12"/>
        <v>354</v>
      </c>
      <c r="H386" t="str">
        <f t="shared" si="13"/>
        <v/>
      </c>
    </row>
    <row r="387" spans="1:8" outlineLevel="1">
      <c r="A387" s="15"/>
      <c r="B387" s="15"/>
      <c r="C387" s="16"/>
      <c r="D387" s="16"/>
      <c r="E387" s="17" t="s">
        <v>122</v>
      </c>
      <c r="G387">
        <f t="shared" ca="1" si="12"/>
        <v>354</v>
      </c>
      <c r="H387" t="str">
        <f t="shared" si="13"/>
        <v/>
      </c>
    </row>
    <row r="388" spans="1:8" outlineLevel="1">
      <c r="A388" s="15"/>
      <c r="B388" s="15"/>
      <c r="C388" s="16"/>
      <c r="D388" s="16"/>
      <c r="E388" s="17" t="s">
        <v>122</v>
      </c>
      <c r="G388">
        <f t="shared" ca="1" si="12"/>
        <v>354</v>
      </c>
      <c r="H388" t="str">
        <f t="shared" si="13"/>
        <v/>
      </c>
    </row>
    <row r="389" spans="1:8">
      <c r="A389" t="s">
        <v>412</v>
      </c>
      <c r="B389" t="s">
        <v>412</v>
      </c>
      <c r="C389" t="s">
        <v>412</v>
      </c>
      <c r="D389" t="s">
        <v>412</v>
      </c>
      <c r="E389" t="s">
        <v>412</v>
      </c>
    </row>
  </sheetData>
  <autoFilter ref="A2:E2" xr:uid="{8778A135-8AEC-4627-8764-24E51DD70D16}"/>
  <phoneticPr fontId="4"/>
  <hyperlinks>
    <hyperlink ref="E31" r:id="rId1" xr:uid="{51FF9B99-DDF0-482F-A859-99967CEF1640}"/>
    <hyperlink ref="E68" r:id="rId2" xr:uid="{1379D4F3-77ED-4F19-AE19-501879C3D708}"/>
    <hyperlink ref="E162" r:id="rId3" xr:uid="{E05C5702-9A7D-43B3-950C-6EA66C521D18}"/>
    <hyperlink ref="E187" r:id="rId4" display="32 (※)値の意味は [【ファイル・フォルダ情報取得】](https://github.com/draemonash2/codes/blob/master/vbs/lib/FileSystem.vbs) 参照" xr:uid="{647131FE-1804-4878-A961-C3C030D11B35}"/>
    <hyperlink ref="E16" r:id="rId5" xr:uid="{EEECD844-9995-41FF-8F72-318386FA2ED9}"/>
  </hyperlinks>
  <pageMargins left="0.7" right="0.7" top="0.75" bottom="0.75" header="0.3" footer="0.3"/>
  <pageSetup paperSize="9" scale="37" orientation="portrait" r:id="rId6"/>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J440"/>
  <sheetViews>
    <sheetView showGridLines="0" view="pageBreakPreview" zoomScaleNormal="100" zoomScaleSheetLayoutView="100" workbookViewId="0">
      <pane xSplit="2" ySplit="2" topLeftCell="C237" activePane="bottomRight" state="frozen"/>
      <selection pane="topRight" activeCell="L1" sqref="L1"/>
      <selection pane="bottomLeft" activeCell="A2" sqref="A2"/>
      <selection pane="bottomRight" activeCell="C319" sqref="C319"/>
    </sheetView>
  </sheetViews>
  <sheetFormatPr defaultColWidth="9.33203125" defaultRowHeight="11.25" customHeight="1" outlineLevelRow="1"/>
  <cols>
    <col min="1" max="1" width="3.83203125" customWidth="1"/>
    <col min="2" max="2" width="60.33203125" bestFit="1" customWidth="1"/>
    <col min="3" max="3" width="83.6640625" customWidth="1"/>
    <col min="4" max="5" width="11" style="2" customWidth="1"/>
    <col min="6" max="6" width="38.6640625" customWidth="1"/>
    <col min="7" max="7" width="72.83203125" customWidth="1"/>
    <col min="10" max="10" width="10" style="11" bestFit="1" customWidth="1"/>
  </cols>
  <sheetData>
    <row r="1" spans="1:10" ht="11.25" customHeight="1">
      <c r="A1" s="4"/>
      <c r="B1" s="4"/>
      <c r="C1" s="6"/>
      <c r="D1" s="43" t="s">
        <v>1003</v>
      </c>
      <c r="E1" s="43"/>
      <c r="F1" s="6"/>
      <c r="G1" s="6"/>
      <c r="H1" t="s">
        <v>122</v>
      </c>
    </row>
    <row r="2" spans="1:10" ht="22.5">
      <c r="A2" s="7" t="s">
        <v>342</v>
      </c>
      <c r="B2" s="8"/>
      <c r="C2" s="10" t="s">
        <v>125</v>
      </c>
      <c r="D2" s="44" t="s">
        <v>1004</v>
      </c>
      <c r="E2" s="44" t="s">
        <v>1005</v>
      </c>
      <c r="F2" s="10" t="s">
        <v>2118</v>
      </c>
      <c r="G2" s="10" t="s">
        <v>126</v>
      </c>
      <c r="H2" t="s">
        <v>122</v>
      </c>
      <c r="I2">
        <f ca="1">MAX('vbs,vba'!G:G)</f>
        <v>354</v>
      </c>
    </row>
    <row r="3" spans="1:10" ht="11.25" customHeight="1">
      <c r="A3" s="12" t="s">
        <v>354</v>
      </c>
      <c r="B3" s="13"/>
      <c r="C3" s="13"/>
      <c r="D3" s="45"/>
      <c r="E3" s="45"/>
      <c r="F3" s="14"/>
      <c r="G3" s="14"/>
      <c r="H3" t="s">
        <v>122</v>
      </c>
      <c r="I3">
        <f t="shared" ref="I3:I123" ca="1" si="0">IF(J3="",OFFSET(I3,-1,0),OFFSET(I3,-1,0)+1)</f>
        <v>354</v>
      </c>
      <c r="J3" t="str">
        <f>IF(B3="","",B3)</f>
        <v/>
      </c>
    </row>
    <row r="4" spans="1:10" ht="11.25" customHeight="1" outlineLevel="1">
      <c r="A4" s="15"/>
      <c r="B4" s="15" t="s">
        <v>0</v>
      </c>
      <c r="C4" s="30" t="s">
        <v>393</v>
      </c>
      <c r="D4" s="46" t="s">
        <v>2122</v>
      </c>
      <c r="E4" s="46" t="s">
        <v>2122</v>
      </c>
      <c r="F4" s="17" t="s">
        <v>2122</v>
      </c>
      <c r="G4" s="17" t="s">
        <v>2122</v>
      </c>
      <c r="H4" t="s">
        <v>122</v>
      </c>
      <c r="I4">
        <f t="shared" ca="1" si="0"/>
        <v>355</v>
      </c>
      <c r="J4" t="str">
        <f t="shared" ref="J4:J124" si="1">IF(B4="","",B4)</f>
        <v>変数強制定義</v>
      </c>
    </row>
    <row r="5" spans="1:10" ht="11.25" customHeight="1" outlineLevel="1">
      <c r="A5" s="15"/>
      <c r="B5" s="15" t="s">
        <v>817</v>
      </c>
      <c r="C5" s="30" t="s">
        <v>393</v>
      </c>
      <c r="D5" s="46" t="s">
        <v>2122</v>
      </c>
      <c r="E5" s="46" t="s">
        <v>2122</v>
      </c>
      <c r="F5" s="17" t="s">
        <v>2122</v>
      </c>
      <c r="G5" s="17" t="s">
        <v>2122</v>
      </c>
      <c r="H5" t="s">
        <v>122</v>
      </c>
      <c r="I5">
        <f t="shared" ca="1" si="0"/>
        <v>356</v>
      </c>
      <c r="J5" t="str">
        <f t="shared" si="1"/>
        <v>変数定義</v>
      </c>
    </row>
    <row r="6" spans="1:10" ht="11.25" customHeight="1" outlineLevel="1">
      <c r="A6" s="15"/>
      <c r="B6" s="18" t="s">
        <v>3193</v>
      </c>
      <c r="C6" s="16" t="s">
        <v>3197</v>
      </c>
      <c r="D6" s="47" t="s">
        <v>122</v>
      </c>
      <c r="E6" s="47" t="s">
        <v>122</v>
      </c>
      <c r="F6" s="17" t="s">
        <v>122</v>
      </c>
      <c r="G6" s="17" t="s">
        <v>122</v>
      </c>
      <c r="H6" t="s">
        <v>122</v>
      </c>
      <c r="I6">
        <f t="shared" ref="I6:I9" ca="1" si="2">IF(J6="",OFFSET(I6,-1,0),OFFSET(I6,-1,0)+1)</f>
        <v>357</v>
      </c>
      <c r="J6" t="str">
        <f t="shared" ref="J6:J9" si="3">IF(B6="","",B6)</f>
        <v>変数定義（リスト）</v>
      </c>
    </row>
    <row r="7" spans="1:10" ht="11.25" customHeight="1" outlineLevel="1">
      <c r="A7" s="15"/>
      <c r="B7" s="18" t="s">
        <v>3196</v>
      </c>
      <c r="C7" s="16" t="s">
        <v>3198</v>
      </c>
      <c r="D7" s="47" t="s">
        <v>122</v>
      </c>
      <c r="E7" s="47" t="s">
        <v>122</v>
      </c>
      <c r="F7" s="17" t="s">
        <v>122</v>
      </c>
      <c r="G7" s="17" t="s">
        <v>122</v>
      </c>
      <c r="H7" t="s">
        <v>122</v>
      </c>
      <c r="I7">
        <f t="shared" ref="I7" ca="1" si="4">IF(J7="",OFFSET(I7,-1,0),OFFSET(I7,-1,0)+1)</f>
        <v>358</v>
      </c>
      <c r="J7" t="str">
        <f t="shared" ref="J7" si="5">IF(B7="","",B7)</f>
        <v>変数定義（タプル）</v>
      </c>
    </row>
    <row r="8" spans="1:10" ht="11.25" customHeight="1" outlineLevel="1">
      <c r="A8" s="15"/>
      <c r="B8" s="18" t="s">
        <v>3194</v>
      </c>
      <c r="C8" s="16" t="s">
        <v>3199</v>
      </c>
      <c r="D8" s="47" t="s">
        <v>122</v>
      </c>
      <c r="E8" s="47" t="s">
        <v>122</v>
      </c>
      <c r="F8" s="17" t="s">
        <v>122</v>
      </c>
      <c r="G8" s="17" t="s">
        <v>122</v>
      </c>
      <c r="H8" t="s">
        <v>122</v>
      </c>
      <c r="I8">
        <f t="shared" ca="1" si="2"/>
        <v>359</v>
      </c>
      <c r="J8" t="str">
        <f t="shared" si="3"/>
        <v>変数定義（辞書）</v>
      </c>
    </row>
    <row r="9" spans="1:10" ht="11.25" customHeight="1" outlineLevel="1">
      <c r="A9" s="15"/>
      <c r="B9" s="18" t="s">
        <v>3195</v>
      </c>
      <c r="C9" s="16" t="s">
        <v>3200</v>
      </c>
      <c r="D9" s="47" t="s">
        <v>122</v>
      </c>
      <c r="E9" s="47" t="s">
        <v>122</v>
      </c>
      <c r="F9" s="17" t="s">
        <v>122</v>
      </c>
      <c r="G9" s="17" t="s">
        <v>122</v>
      </c>
      <c r="H9" t="s">
        <v>122</v>
      </c>
      <c r="I9">
        <f t="shared" ca="1" si="2"/>
        <v>360</v>
      </c>
      <c r="J9" t="str">
        <f t="shared" si="3"/>
        <v>変数定義（集合）</v>
      </c>
    </row>
    <row r="10" spans="1:10" ht="11.25" customHeight="1" outlineLevel="1">
      <c r="A10" s="15"/>
      <c r="B10" s="15" t="s">
        <v>5</v>
      </c>
      <c r="C10" s="16" t="s">
        <v>393</v>
      </c>
      <c r="D10" s="47" t="s">
        <v>2122</v>
      </c>
      <c r="E10" s="47" t="s">
        <v>2122</v>
      </c>
      <c r="F10" s="17" t="s">
        <v>2122</v>
      </c>
      <c r="G10" s="17" t="s">
        <v>834</v>
      </c>
      <c r="H10" t="s">
        <v>122</v>
      </c>
      <c r="I10">
        <f t="shared" ca="1" si="0"/>
        <v>361</v>
      </c>
      <c r="J10" t="str">
        <f t="shared" si="1"/>
        <v>配列定義</v>
      </c>
    </row>
    <row r="11" spans="1:10" ht="11.25" customHeight="1" outlineLevel="1">
      <c r="A11" s="15"/>
      <c r="B11" s="15" t="s">
        <v>6</v>
      </c>
      <c r="C11" s="30" t="s">
        <v>393</v>
      </c>
      <c r="D11" s="46" t="s">
        <v>2122</v>
      </c>
      <c r="E11" s="46" t="s">
        <v>2122</v>
      </c>
      <c r="F11" s="17" t="s">
        <v>2122</v>
      </c>
      <c r="G11" s="17" t="s">
        <v>2122</v>
      </c>
      <c r="H11" t="s">
        <v>122</v>
      </c>
      <c r="I11">
        <f t="shared" ca="1" si="0"/>
        <v>362</v>
      </c>
      <c r="J11" t="str">
        <f t="shared" si="1"/>
        <v>定数定義</v>
      </c>
    </row>
    <row r="12" spans="1:10" ht="11.25" customHeight="1" outlineLevel="1">
      <c r="A12" s="15"/>
      <c r="B12" s="15" t="s">
        <v>140</v>
      </c>
      <c r="C12" s="30" t="s">
        <v>393</v>
      </c>
      <c r="D12" s="46" t="s">
        <v>2122</v>
      </c>
      <c r="E12" s="46" t="s">
        <v>2122</v>
      </c>
      <c r="F12" s="17" t="s">
        <v>2122</v>
      </c>
      <c r="G12" s="17" t="s">
        <v>835</v>
      </c>
      <c r="H12" t="s">
        <v>122</v>
      </c>
      <c r="I12">
        <f t="shared" ca="1" si="0"/>
        <v>363</v>
      </c>
      <c r="J12" t="str">
        <f t="shared" si="1"/>
        <v>構造体定義</v>
      </c>
    </row>
    <row r="13" spans="1:10" ht="11.25" customHeight="1" outlineLevel="1">
      <c r="A13" s="15"/>
      <c r="B13" s="15" t="s">
        <v>142</v>
      </c>
      <c r="C13" s="30" t="s">
        <v>393</v>
      </c>
      <c r="D13" s="46" t="s">
        <v>2122</v>
      </c>
      <c r="E13" s="46" t="s">
        <v>2122</v>
      </c>
      <c r="F13" s="16" t="s">
        <v>2122</v>
      </c>
      <c r="G13" s="16" t="s">
        <v>762</v>
      </c>
      <c r="H13" t="s">
        <v>122</v>
      </c>
      <c r="I13">
        <f t="shared" ca="1" si="0"/>
        <v>364</v>
      </c>
      <c r="J13" t="str">
        <f t="shared" si="1"/>
        <v>列挙型定義</v>
      </c>
    </row>
    <row r="14" spans="1:10" ht="11.25" customHeight="1" outlineLevel="1">
      <c r="A14" s="15"/>
      <c r="B14" s="15" t="s">
        <v>141</v>
      </c>
      <c r="C14" s="30" t="s">
        <v>393</v>
      </c>
      <c r="D14" s="46" t="s">
        <v>2122</v>
      </c>
      <c r="E14" s="46" t="s">
        <v>2122</v>
      </c>
      <c r="F14" s="17" t="s">
        <v>2122</v>
      </c>
      <c r="G14" s="17" t="s">
        <v>2122</v>
      </c>
      <c r="H14" t="s">
        <v>122</v>
      </c>
      <c r="I14">
        <f t="shared" ca="1" si="0"/>
        <v>365</v>
      </c>
      <c r="J14" t="str">
        <f t="shared" si="1"/>
        <v>マクロ定義</v>
      </c>
    </row>
    <row r="15" spans="1:10" ht="11.25" customHeight="1" outlineLevel="1">
      <c r="A15" s="15"/>
      <c r="B15" s="15" t="s">
        <v>8</v>
      </c>
      <c r="C15" s="16" t="s">
        <v>739</v>
      </c>
      <c r="D15" s="47" t="s">
        <v>2122</v>
      </c>
      <c r="E15" s="47" t="s">
        <v>2122</v>
      </c>
      <c r="F15" s="17" t="s">
        <v>2122</v>
      </c>
      <c r="G15" s="17" t="s">
        <v>2122</v>
      </c>
      <c r="H15" t="s">
        <v>122</v>
      </c>
      <c r="I15">
        <f ca="1">IF(J15="",OFFSET(I15,-1,0),OFFSET(I15,-1,0)+1)</f>
        <v>366</v>
      </c>
      <c r="J15" t="str">
        <f>IF(B15="","",B15)</f>
        <v>関数呼出</v>
      </c>
    </row>
    <row r="16" spans="1:10" ht="11.25" customHeight="1" outlineLevel="1">
      <c r="A16" s="15"/>
      <c r="B16" s="15" t="s">
        <v>7</v>
      </c>
      <c r="C16" s="16" t="str">
        <f>"def func( num_1, num_2, operation=1):"&amp;CHAR(10)&amp;CHAR(9)&amp;"return value"</f>
        <v>def func( num_1, num_2, operation=1):
	return value</v>
      </c>
      <c r="D16" s="47" t="s">
        <v>2122</v>
      </c>
      <c r="E16" s="47" t="s">
        <v>2122</v>
      </c>
      <c r="F16" s="17" t="s">
        <v>2122</v>
      </c>
      <c r="G16" s="17" t="s">
        <v>2332</v>
      </c>
      <c r="H16" t="s">
        <v>122</v>
      </c>
      <c r="I16">
        <f t="shared" ca="1" si="0"/>
        <v>367</v>
      </c>
      <c r="J16" t="str">
        <f t="shared" si="1"/>
        <v>関数定義</v>
      </c>
    </row>
    <row r="17" spans="1:10" ht="11.25" customHeight="1" outlineLevel="1">
      <c r="A17" s="15"/>
      <c r="B17" s="15" t="s">
        <v>2333</v>
      </c>
      <c r="C17" s="16" t="str">
        <f>"def func( num_1: int, num_2: float) -&gt; str:
 return str(num_1)"</f>
        <v>def func( num_1: int, num_2: float) -&gt; str:
 return str(num_1)</v>
      </c>
      <c r="D17" s="47" t="s">
        <v>122</v>
      </c>
      <c r="E17" s="47" t="s">
        <v>122</v>
      </c>
      <c r="F17" s="17" t="s">
        <v>122</v>
      </c>
      <c r="G17" s="17"/>
      <c r="H17" t="s">
        <v>122</v>
      </c>
      <c r="I17">
        <f ca="1">IF(J17="",OFFSET(I17,-1,0),OFFSET(I17,-1,0)+1)</f>
        <v>368</v>
      </c>
      <c r="J17" t="str">
        <f>IF(B17="","",B17)</f>
        <v>関数定義(型ヒントあり)</v>
      </c>
    </row>
    <row r="18" spans="1:10" ht="11.25" customHeight="1" outlineLevel="1">
      <c r="A18" s="15"/>
      <c r="B18" s="15" t="s">
        <v>3254</v>
      </c>
      <c r="C18" s="16" t="str">
        <f>"def func(*args):
    v = 0
    for arg in args:
        v += 1
    return v"</f>
        <v>def func(*args):
    v = 0
    for arg in args:
        v += 1
    return v</v>
      </c>
      <c r="D18" s="47" t="s">
        <v>122</v>
      </c>
      <c r="E18" s="47" t="s">
        <v>122</v>
      </c>
      <c r="F18" s="17" t="s">
        <v>122</v>
      </c>
      <c r="G18" s="17"/>
      <c r="H18" t="s">
        <v>122</v>
      </c>
      <c r="I18">
        <f ca="1">IF(J18="",OFFSET(I18,-1,0),OFFSET(I18,-1,0)+1)</f>
        <v>369</v>
      </c>
      <c r="J18" t="str">
        <f>IF(B18="","",B18)</f>
        <v>関数定義(可変長引数)</v>
      </c>
    </row>
    <row r="19" spans="1:10" ht="11.25" customHeight="1" outlineLevel="1">
      <c r="A19" s="15"/>
      <c r="B19" s="15" t="s">
        <v>3255</v>
      </c>
      <c r="C19" s="16" t="str">
        <f>"def encode(src, **kwargs):
    dst = ''
    for c in src:
        dst += kwargs.get(c, '')
    return dst
encode('abc', a='0', b='10', c='110', d='1110', e='1111')"</f>
        <v>def encode(src, **kwargs):
    dst = ''
    for c in src:
        dst += kwargs.get(c, '')
    return dst
encode('abc', a='0', b='10', c='110', d='1110', e='1111')</v>
      </c>
      <c r="D19" s="47" t="s">
        <v>122</v>
      </c>
      <c r="E19" s="47" t="s">
        <v>122</v>
      </c>
      <c r="F19" s="19" t="s">
        <v>3256</v>
      </c>
      <c r="G19" s="17"/>
      <c r="H19" t="s">
        <v>122</v>
      </c>
      <c r="I19">
        <f ca="1">IF(J19="",OFFSET(I19,-1,0),OFFSET(I19,-1,0)+1)</f>
        <v>370</v>
      </c>
      <c r="J19" t="str">
        <f>IF(B19="","",B19)</f>
        <v>関数定義(可変長キーワード引数)</v>
      </c>
    </row>
    <row r="20" spans="1:10" ht="11.25" customHeight="1" outlineLevel="1">
      <c r="A20" s="15"/>
      <c r="B20" s="15" t="s">
        <v>3252</v>
      </c>
      <c r="C20" s="16" t="s">
        <v>3253</v>
      </c>
      <c r="D20" s="47" t="s">
        <v>122</v>
      </c>
      <c r="E20" s="47" t="s">
        <v>122</v>
      </c>
      <c r="F20" s="17" t="s">
        <v>122</v>
      </c>
      <c r="G20" s="17"/>
      <c r="H20" t="s">
        <v>122</v>
      </c>
      <c r="I20">
        <f t="shared" ref="I20" ca="1" si="6">IF(J20="",OFFSET(I20,-1,0),OFFSET(I20,-1,0)+1)</f>
        <v>371</v>
      </c>
      <c r="J20" t="str">
        <f t="shared" ref="J20" si="7">IF(B20="","",B20)</f>
        <v>lambda関数定義</v>
      </c>
    </row>
    <row r="21" spans="1:10" ht="11.25" customHeight="1" outlineLevel="1">
      <c r="A21" s="15"/>
      <c r="B21" s="15" t="s">
        <v>15</v>
      </c>
      <c r="C21" s="16" t="s">
        <v>743</v>
      </c>
      <c r="D21" s="47" t="s">
        <v>2122</v>
      </c>
      <c r="E21" s="47" t="s">
        <v>2122</v>
      </c>
      <c r="F21" s="17" t="s">
        <v>2122</v>
      </c>
      <c r="G21" s="17" t="s">
        <v>2122</v>
      </c>
      <c r="H21" t="s">
        <v>122</v>
      </c>
      <c r="I21">
        <f t="shared" ca="1" si="0"/>
        <v>372</v>
      </c>
      <c r="J21" t="str">
        <f t="shared" si="1"/>
        <v>コメント</v>
      </c>
    </row>
    <row r="22" spans="1:10" ht="11.25" customHeight="1" outlineLevel="1">
      <c r="A22" s="15"/>
      <c r="B22" s="31" t="s">
        <v>2294</v>
      </c>
      <c r="C22" s="16" t="str">
        <f>"print(""aaa"" \
+ ""bbb"")"</f>
        <v>print("aaa" \
+ "bbb")</v>
      </c>
      <c r="D22" s="47" t="s">
        <v>122</v>
      </c>
      <c r="E22" s="47" t="s">
        <v>122</v>
      </c>
      <c r="F22" s="17" t="s">
        <v>122</v>
      </c>
      <c r="G22" s="17" t="s">
        <v>122</v>
      </c>
      <c r="H22" t="s">
        <v>122</v>
      </c>
      <c r="I22">
        <f ca="1">IF(J22="",OFFSET(I22,-1,0),OFFSET(I22,-1,0)+1)</f>
        <v>373</v>
      </c>
      <c r="J22" t="str">
        <f>IF(B22="","",B22)</f>
        <v>文中の改行</v>
      </c>
    </row>
    <row r="23" spans="1:10" ht="11.25" customHeight="1" outlineLevel="1">
      <c r="A23" s="15"/>
      <c r="B23" s="31" t="s">
        <v>368</v>
      </c>
      <c r="C23" s="16" t="str">
        <f>"if value == 1:"&amp;CHAR(10)&amp;CHAR(9)&amp;"処理A"&amp;CHAR(10)&amp;"elif value == 2:"&amp;CHAR(10)&amp;CHAR(9)&amp;"処理B"&amp;CHAR(10)&amp;"else:"&amp;CHAR(10)&amp;CHAR(9)&amp;"処理C"</f>
        <v>if value == 1:
	処理A
elif value == 2:
	処理B
else:
	処理C</v>
      </c>
      <c r="D23" s="47" t="s">
        <v>2122</v>
      </c>
      <c r="E23" s="47" t="s">
        <v>2122</v>
      </c>
      <c r="F23" s="17" t="s">
        <v>2122</v>
      </c>
      <c r="G23" s="17" t="s">
        <v>2122</v>
      </c>
      <c r="H23" t="s">
        <v>122</v>
      </c>
      <c r="I23">
        <f t="shared" ca="1" si="0"/>
        <v>374</v>
      </c>
      <c r="J23" t="str">
        <f t="shared" si="1"/>
        <v>分岐 if</v>
      </c>
    </row>
    <row r="24" spans="1:10" ht="11.25" customHeight="1" outlineLevel="1">
      <c r="A24" s="15"/>
      <c r="B24" s="31" t="s">
        <v>369</v>
      </c>
      <c r="C24" s="16" t="str">
        <f>"if matchobj:
    ～オブジェクトが空でない場合～
else:
    ～オブジェクトが空の場合～"</f>
        <v>if matchobj:
    ～オブジェクトが空でない場合～
else:
    ～オブジェクトが空の場合～</v>
      </c>
      <c r="D24" s="47" t="s">
        <v>2122</v>
      </c>
      <c r="E24" s="47" t="s">
        <v>2122</v>
      </c>
      <c r="F24" s="17" t="s">
        <v>2122</v>
      </c>
      <c r="G24" s="17" t="s">
        <v>2122</v>
      </c>
      <c r="H24" t="s">
        <v>122</v>
      </c>
      <c r="I24">
        <f t="shared" ca="1" si="0"/>
        <v>375</v>
      </c>
      <c r="J24" t="str">
        <f t="shared" si="1"/>
        <v>分岐 if（空オブジェクト確認）</v>
      </c>
    </row>
    <row r="25" spans="1:10" ht="11.25" customHeight="1" outlineLevel="1">
      <c r="A25" s="15"/>
      <c r="B25" s="91" t="s">
        <v>370</v>
      </c>
      <c r="C25" s="16" t="str">
        <f>"match devide_pos_str:
    case ""-Y"":
        devide_pos = DevidePosType.MINUS_Y
    case ""+Y"":"&amp;"
        devide_pos = DevidePosType.PLUS_Y
    case ""center"":
        devide_pos = DevidePosType.CENTER"&amp;"
    case _:
        print(""[error] unknown partition devide_pos."")
        sys.exit()"</f>
        <v>match devide_pos_str:
    case "-Y":
        devide_pos = DevidePosType.MINUS_Y
    case "+Y":
        devide_pos = DevidePosType.PLUS_Y
    case "center":
        devide_pos = DevidePosType.CENTER
    case _:
        print("[error] unknown partition devide_pos.")
        sys.exit()</v>
      </c>
      <c r="D25" s="47" t="s">
        <v>2122</v>
      </c>
      <c r="E25" s="47" t="s">
        <v>2122</v>
      </c>
      <c r="F25" s="17" t="s">
        <v>2122</v>
      </c>
      <c r="G25" s="17" t="s">
        <v>2902</v>
      </c>
      <c r="H25" t="s">
        <v>122</v>
      </c>
      <c r="I25">
        <f t="shared" ca="1" si="0"/>
        <v>376</v>
      </c>
      <c r="J25" t="str">
        <f t="shared" si="1"/>
        <v>分岐 switch</v>
      </c>
    </row>
    <row r="26" spans="1:10" ht="11.25" customHeight="1" outlineLevel="1">
      <c r="A26" s="15"/>
      <c r="B26" s="31" t="s">
        <v>914</v>
      </c>
      <c r="C26" s="24" t="s">
        <v>915</v>
      </c>
      <c r="D26" s="49" t="s">
        <v>2122</v>
      </c>
      <c r="E26" s="49" t="s">
        <v>2122</v>
      </c>
      <c r="F26" s="17" t="s">
        <v>2122</v>
      </c>
      <c r="G26" s="17" t="s">
        <v>916</v>
      </c>
      <c r="H26" t="s">
        <v>122</v>
      </c>
      <c r="I26">
        <f t="shared" ca="1" si="0"/>
        <v>377</v>
      </c>
      <c r="J26" t="str">
        <f t="shared" si="1"/>
        <v>分岐 何もしない処理</v>
      </c>
    </row>
    <row r="27" spans="1:10" ht="11.25" customHeight="1" outlineLevel="1">
      <c r="A27" s="15"/>
      <c r="B27" s="31" t="s">
        <v>371</v>
      </c>
      <c r="C27" s="16" t="s">
        <v>811</v>
      </c>
      <c r="D27" s="47" t="s">
        <v>2122</v>
      </c>
      <c r="E27" s="47" t="s">
        <v>2122</v>
      </c>
      <c r="F27" s="17" t="s">
        <v>2895</v>
      </c>
      <c r="G27" s="17" t="s">
        <v>812</v>
      </c>
      <c r="H27" t="s">
        <v>122</v>
      </c>
      <c r="I27">
        <f t="shared" ca="1" si="0"/>
        <v>378</v>
      </c>
      <c r="J27" t="str">
        <f t="shared" si="1"/>
        <v>繰返し for</v>
      </c>
    </row>
    <row r="28" spans="1:10" ht="11.25" customHeight="1" outlineLevel="1">
      <c r="A28" s="15"/>
      <c r="B28" s="31" t="s">
        <v>371</v>
      </c>
      <c r="C28" s="16" t="s">
        <v>2897</v>
      </c>
      <c r="D28" s="47" t="s">
        <v>2122</v>
      </c>
      <c r="E28" s="47" t="s">
        <v>2122</v>
      </c>
      <c r="F28" s="17" t="s">
        <v>2894</v>
      </c>
      <c r="G28" s="17" t="s">
        <v>2122</v>
      </c>
      <c r="H28" t="s">
        <v>122</v>
      </c>
      <c r="I28">
        <f t="shared" ca="1" si="0"/>
        <v>379</v>
      </c>
      <c r="J28" t="str">
        <f>IF(B28="","",B28)</f>
        <v>繰返し for</v>
      </c>
    </row>
    <row r="29" spans="1:10" ht="11.25" customHeight="1" outlineLevel="1">
      <c r="A29" s="15"/>
      <c r="B29" s="31" t="s">
        <v>371</v>
      </c>
      <c r="C29" s="16" t="s">
        <v>2896</v>
      </c>
      <c r="D29" s="47" t="s">
        <v>122</v>
      </c>
      <c r="E29" s="47" t="s">
        <v>122</v>
      </c>
      <c r="F29" s="17" t="s">
        <v>2898</v>
      </c>
      <c r="G29" s="17" t="s">
        <v>122</v>
      </c>
      <c r="H29" t="s">
        <v>122</v>
      </c>
      <c r="I29">
        <f ca="1">IF(J29="",OFFSET(I29,-1,0),OFFSET(I29,-1,0)+1)</f>
        <v>380</v>
      </c>
      <c r="J29" t="str">
        <f>IF(B29="","",B29)</f>
        <v>繰返し for</v>
      </c>
    </row>
    <row r="30" spans="1:10" ht="11.25" customHeight="1" outlineLevel="1">
      <c r="A30" s="15"/>
      <c r="B30" s="31" t="s">
        <v>371</v>
      </c>
      <c r="C30" s="16" t="s">
        <v>2900</v>
      </c>
      <c r="D30" s="47" t="s">
        <v>122</v>
      </c>
      <c r="E30" s="47" t="s">
        <v>122</v>
      </c>
      <c r="F30" s="17" t="s">
        <v>2899</v>
      </c>
      <c r="G30" s="17" t="s">
        <v>122</v>
      </c>
      <c r="H30" t="s">
        <v>122</v>
      </c>
      <c r="I30">
        <f ca="1">IF(J30="",OFFSET(I30,-1,0),OFFSET(I30,-1,0)+1)</f>
        <v>381</v>
      </c>
      <c r="J30" t="str">
        <f>IF(B30="","",B30)</f>
        <v>繰返し for</v>
      </c>
    </row>
    <row r="31" spans="1:10" ht="11.25" customHeight="1" outlineLevel="1">
      <c r="A31" s="15"/>
      <c r="B31" s="31" t="s">
        <v>372</v>
      </c>
      <c r="C31" s="16" t="s">
        <v>809</v>
      </c>
      <c r="D31" s="47" t="s">
        <v>2122</v>
      </c>
      <c r="E31" s="47" t="s">
        <v>2122</v>
      </c>
      <c r="F31" s="17" t="s">
        <v>2122</v>
      </c>
      <c r="G31" s="17" t="s">
        <v>810</v>
      </c>
      <c r="H31" t="s">
        <v>122</v>
      </c>
      <c r="I31">
        <f t="shared" ca="1" si="0"/>
        <v>382</v>
      </c>
      <c r="J31" t="str">
        <f t="shared" si="1"/>
        <v>繰返し for each</v>
      </c>
    </row>
    <row r="32" spans="1:10" ht="11.25" customHeight="1" outlineLevel="1">
      <c r="A32" s="15"/>
      <c r="B32" s="31" t="s">
        <v>373</v>
      </c>
      <c r="C32" s="16" t="s">
        <v>816</v>
      </c>
      <c r="D32" s="47" t="s">
        <v>2122</v>
      </c>
      <c r="E32" s="47" t="s">
        <v>2122</v>
      </c>
      <c r="F32" s="17" t="s">
        <v>2122</v>
      </c>
      <c r="G32" s="17" t="s">
        <v>2122</v>
      </c>
      <c r="H32" t="s">
        <v>122</v>
      </c>
      <c r="I32">
        <f t="shared" ca="1" si="0"/>
        <v>383</v>
      </c>
      <c r="J32" t="str">
        <f t="shared" si="1"/>
        <v>繰返し while</v>
      </c>
    </row>
    <row r="33" spans="1:10" ht="11.25" customHeight="1" outlineLevel="1">
      <c r="A33" s="15"/>
      <c r="B33" s="31" t="s">
        <v>374</v>
      </c>
      <c r="C33" s="30" t="s">
        <v>393</v>
      </c>
      <c r="D33" s="46" t="s">
        <v>2122</v>
      </c>
      <c r="E33" s="46" t="s">
        <v>2122</v>
      </c>
      <c r="F33" s="17" t="s">
        <v>2122</v>
      </c>
      <c r="G33" s="17" t="s">
        <v>2122</v>
      </c>
      <c r="H33" t="s">
        <v>122</v>
      </c>
      <c r="I33">
        <f t="shared" ca="1" si="0"/>
        <v>384</v>
      </c>
      <c r="J33" t="str">
        <f t="shared" si="1"/>
        <v>繰返し do while</v>
      </c>
    </row>
    <row r="34" spans="1:10" ht="11.25" customHeight="1" outlineLevel="1">
      <c r="A34" s="15"/>
      <c r="B34" s="31" t="s">
        <v>375</v>
      </c>
      <c r="C34" s="30" t="s">
        <v>393</v>
      </c>
      <c r="D34" s="46" t="s">
        <v>2122</v>
      </c>
      <c r="E34" s="46" t="s">
        <v>2122</v>
      </c>
      <c r="F34" s="17" t="s">
        <v>2122</v>
      </c>
      <c r="G34" s="17" t="s">
        <v>2122</v>
      </c>
      <c r="H34" t="s">
        <v>122</v>
      </c>
      <c r="I34">
        <f t="shared" ca="1" si="0"/>
        <v>385</v>
      </c>
      <c r="J34" t="str">
        <f t="shared" si="1"/>
        <v>繰返し do until</v>
      </c>
    </row>
    <row r="35" spans="1:10" ht="11.25" customHeight="1" outlineLevel="1">
      <c r="A35" s="15"/>
      <c r="B35" s="31" t="s">
        <v>818</v>
      </c>
      <c r="C35" s="16" t="s">
        <v>742</v>
      </c>
      <c r="D35" s="47" t="s">
        <v>2122</v>
      </c>
      <c r="E35" s="47" t="s">
        <v>2122</v>
      </c>
      <c r="F35" s="17" t="s">
        <v>2122</v>
      </c>
      <c r="G35" s="17" t="s">
        <v>2901</v>
      </c>
      <c r="H35" t="s">
        <v>122</v>
      </c>
      <c r="I35">
        <f t="shared" ca="1" si="0"/>
        <v>386</v>
      </c>
      <c r="J35" t="str">
        <f t="shared" si="1"/>
        <v>繰返し continue</v>
      </c>
    </row>
    <row r="36" spans="1:10" ht="11.25" customHeight="1" outlineLevel="1">
      <c r="A36" s="15"/>
      <c r="B36" s="31" t="s">
        <v>11</v>
      </c>
      <c r="C36" s="16" t="s">
        <v>740</v>
      </c>
      <c r="D36" s="47" t="s">
        <v>2122</v>
      </c>
      <c r="E36" s="47" t="s">
        <v>2122</v>
      </c>
      <c r="F36" s="17" t="s">
        <v>2122</v>
      </c>
      <c r="G36" s="17" t="s">
        <v>2122</v>
      </c>
      <c r="H36" t="s">
        <v>122</v>
      </c>
      <c r="I36">
        <f t="shared" ca="1" si="0"/>
        <v>387</v>
      </c>
      <c r="J36" t="str">
        <f t="shared" si="1"/>
        <v>ブロック脱出（Sub/Function/For/Do）</v>
      </c>
    </row>
    <row r="37" spans="1:10" ht="11.25" customHeight="1" outlineLevel="1">
      <c r="A37" s="15"/>
      <c r="B37" s="31" t="s">
        <v>886</v>
      </c>
      <c r="C37" s="16" t="s">
        <v>889</v>
      </c>
      <c r="D37" s="47" t="s">
        <v>2122</v>
      </c>
      <c r="E37" s="47" t="s">
        <v>2122</v>
      </c>
      <c r="F37" s="17" t="s">
        <v>2122</v>
      </c>
      <c r="G37" s="17" t="s">
        <v>888</v>
      </c>
      <c r="H37" t="s">
        <v>122</v>
      </c>
      <c r="I37">
        <f t="shared" ca="1" si="0"/>
        <v>388</v>
      </c>
      <c r="J37" t="str">
        <f t="shared" si="1"/>
        <v>入力（数値入力のみ）</v>
      </c>
    </row>
    <row r="38" spans="1:10" ht="11.25" customHeight="1" outlineLevel="1">
      <c r="A38" s="15"/>
      <c r="B38" s="31" t="s">
        <v>891</v>
      </c>
      <c r="C38" s="16" t="s">
        <v>890</v>
      </c>
      <c r="D38" s="47" t="s">
        <v>2122</v>
      </c>
      <c r="E38" s="47" t="s">
        <v>2122</v>
      </c>
      <c r="F38" s="17" t="s">
        <v>2122</v>
      </c>
      <c r="G38" s="17" t="s">
        <v>887</v>
      </c>
      <c r="H38" t="s">
        <v>122</v>
      </c>
      <c r="I38">
        <f t="shared" ca="1" si="0"/>
        <v>389</v>
      </c>
      <c r="J38" t="str">
        <f t="shared" si="1"/>
        <v>入力（数値/文字列入力）</v>
      </c>
    </row>
    <row r="39" spans="1:10" ht="11.25" customHeight="1" outlineLevel="1">
      <c r="A39" s="15"/>
      <c r="B39" s="31" t="s">
        <v>2082</v>
      </c>
      <c r="C39" s="16" t="s">
        <v>838</v>
      </c>
      <c r="D39" s="47" t="s">
        <v>2122</v>
      </c>
      <c r="E39" s="47" t="s">
        <v>2122</v>
      </c>
      <c r="F39" s="17" t="s">
        <v>2122</v>
      </c>
      <c r="G39" s="17" t="s">
        <v>2122</v>
      </c>
      <c r="H39" t="s">
        <v>122</v>
      </c>
      <c r="I39">
        <f t="shared" ca="1" si="0"/>
        <v>390</v>
      </c>
      <c r="J39" t="str">
        <f t="shared" si="1"/>
        <v>出力（改行付与）</v>
      </c>
    </row>
    <row r="40" spans="1:10" ht="11.25" customHeight="1" outlineLevel="1">
      <c r="A40" s="15"/>
      <c r="B40" s="31" t="s">
        <v>2081</v>
      </c>
      <c r="C40" s="16" t="s">
        <v>2083</v>
      </c>
      <c r="D40" s="47" t="s">
        <v>2122</v>
      </c>
      <c r="E40" s="47" t="s">
        <v>2122</v>
      </c>
      <c r="F40" s="17" t="s">
        <v>2122</v>
      </c>
      <c r="G40" s="17" t="s">
        <v>2122</v>
      </c>
      <c r="H40" t="s">
        <v>122</v>
      </c>
      <c r="I40">
        <f ca="1">IF(J40="",OFFSET(I40,-1,0),OFFSET(I40,-1,0)+1)</f>
        <v>391</v>
      </c>
      <c r="J40" t="str">
        <f>IF(B40="","",B40)</f>
        <v>出力（改行付与なし）</v>
      </c>
    </row>
    <row r="41" spans="1:10" ht="11.25" customHeight="1" outlineLevel="1">
      <c r="A41" s="15"/>
      <c r="B41" s="31" t="s">
        <v>2084</v>
      </c>
      <c r="C41" s="16" t="s">
        <v>839</v>
      </c>
      <c r="D41" s="47" t="s">
        <v>2122</v>
      </c>
      <c r="E41" s="47" t="s">
        <v>2122</v>
      </c>
      <c r="F41" s="17" t="s">
        <v>840</v>
      </c>
      <c r="G41" s="17" t="s">
        <v>2122</v>
      </c>
      <c r="H41" t="s">
        <v>122</v>
      </c>
      <c r="I41">
        <f t="shared" ca="1" si="0"/>
        <v>392</v>
      </c>
      <c r="J41" t="str">
        <f t="shared" si="1"/>
        <v>出力（printf形式）</v>
      </c>
    </row>
    <row r="42" spans="1:10" ht="11.25" customHeight="1" outlineLevel="1">
      <c r="A42" s="15"/>
      <c r="B42" s="15" t="s">
        <v>819</v>
      </c>
      <c r="C42" s="16" t="s">
        <v>744</v>
      </c>
      <c r="D42" s="47" t="s">
        <v>2122</v>
      </c>
      <c r="E42" s="47" t="s">
        <v>2122</v>
      </c>
      <c r="F42" s="17" t="s">
        <v>2122</v>
      </c>
      <c r="G42" s="17" t="s">
        <v>2122</v>
      </c>
      <c r="H42" t="s">
        <v>122</v>
      </c>
      <c r="I42">
        <f t="shared" ca="1" si="0"/>
        <v>393</v>
      </c>
      <c r="J42" t="str">
        <f t="shared" si="1"/>
        <v>処理継続チェック(アサート)</v>
      </c>
    </row>
    <row r="43" spans="1:10" ht="11.25" customHeight="1" outlineLevel="1">
      <c r="A43" s="15"/>
      <c r="B43" s="31" t="s">
        <v>2185</v>
      </c>
      <c r="C43" s="16" t="str">
        <f>"class SampleClass:
    a = 0 # public
    _b = 0 # private
    def __init__(self, a = 0, b = 0):
        print(""constructor"")
        self.a = a
        self._b = b
"&amp;"
    def __del__(self):
        print(""destructor"")
    def sum(self):
        return self.a + self._b"</f>
        <v>class SampleClass:
    a = 0 # public
    _b = 0 # private
    def __init__(self, a = 0, b = 0):
        print("constructor")
        self.a = a
        self._b = b
    def __del__(self):
        print("destructor")
    def sum(self):
        return self.a + self._b</v>
      </c>
      <c r="D43" s="47" t="s">
        <v>122</v>
      </c>
      <c r="E43" s="47" t="s">
        <v>122</v>
      </c>
      <c r="F43" s="17" t="s">
        <v>122</v>
      </c>
      <c r="G43" s="17" t="s">
        <v>2190</v>
      </c>
      <c r="H43" t="s">
        <v>122</v>
      </c>
      <c r="I43">
        <f ca="1">IF(J43="",OFFSET(I43,-1,0),OFFSET(I43,-1,0)+1)</f>
        <v>394</v>
      </c>
      <c r="J43" t="str">
        <f>IF(B43="","",B43)</f>
        <v>クラス 定義</v>
      </c>
    </row>
    <row r="44" spans="1:10" ht="11.25" customHeight="1" outlineLevel="1">
      <c r="A44" s="15"/>
      <c r="B44" s="31" t="s">
        <v>2186</v>
      </c>
      <c r="C44" s="16" t="s">
        <v>2188</v>
      </c>
      <c r="D44" s="47" t="s">
        <v>2122</v>
      </c>
      <c r="E44" s="47" t="s">
        <v>2122</v>
      </c>
      <c r="F44" s="17" t="s">
        <v>2122</v>
      </c>
      <c r="G44" s="17" t="s">
        <v>2122</v>
      </c>
      <c r="H44" t="s">
        <v>122</v>
      </c>
      <c r="I44">
        <f t="shared" ca="1" si="0"/>
        <v>395</v>
      </c>
      <c r="J44" t="str">
        <f t="shared" si="1"/>
        <v>クラス インスタンス生成</v>
      </c>
    </row>
    <row r="45" spans="1:10" ht="11.25" customHeight="1" outlineLevel="1">
      <c r="A45" s="15"/>
      <c r="B45" s="31" t="s">
        <v>2187</v>
      </c>
      <c r="C45" s="16" t="s">
        <v>2189</v>
      </c>
      <c r="D45" s="47" t="s">
        <v>2122</v>
      </c>
      <c r="E45" s="47" t="s">
        <v>2122</v>
      </c>
      <c r="F45" s="17" t="s">
        <v>2122</v>
      </c>
      <c r="G45" s="17" t="s">
        <v>2122</v>
      </c>
      <c r="H45" t="s">
        <v>122</v>
      </c>
      <c r="I45">
        <f t="shared" ca="1" si="0"/>
        <v>396</v>
      </c>
      <c r="J45" t="str">
        <f t="shared" si="1"/>
        <v>クラス インスタンス破棄</v>
      </c>
    </row>
    <row r="46" spans="1:10" ht="11.25" customHeight="1" outlineLevel="1">
      <c r="A46" s="15"/>
      <c r="B46" s="15" t="s">
        <v>143</v>
      </c>
      <c r="C46" s="16" t="s">
        <v>2184</v>
      </c>
      <c r="D46" s="47" t="s">
        <v>2122</v>
      </c>
      <c r="E46" s="47" t="s">
        <v>2122</v>
      </c>
      <c r="F46" s="17" t="s">
        <v>2122</v>
      </c>
      <c r="G46" s="17" t="s">
        <v>2122</v>
      </c>
      <c r="H46" t="s">
        <v>122</v>
      </c>
      <c r="I46">
        <f t="shared" ca="1" si="0"/>
        <v>397</v>
      </c>
      <c r="J46" t="str">
        <f t="shared" si="1"/>
        <v>一時停止</v>
      </c>
    </row>
    <row r="47" spans="1:10" ht="11.25" customHeight="1" outlineLevel="1">
      <c r="A47" s="15"/>
      <c r="B47" s="15" t="s">
        <v>836</v>
      </c>
      <c r="C47" s="16" t="s">
        <v>808</v>
      </c>
      <c r="D47" s="47" t="s">
        <v>2122</v>
      </c>
      <c r="E47" s="47" t="s">
        <v>2122</v>
      </c>
      <c r="F47" s="17" t="s">
        <v>2122</v>
      </c>
      <c r="G47" s="17" t="s">
        <v>837</v>
      </c>
      <c r="H47" t="s">
        <v>122</v>
      </c>
      <c r="I47">
        <f t="shared" ca="1" si="0"/>
        <v>398</v>
      </c>
      <c r="J47" t="str">
        <f t="shared" si="1"/>
        <v>エンコード宣言(文字コード)</v>
      </c>
    </row>
    <row r="48" spans="1:10" ht="11.25" customHeight="1" outlineLevel="1">
      <c r="A48" s="15"/>
      <c r="B48" s="15" t="s">
        <v>741</v>
      </c>
      <c r="C48" s="16" t="s">
        <v>2183</v>
      </c>
      <c r="D48" s="47" t="s">
        <v>2122</v>
      </c>
      <c r="E48" s="47" t="s">
        <v>2122</v>
      </c>
      <c r="F48" s="17" t="s">
        <v>2122</v>
      </c>
      <c r="G48" s="17" t="s">
        <v>2122</v>
      </c>
      <c r="H48" t="s">
        <v>122</v>
      </c>
      <c r="I48">
        <f t="shared" ca="1" si="0"/>
        <v>399</v>
      </c>
      <c r="J48" t="str">
        <f t="shared" si="1"/>
        <v>インタプリタパス指定</v>
      </c>
    </row>
    <row r="49" spans="1:10" ht="11.25" customHeight="1" outlineLevel="1">
      <c r="A49" s="15"/>
      <c r="B49" s="15" t="s">
        <v>2296</v>
      </c>
      <c r="C49" s="16" t="s">
        <v>2298</v>
      </c>
      <c r="D49" s="47" t="s">
        <v>2122</v>
      </c>
      <c r="E49" s="47" t="s">
        <v>2122</v>
      </c>
      <c r="F49" s="17" t="s">
        <v>2122</v>
      </c>
      <c r="G49" s="17" t="s">
        <v>2122</v>
      </c>
      <c r="H49" t="s">
        <v>122</v>
      </c>
      <c r="I49">
        <f t="shared" ca="1" si="0"/>
        <v>400</v>
      </c>
      <c r="J49" t="str">
        <f t="shared" si="1"/>
        <v>import(モジュール)</v>
      </c>
    </row>
    <row r="50" spans="1:10" ht="11.25" customHeight="1" outlineLevel="1">
      <c r="A50" s="15"/>
      <c r="B50" s="15" t="s">
        <v>2295</v>
      </c>
      <c r="C50" s="16" t="s">
        <v>2297</v>
      </c>
      <c r="D50" s="47" t="s">
        <v>122</v>
      </c>
      <c r="E50" s="47" t="s">
        <v>122</v>
      </c>
      <c r="F50" s="17" t="s">
        <v>122</v>
      </c>
      <c r="G50" s="17" t="s">
        <v>122</v>
      </c>
      <c r="H50" t="s">
        <v>122</v>
      </c>
      <c r="I50">
        <f ca="1">IF(J50="",OFFSET(I50,-1,0),OFFSET(I50,-1,0)+1)</f>
        <v>401</v>
      </c>
      <c r="J50" t="str">
        <f>IF(B50="","",B50)</f>
        <v>import(関数)</v>
      </c>
    </row>
    <row r="51" spans="1:10" ht="11.25" customHeight="1" outlineLevel="1">
      <c r="A51" s="15"/>
      <c r="B51" s="15" t="s">
        <v>2316</v>
      </c>
      <c r="C51" s="16" t="s">
        <v>2317</v>
      </c>
      <c r="D51" s="47" t="s">
        <v>122</v>
      </c>
      <c r="E51" s="47" t="s">
        <v>122</v>
      </c>
      <c r="F51" s="17" t="s">
        <v>122</v>
      </c>
      <c r="G51" s="17" t="s">
        <v>2318</v>
      </c>
      <c r="H51" t="s">
        <v>122</v>
      </c>
      <c r="I51">
        <f ca="1">IF(J51="",OFFSET(I51,-1,0),OFFSET(I51,-1,0)+1)</f>
        <v>402</v>
      </c>
      <c r="J51" t="str">
        <f>IF(B51="","",B51)</f>
        <v>import(構造体)</v>
      </c>
    </row>
    <row r="52" spans="1:10" ht="11.25" customHeight="1" outlineLevel="1">
      <c r="A52" s="15"/>
      <c r="B52" s="15" t="s">
        <v>3257</v>
      </c>
      <c r="C52" s="16" t="s">
        <v>3258</v>
      </c>
      <c r="D52" s="47" t="s">
        <v>122</v>
      </c>
      <c r="E52" s="47" t="s">
        <v>122</v>
      </c>
      <c r="F52" s="17" t="s">
        <v>122</v>
      </c>
      <c r="G52" s="17"/>
      <c r="H52" t="s">
        <v>122</v>
      </c>
      <c r="I52">
        <f ca="1">IF(J52="",OFFSET(I52,-1,0),OFFSET(I52,-1,0)+1)</f>
        <v>403</v>
      </c>
      <c r="J52" t="str">
        <f>IF(B52="","",B52)</f>
        <v>import(名前変更)</v>
      </c>
    </row>
    <row r="53" spans="1:10" ht="11.25" customHeight="1" outlineLevel="1">
      <c r="A53" s="15"/>
      <c r="B53" s="31" t="s">
        <v>745</v>
      </c>
      <c r="C53" s="16" t="s">
        <v>813</v>
      </c>
      <c r="D53" s="47" t="s">
        <v>2122</v>
      </c>
      <c r="E53" s="47" t="s">
        <v>2122</v>
      </c>
      <c r="F53" s="17" t="s">
        <v>2122</v>
      </c>
      <c r="G53" s="17" t="s">
        <v>2319</v>
      </c>
      <c r="H53" t="s">
        <v>122</v>
      </c>
      <c r="I53">
        <f t="shared" ca="1" si="0"/>
        <v>404</v>
      </c>
      <c r="J53" t="str">
        <f t="shared" si="1"/>
        <v>条件式 and</v>
      </c>
    </row>
    <row r="54" spans="1:10" ht="11.25" customHeight="1" outlineLevel="1">
      <c r="A54" s="15"/>
      <c r="B54" s="31" t="s">
        <v>746</v>
      </c>
      <c r="C54" s="16" t="s">
        <v>814</v>
      </c>
      <c r="D54" s="47" t="s">
        <v>2122</v>
      </c>
      <c r="E54" s="47" t="s">
        <v>2122</v>
      </c>
      <c r="F54" s="17" t="s">
        <v>2122</v>
      </c>
      <c r="G54" s="17" t="s">
        <v>2122</v>
      </c>
      <c r="H54" t="s">
        <v>122</v>
      </c>
      <c r="I54">
        <f t="shared" ca="1" si="0"/>
        <v>405</v>
      </c>
      <c r="J54" t="str">
        <f t="shared" si="1"/>
        <v>条件式 or</v>
      </c>
    </row>
    <row r="55" spans="1:10" ht="11.25" customHeight="1" outlineLevel="1">
      <c r="A55" s="15"/>
      <c r="B55" s="15" t="s">
        <v>747</v>
      </c>
      <c r="C55" s="16" t="s">
        <v>815</v>
      </c>
      <c r="D55" s="47" t="s">
        <v>2122</v>
      </c>
      <c r="E55" s="47" t="s">
        <v>2122</v>
      </c>
      <c r="F55" s="17" t="s">
        <v>2122</v>
      </c>
      <c r="G55" s="17" t="s">
        <v>2122</v>
      </c>
      <c r="H55" t="s">
        <v>122</v>
      </c>
      <c r="I55">
        <f t="shared" ca="1" si="0"/>
        <v>406</v>
      </c>
      <c r="J55" t="str">
        <f t="shared" si="1"/>
        <v>条件式 not</v>
      </c>
    </row>
    <row r="56" spans="1:10" ht="11.25" customHeight="1" outlineLevel="1">
      <c r="A56" s="15"/>
      <c r="B56" s="31" t="s">
        <v>748</v>
      </c>
      <c r="C56" s="16" t="s">
        <v>749</v>
      </c>
      <c r="D56" s="47" t="s">
        <v>2122</v>
      </c>
      <c r="E56" s="47" t="s">
        <v>2122</v>
      </c>
      <c r="F56" s="17" t="s">
        <v>2122</v>
      </c>
      <c r="G56" s="17" t="s">
        <v>2122</v>
      </c>
      <c r="H56" t="s">
        <v>122</v>
      </c>
      <c r="I56">
        <f t="shared" ca="1" si="0"/>
        <v>407</v>
      </c>
      <c r="J56" t="str">
        <f t="shared" si="1"/>
        <v>四則演算（加算）</v>
      </c>
    </row>
    <row r="57" spans="1:10" ht="11.25" customHeight="1" outlineLevel="1">
      <c r="A57" s="15"/>
      <c r="B57" s="31" t="s">
        <v>750</v>
      </c>
      <c r="C57" s="20" t="s">
        <v>764</v>
      </c>
      <c r="D57" s="50" t="s">
        <v>2122</v>
      </c>
      <c r="E57" s="50" t="s">
        <v>2122</v>
      </c>
      <c r="F57" s="17" t="s">
        <v>2122</v>
      </c>
      <c r="G57" s="17" t="s">
        <v>2122</v>
      </c>
      <c r="H57" t="s">
        <v>122</v>
      </c>
      <c r="I57">
        <f t="shared" ca="1" si="0"/>
        <v>408</v>
      </c>
      <c r="J57" t="str">
        <f t="shared" si="1"/>
        <v>四則演算（減算）</v>
      </c>
    </row>
    <row r="58" spans="1:10" ht="11.25" customHeight="1" outlineLevel="1">
      <c r="A58" s="15"/>
      <c r="B58" s="15" t="s">
        <v>751</v>
      </c>
      <c r="C58" s="16" t="s">
        <v>763</v>
      </c>
      <c r="D58" s="47" t="s">
        <v>2122</v>
      </c>
      <c r="E58" s="47" t="s">
        <v>2122</v>
      </c>
      <c r="F58" s="17" t="s">
        <v>2122</v>
      </c>
      <c r="G58" s="17" t="s">
        <v>2122</v>
      </c>
      <c r="H58" t="s">
        <v>122</v>
      </c>
      <c r="I58">
        <f t="shared" ca="1" si="0"/>
        <v>409</v>
      </c>
      <c r="J58" t="str">
        <f t="shared" si="1"/>
        <v>四則演算（乗算）</v>
      </c>
    </row>
    <row r="59" spans="1:10" ht="11.25" customHeight="1" outlineLevel="1">
      <c r="A59" s="15"/>
      <c r="B59" s="15" t="s">
        <v>752</v>
      </c>
      <c r="C59" s="20" t="s">
        <v>765</v>
      </c>
      <c r="D59" s="50" t="s">
        <v>2122</v>
      </c>
      <c r="E59" s="50" t="s">
        <v>2122</v>
      </c>
      <c r="F59" s="17" t="s">
        <v>2122</v>
      </c>
      <c r="G59" s="17" t="s">
        <v>2122</v>
      </c>
      <c r="H59" t="s">
        <v>122</v>
      </c>
      <c r="I59">
        <f t="shared" ca="1" si="0"/>
        <v>410</v>
      </c>
      <c r="J59" t="str">
        <f t="shared" si="1"/>
        <v>四則演算（除算）</v>
      </c>
    </row>
    <row r="60" spans="1:10" ht="11.25" customHeight="1" outlineLevel="1">
      <c r="A60" s="15"/>
      <c r="B60" s="15" t="s">
        <v>3187</v>
      </c>
      <c r="C60" s="20" t="s">
        <v>3188</v>
      </c>
      <c r="D60" s="50" t="s">
        <v>122</v>
      </c>
      <c r="E60" s="50" t="s">
        <v>122</v>
      </c>
      <c r="F60" s="17" t="s">
        <v>920</v>
      </c>
      <c r="G60" s="17" t="s">
        <v>122</v>
      </c>
      <c r="H60" t="s">
        <v>122</v>
      </c>
      <c r="I60">
        <f t="shared" ref="I60" ca="1" si="8">IF(J60="",OFFSET(I60,-1,0),OFFSET(I60,-1,0)+1)</f>
        <v>411</v>
      </c>
      <c r="J60" t="str">
        <f t="shared" ref="J60" si="9">IF(B60="","",B60)</f>
        <v>四則演算（切り捨て除算）</v>
      </c>
    </row>
    <row r="61" spans="1:10" ht="11.25" customHeight="1" outlineLevel="1">
      <c r="A61" s="15"/>
      <c r="B61" s="15" t="s">
        <v>3190</v>
      </c>
      <c r="C61" s="20" t="s">
        <v>3189</v>
      </c>
      <c r="D61" s="50" t="s">
        <v>122</v>
      </c>
      <c r="E61" s="50" t="s">
        <v>122</v>
      </c>
      <c r="F61" s="17" t="s">
        <v>885</v>
      </c>
      <c r="G61" s="17" t="s">
        <v>122</v>
      </c>
      <c r="H61" t="s">
        <v>122</v>
      </c>
      <c r="I61">
        <f t="shared" ref="I61" ca="1" si="10">IF(J61="",OFFSET(I61,-1,0),OFFSET(I61,-1,0)+1)</f>
        <v>412</v>
      </c>
      <c r="J61" t="str">
        <f t="shared" ref="J61" si="11">IF(B61="","",B61)</f>
        <v>四則演算（余り計算）</v>
      </c>
    </row>
    <row r="62" spans="1:10" ht="11.25" customHeight="1" outlineLevel="1">
      <c r="A62" s="15"/>
      <c r="B62" s="15" t="s">
        <v>3249</v>
      </c>
      <c r="C62" s="20" t="s">
        <v>3192</v>
      </c>
      <c r="D62" s="50" t="s">
        <v>122</v>
      </c>
      <c r="E62" s="50" t="s">
        <v>122</v>
      </c>
      <c r="F62" s="40">
        <f>2^3</f>
        <v>8</v>
      </c>
      <c r="G62" s="17" t="s">
        <v>122</v>
      </c>
      <c r="H62" t="s">
        <v>122</v>
      </c>
      <c r="I62">
        <f t="shared" ref="I62" ca="1" si="12">IF(J62="",OFFSET(I62,-1,0),OFFSET(I62,-1,0)+1)</f>
        <v>413</v>
      </c>
      <c r="J62" t="str">
        <f t="shared" ref="J62" si="13">IF(B62="","",B62)</f>
        <v>四則演算（累乗=aのb乗）</v>
      </c>
    </row>
    <row r="63" spans="1:10" ht="11.25" customHeight="1" outlineLevel="1">
      <c r="A63" s="15"/>
      <c r="B63" s="15" t="s">
        <v>753</v>
      </c>
      <c r="C63" s="16" t="s">
        <v>766</v>
      </c>
      <c r="D63" s="47" t="s">
        <v>2122</v>
      </c>
      <c r="E63" s="47" t="s">
        <v>2122</v>
      </c>
      <c r="F63" s="17" t="s">
        <v>2122</v>
      </c>
      <c r="G63" s="17" t="s">
        <v>2122</v>
      </c>
      <c r="H63" t="s">
        <v>122</v>
      </c>
      <c r="I63">
        <f ca="1">IF(J63="",OFFSET(I63,-1,0),OFFSET(I63,-1,0)+1)</f>
        <v>414</v>
      </c>
      <c r="J63" t="str">
        <f>IF(B63="","",B63)</f>
        <v>インクリメント</v>
      </c>
    </row>
    <row r="64" spans="1:10" ht="11.25" customHeight="1" outlineLevel="1">
      <c r="A64" s="15"/>
      <c r="B64" s="15" t="s">
        <v>754</v>
      </c>
      <c r="C64" s="16" t="s">
        <v>767</v>
      </c>
      <c r="D64" s="47" t="s">
        <v>2122</v>
      </c>
      <c r="E64" s="47" t="s">
        <v>2122</v>
      </c>
      <c r="F64" s="17" t="s">
        <v>2122</v>
      </c>
      <c r="G64" s="17" t="s">
        <v>2122</v>
      </c>
      <c r="H64" t="s">
        <v>122</v>
      </c>
      <c r="I64">
        <f t="shared" ca="1" si="0"/>
        <v>415</v>
      </c>
      <c r="J64" t="str">
        <f t="shared" si="1"/>
        <v>デクリメント</v>
      </c>
    </row>
    <row r="65" spans="1:10" ht="11.25" customHeight="1" outlineLevel="1">
      <c r="A65" s="15"/>
      <c r="B65" s="15" t="s">
        <v>3250</v>
      </c>
      <c r="C65" s="16" t="s">
        <v>3251</v>
      </c>
      <c r="D65" s="47" t="s">
        <v>122</v>
      </c>
      <c r="E65" s="47" t="s">
        <v>122</v>
      </c>
      <c r="F65" s="17" t="s">
        <v>122</v>
      </c>
      <c r="G65" s="17" t="s">
        <v>122</v>
      </c>
      <c r="H65" t="s">
        <v>122</v>
      </c>
      <c r="I65">
        <f t="shared" ref="I65" ca="1" si="14">IF(J65="",OFFSET(I65,-1,0),OFFSET(I65,-1,0)+1)</f>
        <v>416</v>
      </c>
      <c r="J65" t="str">
        <f t="shared" ref="J65" si="15">IF(B65="","",B65)</f>
        <v>値スワップ</v>
      </c>
    </row>
    <row r="66" spans="1:10" ht="11.25" customHeight="1">
      <c r="A66" s="12" t="s">
        <v>353</v>
      </c>
      <c r="B66" s="13"/>
      <c r="C66" s="13"/>
      <c r="D66" s="45"/>
      <c r="E66" s="45"/>
      <c r="F66" s="14"/>
      <c r="G66" s="14"/>
      <c r="H66" t="s">
        <v>122</v>
      </c>
      <c r="I66">
        <f t="shared" ca="1" si="0"/>
        <v>416</v>
      </c>
      <c r="J66" t="str">
        <f t="shared" si="1"/>
        <v/>
      </c>
    </row>
    <row r="67" spans="1:10" ht="11.25" customHeight="1" outlineLevel="1">
      <c r="A67" s="15"/>
      <c r="B67" s="15" t="s">
        <v>860</v>
      </c>
      <c r="C67" s="16" t="s">
        <v>864</v>
      </c>
      <c r="D67" s="47" t="s">
        <v>2122</v>
      </c>
      <c r="E67" s="47" t="s">
        <v>2122</v>
      </c>
      <c r="F67" s="17" t="s">
        <v>2122</v>
      </c>
      <c r="G67" s="17" t="s">
        <v>858</v>
      </c>
      <c r="H67" t="s">
        <v>122</v>
      </c>
      <c r="I67">
        <f t="shared" ca="1" si="0"/>
        <v>417</v>
      </c>
      <c r="J67" t="str">
        <f t="shared" si="1"/>
        <v>文字列表現(単一行)</v>
      </c>
    </row>
    <row r="68" spans="1:10" ht="11.25" customHeight="1" outlineLevel="1">
      <c r="A68" s="15"/>
      <c r="B68" s="15" t="s">
        <v>859</v>
      </c>
      <c r="C68" s="16" t="str">
        <f>""""""""&amp;CHAR(10)&amp;"test_1"&amp;CHAR(10)&amp;"test_2"&amp;CHAR(10)&amp;""""""""</f>
        <v>"""
test_1
test_2
"""</v>
      </c>
      <c r="D68" s="47" t="s">
        <v>2122</v>
      </c>
      <c r="E68" s="47" t="s">
        <v>2122</v>
      </c>
      <c r="F68" s="17" t="s">
        <v>2122</v>
      </c>
      <c r="G68" s="17" t="s">
        <v>769</v>
      </c>
      <c r="H68" t="s">
        <v>122</v>
      </c>
      <c r="I68">
        <f t="shared" ca="1" si="0"/>
        <v>418</v>
      </c>
      <c r="J68" t="str">
        <f t="shared" si="1"/>
        <v>文字列表現(複数行)</v>
      </c>
    </row>
    <row r="69" spans="1:10" ht="11.25" customHeight="1" outlineLevel="1">
      <c r="A69" s="15"/>
      <c r="B69" s="15" t="s">
        <v>861</v>
      </c>
      <c r="C69" s="53" t="s">
        <v>865</v>
      </c>
      <c r="D69" s="47" t="s">
        <v>2122</v>
      </c>
      <c r="E69" s="47" t="s">
        <v>2122</v>
      </c>
      <c r="F69" s="17" t="s">
        <v>2122</v>
      </c>
      <c r="G69" s="17" t="s">
        <v>768</v>
      </c>
      <c r="H69" t="s">
        <v>122</v>
      </c>
      <c r="I69">
        <f t="shared" ca="1" si="0"/>
        <v>419</v>
      </c>
      <c r="J69" t="str">
        <f t="shared" si="1"/>
        <v>文字列表現(エスケープ無視)</v>
      </c>
    </row>
    <row r="70" spans="1:10" ht="11.25" customHeight="1" outlineLevel="1">
      <c r="A70" s="15"/>
      <c r="B70" s="15" t="s">
        <v>820</v>
      </c>
      <c r="C70" s="16" t="s">
        <v>866</v>
      </c>
      <c r="D70" s="47" t="s">
        <v>2122</v>
      </c>
      <c r="E70" s="47" t="s">
        <v>2122</v>
      </c>
      <c r="F70" s="17" t="s">
        <v>873</v>
      </c>
      <c r="G70" s="17" t="s">
        <v>2122</v>
      </c>
      <c r="H70" t="s">
        <v>122</v>
      </c>
      <c r="I70">
        <f t="shared" ca="1" si="0"/>
        <v>420</v>
      </c>
      <c r="J70" t="str">
        <f t="shared" si="1"/>
        <v>文字列 置換</v>
      </c>
    </row>
    <row r="71" spans="1:10" ht="11.25" customHeight="1" outlineLevel="1">
      <c r="A71" s="15"/>
      <c r="B71" s="15" t="s">
        <v>863</v>
      </c>
      <c r="C71" s="16" t="s">
        <v>869</v>
      </c>
      <c r="D71" s="47" t="s">
        <v>2122</v>
      </c>
      <c r="E71" s="47" t="s">
        <v>2122</v>
      </c>
      <c r="F71" s="17" t="s">
        <v>2125</v>
      </c>
      <c r="G71" s="17" t="s">
        <v>2126</v>
      </c>
      <c r="H71" t="s">
        <v>122</v>
      </c>
      <c r="I71">
        <f t="shared" ca="1" si="0"/>
        <v>421</v>
      </c>
      <c r="J71" t="str">
        <f t="shared" si="1"/>
        <v>文字列 位置検索（前方）</v>
      </c>
    </row>
    <row r="72" spans="1:10" ht="11.25" customHeight="1" outlineLevel="1">
      <c r="A72" s="15"/>
      <c r="B72" s="15" t="s">
        <v>870</v>
      </c>
      <c r="C72" s="16" t="s">
        <v>868</v>
      </c>
      <c r="D72" s="47" t="s">
        <v>2122</v>
      </c>
      <c r="E72" s="47" t="s">
        <v>2122</v>
      </c>
      <c r="F72" s="17" t="s">
        <v>2127</v>
      </c>
      <c r="G72" s="17" t="s">
        <v>2126</v>
      </c>
      <c r="H72" t="s">
        <v>122</v>
      </c>
      <c r="I72">
        <f t="shared" ca="1" si="0"/>
        <v>422</v>
      </c>
      <c r="J72" t="str">
        <f t="shared" si="1"/>
        <v>文字列 位置検索（後方）</v>
      </c>
    </row>
    <row r="73" spans="1:10" ht="11.25" customHeight="1" outlineLevel="1">
      <c r="A73" s="15"/>
      <c r="B73" s="15" t="s">
        <v>862</v>
      </c>
      <c r="C73" s="16" t="s">
        <v>867</v>
      </c>
      <c r="D73" s="47" t="s">
        <v>2122</v>
      </c>
      <c r="E73" s="47" t="s">
        <v>2122</v>
      </c>
      <c r="F73" s="17" t="s">
        <v>130</v>
      </c>
      <c r="G73" s="17" t="s">
        <v>2122</v>
      </c>
      <c r="H73" t="s">
        <v>122</v>
      </c>
      <c r="I73">
        <f t="shared" ca="1" si="0"/>
        <v>423</v>
      </c>
      <c r="J73" t="str">
        <f t="shared" si="1"/>
        <v>文字列 検索</v>
      </c>
    </row>
    <row r="74" spans="1:10" ht="11.25" customHeight="1" outlineLevel="1">
      <c r="A74" s="15"/>
      <c r="B74" s="15" t="s">
        <v>3308</v>
      </c>
      <c r="C74" s="16" t="s">
        <v>3307</v>
      </c>
      <c r="D74" s="47" t="s">
        <v>122</v>
      </c>
      <c r="E74" s="47" t="s">
        <v>122</v>
      </c>
      <c r="F74" s="17" t="s">
        <v>130</v>
      </c>
      <c r="G74" s="17" t="s">
        <v>122</v>
      </c>
      <c r="H74" t="s">
        <v>122</v>
      </c>
      <c r="I74">
        <f t="shared" ref="I74" ca="1" si="16">IF(J74="",OFFSET(I74,-1,0),OFFSET(I74,-1,0)+1)</f>
        <v>424</v>
      </c>
      <c r="J74" t="str">
        <f t="shared" ref="J74" si="17">IF(B74="","",B74)</f>
        <v>文字列 検索（先頭）</v>
      </c>
    </row>
    <row r="75" spans="1:10" ht="11.25" customHeight="1" outlineLevel="1">
      <c r="A75" s="15"/>
      <c r="B75" s="15" t="s">
        <v>3310</v>
      </c>
      <c r="C75" s="16" t="s">
        <v>3309</v>
      </c>
      <c r="D75" s="47" t="s">
        <v>122</v>
      </c>
      <c r="E75" s="47" t="s">
        <v>122</v>
      </c>
      <c r="F75" s="17" t="s">
        <v>130</v>
      </c>
      <c r="G75" s="17" t="s">
        <v>122</v>
      </c>
      <c r="H75" t="s">
        <v>122</v>
      </c>
      <c r="I75">
        <f t="shared" ref="I75" ca="1" si="18">IF(J75="",OFFSET(I75,-1,0),OFFSET(I75,-1,0)+1)</f>
        <v>425</v>
      </c>
      <c r="J75" t="str">
        <f t="shared" ref="J75" si="19">IF(B75="","",B75)</f>
        <v>文字列 検索（末尾）</v>
      </c>
    </row>
    <row r="76" spans="1:10" ht="11.25" customHeight="1" outlineLevel="1">
      <c r="A76" s="15"/>
      <c r="B76" s="15" t="s">
        <v>65</v>
      </c>
      <c r="C76" s="16" t="s">
        <v>884</v>
      </c>
      <c r="D76" s="47" t="s">
        <v>2122</v>
      </c>
      <c r="E76" s="47" t="s">
        <v>2122</v>
      </c>
      <c r="F76" s="17" t="s">
        <v>467</v>
      </c>
      <c r="G76" s="17" t="s">
        <v>2122</v>
      </c>
      <c r="H76" t="s">
        <v>122</v>
      </c>
      <c r="I76">
        <f t="shared" ca="1" si="0"/>
        <v>426</v>
      </c>
      <c r="J76" t="str">
        <f t="shared" si="1"/>
        <v>文字列 長さ（文字数）</v>
      </c>
    </row>
    <row r="77" spans="1:10" ht="11.25" customHeight="1" outlineLevel="1">
      <c r="A77" s="15"/>
      <c r="B77" s="15" t="s">
        <v>66</v>
      </c>
      <c r="C77" s="16" t="s">
        <v>883</v>
      </c>
      <c r="D77" s="47" t="s">
        <v>2122</v>
      </c>
      <c r="E77" s="47" t="s">
        <v>2122</v>
      </c>
      <c r="F77" s="17" t="s">
        <v>885</v>
      </c>
      <c r="G77" s="17" t="s">
        <v>2122</v>
      </c>
      <c r="H77" t="s">
        <v>122</v>
      </c>
      <c r="I77">
        <f t="shared" ca="1" si="0"/>
        <v>427</v>
      </c>
      <c r="J77" t="str">
        <f t="shared" si="1"/>
        <v>文字列 長さ（バイト数）</v>
      </c>
    </row>
    <row r="78" spans="1:10" ht="11.25" customHeight="1" outlineLevel="1">
      <c r="A78" s="15"/>
      <c r="B78" s="15" t="s">
        <v>899</v>
      </c>
      <c r="C78" s="16" t="s">
        <v>871</v>
      </c>
      <c r="D78" s="47" t="s">
        <v>2122</v>
      </c>
      <c r="E78" s="47" t="s">
        <v>2122</v>
      </c>
      <c r="F78" s="17" t="s">
        <v>872</v>
      </c>
      <c r="G78" s="17" t="s">
        <v>2122</v>
      </c>
      <c r="H78" t="s">
        <v>122</v>
      </c>
      <c r="I78">
        <f t="shared" ca="1" si="0"/>
        <v>428</v>
      </c>
      <c r="J78" t="str">
        <f t="shared" si="1"/>
        <v>文字列 分割</v>
      </c>
    </row>
    <row r="79" spans="1:10" ht="11.25" customHeight="1" outlineLevel="1">
      <c r="A79" s="15"/>
      <c r="B79" s="15" t="s">
        <v>898</v>
      </c>
      <c r="C79" s="16" t="s">
        <v>3296</v>
      </c>
      <c r="D79" s="47" t="s">
        <v>2122</v>
      </c>
      <c r="E79" s="47" t="s">
        <v>2122</v>
      </c>
      <c r="F79" s="17" t="s">
        <v>3295</v>
      </c>
      <c r="G79" s="17" t="s">
        <v>2122</v>
      </c>
      <c r="H79" t="s">
        <v>122</v>
      </c>
      <c r="I79">
        <f t="shared" ca="1" si="0"/>
        <v>429</v>
      </c>
      <c r="J79" t="str">
        <f t="shared" si="1"/>
        <v>文字列 結合</v>
      </c>
    </row>
    <row r="80" spans="1:10" ht="11.25" customHeight="1" outlineLevel="1">
      <c r="A80" s="15"/>
      <c r="B80" s="15" t="s">
        <v>898</v>
      </c>
      <c r="C80" s="20" t="s">
        <v>3297</v>
      </c>
      <c r="D80" s="47" t="s">
        <v>122</v>
      </c>
      <c r="E80" s="47" t="s">
        <v>122</v>
      </c>
      <c r="F80" s="17" t="s">
        <v>3294</v>
      </c>
      <c r="G80" s="17" t="s">
        <v>122</v>
      </c>
      <c r="H80" t="s">
        <v>122</v>
      </c>
      <c r="I80">
        <f t="shared" ref="I80" ca="1" si="20">IF(J80="",OFFSET(I80,-1,0),OFFSET(I80,-1,0)+1)</f>
        <v>430</v>
      </c>
      <c r="J80" t="str">
        <f t="shared" ref="J80" si="21">IF(B80="","",B80)</f>
        <v>文字列 結合</v>
      </c>
    </row>
    <row r="81" spans="1:10" ht="11.25" customHeight="1" outlineLevel="1">
      <c r="A81" s="15"/>
      <c r="B81" s="15" t="s">
        <v>897</v>
      </c>
      <c r="C81" s="16" t="s">
        <v>874</v>
      </c>
      <c r="D81" s="47" t="s">
        <v>2122</v>
      </c>
      <c r="E81" s="47" t="s">
        <v>2122</v>
      </c>
      <c r="F81" s="17" t="s">
        <v>875</v>
      </c>
      <c r="G81" s="17" t="s">
        <v>2122</v>
      </c>
      <c r="H81" t="s">
        <v>122</v>
      </c>
      <c r="I81">
        <f t="shared" ca="1" si="0"/>
        <v>431</v>
      </c>
      <c r="J81" t="str">
        <f t="shared" si="1"/>
        <v>文字列 抽出</v>
      </c>
    </row>
    <row r="82" spans="1:10" ht="11.25" customHeight="1" outlineLevel="1">
      <c r="A82" s="15"/>
      <c r="B82" s="15" t="s">
        <v>896</v>
      </c>
      <c r="C82" s="16" t="s">
        <v>876</v>
      </c>
      <c r="D82" s="47" t="s">
        <v>2122</v>
      </c>
      <c r="E82" s="47" t="s">
        <v>2122</v>
      </c>
      <c r="F82" s="17" t="s">
        <v>879</v>
      </c>
      <c r="G82" s="17" t="s">
        <v>2122</v>
      </c>
      <c r="H82" t="s">
        <v>122</v>
      </c>
      <c r="I82">
        <f t="shared" ca="1" si="0"/>
        <v>432</v>
      </c>
      <c r="J82" t="str">
        <f t="shared" si="1"/>
        <v>文字列 抽出 左</v>
      </c>
    </row>
    <row r="83" spans="1:10" ht="11.25" customHeight="1" outlineLevel="1">
      <c r="A83" s="15"/>
      <c r="B83" s="15" t="s">
        <v>895</v>
      </c>
      <c r="C83" s="16" t="s">
        <v>877</v>
      </c>
      <c r="D83" s="47" t="s">
        <v>2122</v>
      </c>
      <c r="E83" s="47" t="s">
        <v>2122</v>
      </c>
      <c r="F83" s="17" t="s">
        <v>880</v>
      </c>
      <c r="G83" s="17" t="s">
        <v>2122</v>
      </c>
      <c r="H83" t="s">
        <v>122</v>
      </c>
      <c r="I83">
        <f t="shared" ca="1" si="0"/>
        <v>433</v>
      </c>
      <c r="J83" t="str">
        <f t="shared" si="1"/>
        <v>文字列 抽出 中</v>
      </c>
    </row>
    <row r="84" spans="1:10" ht="11.25" customHeight="1" outlineLevel="1">
      <c r="A84" s="15"/>
      <c r="B84" s="15" t="s">
        <v>894</v>
      </c>
      <c r="C84" s="16" t="s">
        <v>878</v>
      </c>
      <c r="D84" s="47" t="s">
        <v>2122</v>
      </c>
      <c r="E84" s="47" t="s">
        <v>2122</v>
      </c>
      <c r="F84" s="17" t="s">
        <v>881</v>
      </c>
      <c r="G84" s="17" t="s">
        <v>2122</v>
      </c>
      <c r="H84" t="s">
        <v>122</v>
      </c>
      <c r="I84">
        <f t="shared" ca="1" si="0"/>
        <v>434</v>
      </c>
      <c r="J84" t="str">
        <f t="shared" si="1"/>
        <v>文字列 抽出 右</v>
      </c>
    </row>
    <row r="85" spans="1:10" ht="11.25" customHeight="1" outlineLevel="1">
      <c r="A85" s="15"/>
      <c r="B85" s="15" t="s">
        <v>3298</v>
      </c>
      <c r="C85" s="20" t="s">
        <v>3299</v>
      </c>
      <c r="D85" s="47" t="s">
        <v>122</v>
      </c>
      <c r="E85" s="47" t="s">
        <v>122</v>
      </c>
      <c r="F85" s="17" t="s">
        <v>3300</v>
      </c>
      <c r="G85" s="17" t="s">
        <v>122</v>
      </c>
      <c r="H85" t="s">
        <v>122</v>
      </c>
      <c r="I85">
        <f t="shared" ref="I85:I86" ca="1" si="22">IF(J85="",OFFSET(I85,-1,0),OFFSET(I85,-1,0)+1)</f>
        <v>435</v>
      </c>
      <c r="J85" t="str">
        <f t="shared" ref="J85:J86" si="23">IF(B85="","",B85)</f>
        <v>文字列 文字列除去（先頭＋末尾）</v>
      </c>
    </row>
    <row r="86" spans="1:10" ht="11.25" customHeight="1" outlineLevel="1">
      <c r="A86" s="15"/>
      <c r="B86" s="15" t="s">
        <v>3301</v>
      </c>
      <c r="C86" s="20" t="s">
        <v>3303</v>
      </c>
      <c r="D86" s="47" t="s">
        <v>122</v>
      </c>
      <c r="E86" s="47" t="s">
        <v>122</v>
      </c>
      <c r="F86" s="17" t="s">
        <v>3305</v>
      </c>
      <c r="G86" s="17" t="s">
        <v>122</v>
      </c>
      <c r="H86" t="s">
        <v>122</v>
      </c>
      <c r="I86">
        <f t="shared" ca="1" si="22"/>
        <v>436</v>
      </c>
      <c r="J86" t="str">
        <f t="shared" si="23"/>
        <v>文字列 文字列除去（先頭のみ）</v>
      </c>
    </row>
    <row r="87" spans="1:10" ht="11.25" customHeight="1" outlineLevel="1">
      <c r="A87" s="15"/>
      <c r="B87" s="15" t="s">
        <v>3302</v>
      </c>
      <c r="C87" s="20" t="s">
        <v>3304</v>
      </c>
      <c r="D87" s="47" t="s">
        <v>122</v>
      </c>
      <c r="E87" s="47" t="s">
        <v>122</v>
      </c>
      <c r="F87" s="17" t="s">
        <v>3306</v>
      </c>
      <c r="G87" s="17" t="s">
        <v>122</v>
      </c>
      <c r="H87" t="s">
        <v>122</v>
      </c>
      <c r="I87">
        <f t="shared" ref="I87:I88" ca="1" si="24">IF(J87="",OFFSET(I87,-1,0),OFFSET(I87,-1,0)+1)</f>
        <v>437</v>
      </c>
      <c r="J87" t="str">
        <f t="shared" ref="J87:J88" si="25">IF(B87="","",B87)</f>
        <v>文字列 文字列除去（末尾のみ）</v>
      </c>
    </row>
    <row r="88" spans="1:10" ht="11.25" customHeight="1" outlineLevel="1">
      <c r="A88" s="15"/>
      <c r="B88" s="15" t="s">
        <v>893</v>
      </c>
      <c r="C88" s="16" t="s">
        <v>910</v>
      </c>
      <c r="D88" s="47" t="s">
        <v>122</v>
      </c>
      <c r="E88" s="47" t="s">
        <v>122</v>
      </c>
      <c r="F88" s="17" t="s">
        <v>911</v>
      </c>
      <c r="G88" s="17" t="s">
        <v>122</v>
      </c>
      <c r="H88" t="s">
        <v>122</v>
      </c>
      <c r="I88">
        <f t="shared" ca="1" si="24"/>
        <v>438</v>
      </c>
      <c r="J88" t="str">
        <f t="shared" si="25"/>
        <v>文字列 数値判定</v>
      </c>
    </row>
    <row r="89" spans="1:10" ht="11.25" customHeight="1" outlineLevel="1">
      <c r="A89" s="15"/>
      <c r="B89" s="15" t="s">
        <v>3311</v>
      </c>
      <c r="C89" s="16" t="s">
        <v>3312</v>
      </c>
      <c r="D89" s="47" t="s">
        <v>2122</v>
      </c>
      <c r="E89" s="47" t="s">
        <v>2122</v>
      </c>
      <c r="F89" s="17" t="s">
        <v>911</v>
      </c>
      <c r="G89" s="17" t="s">
        <v>2122</v>
      </c>
      <c r="H89" t="s">
        <v>122</v>
      </c>
      <c r="I89">
        <f t="shared" ca="1" si="0"/>
        <v>439</v>
      </c>
      <c r="J89" t="str">
        <f t="shared" si="1"/>
        <v>文字列 大文字判定</v>
      </c>
    </row>
    <row r="90" spans="1:10" ht="11.25" customHeight="1" outlineLevel="1">
      <c r="A90" s="15"/>
      <c r="B90" s="15" t="s">
        <v>3313</v>
      </c>
      <c r="C90" s="16" t="s">
        <v>3314</v>
      </c>
      <c r="D90" s="47" t="s">
        <v>122</v>
      </c>
      <c r="E90" s="47" t="s">
        <v>122</v>
      </c>
      <c r="F90" s="17" t="s">
        <v>911</v>
      </c>
      <c r="G90" s="17" t="s">
        <v>122</v>
      </c>
      <c r="H90" t="s">
        <v>122</v>
      </c>
      <c r="I90">
        <f t="shared" ref="I90" ca="1" si="26">IF(J90="",OFFSET(I90,-1,0),OFFSET(I90,-1,0)+1)</f>
        <v>440</v>
      </c>
      <c r="J90" t="str">
        <f t="shared" ref="J90" si="27">IF(B90="","",B90)</f>
        <v>文字列 小文字判定</v>
      </c>
    </row>
    <row r="91" spans="1:10" ht="11.25" customHeight="1" outlineLevel="1">
      <c r="A91" s="15"/>
      <c r="B91" s="15" t="s">
        <v>71</v>
      </c>
      <c r="C91" s="16" t="s">
        <v>770</v>
      </c>
      <c r="D91" s="47" t="s">
        <v>2122</v>
      </c>
      <c r="E91" s="47" t="s">
        <v>2122</v>
      </c>
      <c r="F91" s="17" t="s">
        <v>771</v>
      </c>
      <c r="G91" s="17" t="s">
        <v>2122</v>
      </c>
      <c r="H91" t="s">
        <v>122</v>
      </c>
      <c r="I91">
        <f t="shared" ca="1" si="0"/>
        <v>441</v>
      </c>
      <c r="J91" t="str">
        <f t="shared" si="1"/>
        <v>文字列⇒ASCII 変換</v>
      </c>
    </row>
    <row r="92" spans="1:10" ht="11.25" customHeight="1" outlineLevel="1">
      <c r="A92" s="15"/>
      <c r="B92" s="15" t="s">
        <v>3158</v>
      </c>
      <c r="C92" s="16" t="s">
        <v>3098</v>
      </c>
      <c r="D92" s="47" t="s">
        <v>122</v>
      </c>
      <c r="E92" s="47" t="s">
        <v>122</v>
      </c>
      <c r="F92" s="17" t="s">
        <v>3127</v>
      </c>
      <c r="G92" s="17" t="s">
        <v>122</v>
      </c>
      <c r="H92" t="s">
        <v>122</v>
      </c>
      <c r="I92">
        <f t="shared" ref="I92:I120" ca="1" si="28">IF(J92="",OFFSET(I92,-1,0),OFFSET(I92,-1,0)+1)</f>
        <v>442</v>
      </c>
      <c r="J92" t="str">
        <f t="shared" ref="J92:J120" si="29">IF(B92="","",B92)</f>
        <v>f文字列（0埋め指定）</v>
      </c>
    </row>
    <row r="93" spans="1:10" ht="11.25" customHeight="1" outlineLevel="1">
      <c r="A93" s="15"/>
      <c r="B93" s="15" t="s">
        <v>3157</v>
      </c>
      <c r="C93" s="16" t="s">
        <v>3099</v>
      </c>
      <c r="D93" s="47" t="s">
        <v>122</v>
      </c>
      <c r="E93" s="47" t="s">
        <v>122</v>
      </c>
      <c r="F93" s="17" t="s">
        <v>3128</v>
      </c>
      <c r="G93" s="17" t="s">
        <v>122</v>
      </c>
      <c r="H93" t="s">
        <v>122</v>
      </c>
      <c r="I93">
        <f t="shared" ca="1" si="28"/>
        <v>443</v>
      </c>
      <c r="J93" t="str">
        <f t="shared" si="29"/>
        <v>f文字列（カンマ区切り指定）</v>
      </c>
    </row>
    <row r="94" spans="1:10" ht="11.25" customHeight="1" outlineLevel="1">
      <c r="A94" s="15"/>
      <c r="B94" s="15" t="s">
        <v>3154</v>
      </c>
      <c r="C94" s="16" t="s">
        <v>3100</v>
      </c>
      <c r="D94" s="47" t="s">
        <v>122</v>
      </c>
      <c r="E94" s="47" t="s">
        <v>122</v>
      </c>
      <c r="F94" s="17" t="s">
        <v>3129</v>
      </c>
      <c r="G94" s="17" t="s">
        <v>122</v>
      </c>
      <c r="H94" t="s">
        <v>122</v>
      </c>
      <c r="I94">
        <f t="shared" ca="1" si="28"/>
        <v>444</v>
      </c>
      <c r="J94" t="str">
        <f t="shared" si="29"/>
        <v>f文字列（浮動小数 桁数指定）</v>
      </c>
    </row>
    <row r="95" spans="1:10" ht="11.25" customHeight="1" outlineLevel="1">
      <c r="A95" s="15"/>
      <c r="B95" s="15" t="s">
        <v>3155</v>
      </c>
      <c r="C95" s="16" t="s">
        <v>3101</v>
      </c>
      <c r="D95" s="47" t="s">
        <v>122</v>
      </c>
      <c r="E95" s="47" t="s">
        <v>122</v>
      </c>
      <c r="F95" s="17" t="s">
        <v>3130</v>
      </c>
      <c r="G95" s="17" t="s">
        <v>122</v>
      </c>
      <c r="H95" t="s">
        <v>122</v>
      </c>
      <c r="I95">
        <f t="shared" ca="1" si="28"/>
        <v>445</v>
      </c>
      <c r="J95" t="str">
        <f t="shared" si="29"/>
        <v>f文字列（浮動小数 有効桁数指定）</v>
      </c>
    </row>
    <row r="96" spans="1:10" ht="11.25" customHeight="1" outlineLevel="1">
      <c r="A96" s="15"/>
      <c r="B96" s="15" t="s">
        <v>3163</v>
      </c>
      <c r="C96" s="16" t="s">
        <v>3102</v>
      </c>
      <c r="D96" s="47" t="s">
        <v>122</v>
      </c>
      <c r="E96" s="47" t="s">
        <v>122</v>
      </c>
      <c r="F96" s="17" t="s">
        <v>3131</v>
      </c>
      <c r="G96" s="17" t="s">
        <v>122</v>
      </c>
      <c r="H96" t="s">
        <v>122</v>
      </c>
      <c r="I96">
        <f t="shared" ca="1" si="28"/>
        <v>446</v>
      </c>
      <c r="J96" t="str">
        <f t="shared" si="29"/>
        <v>f文字列（浮動小数 指数表記指定(小文字)）</v>
      </c>
    </row>
    <row r="97" spans="1:10" ht="11.25" customHeight="1" outlineLevel="1">
      <c r="A97" s="15"/>
      <c r="B97" s="15" t="s">
        <v>3162</v>
      </c>
      <c r="C97" s="16" t="s">
        <v>3103</v>
      </c>
      <c r="D97" s="47" t="s">
        <v>122</v>
      </c>
      <c r="E97" s="47" t="s">
        <v>122</v>
      </c>
      <c r="F97" s="17" t="s">
        <v>3132</v>
      </c>
      <c r="G97" s="17" t="s">
        <v>122</v>
      </c>
      <c r="H97" t="s">
        <v>122</v>
      </c>
      <c r="I97">
        <f t="shared" ca="1" si="28"/>
        <v>447</v>
      </c>
      <c r="J97" t="str">
        <f t="shared" si="29"/>
        <v>f文字列（浮動小数 指数表記指定(大文字)）</v>
      </c>
    </row>
    <row r="98" spans="1:10" ht="11.25" customHeight="1" outlineLevel="1">
      <c r="A98" s="15"/>
      <c r="B98" s="15" t="s">
        <v>3156</v>
      </c>
      <c r="C98" s="16" t="s">
        <v>3104</v>
      </c>
      <c r="D98" s="47" t="s">
        <v>122</v>
      </c>
      <c r="E98" s="47" t="s">
        <v>122</v>
      </c>
      <c r="F98" s="17" t="s">
        <v>3133</v>
      </c>
      <c r="G98" s="17" t="s">
        <v>122</v>
      </c>
      <c r="H98" t="s">
        <v>122</v>
      </c>
      <c r="I98">
        <f t="shared" ca="1" si="28"/>
        <v>448</v>
      </c>
      <c r="J98" t="str">
        <f t="shared" si="29"/>
        <v>f文字列（浮動小数 パーセンテージ表記指定）</v>
      </c>
    </row>
    <row r="99" spans="1:10" ht="11.25" customHeight="1" outlineLevel="1">
      <c r="A99" s="15"/>
      <c r="B99" s="15" t="s">
        <v>3159</v>
      </c>
      <c r="C99" s="16" t="s">
        <v>3105</v>
      </c>
      <c r="D99" s="47" t="s">
        <v>122</v>
      </c>
      <c r="E99" s="47" t="s">
        <v>122</v>
      </c>
      <c r="F99" s="17" t="s">
        <v>3134</v>
      </c>
      <c r="G99" s="17" t="s">
        <v>122</v>
      </c>
      <c r="H99" t="s">
        <v>122</v>
      </c>
      <c r="I99">
        <f t="shared" ca="1" si="28"/>
        <v>449</v>
      </c>
      <c r="J99" t="str">
        <f t="shared" si="29"/>
        <v>f文字列（2進数表記指定）</v>
      </c>
    </row>
    <row r="100" spans="1:10" ht="11.25" customHeight="1" outlineLevel="1">
      <c r="A100" s="15"/>
      <c r="B100" s="15" t="s">
        <v>3160</v>
      </c>
      <c r="C100" s="16" t="s">
        <v>3106</v>
      </c>
      <c r="D100" s="47" t="s">
        <v>122</v>
      </c>
      <c r="E100" s="47" t="s">
        <v>122</v>
      </c>
      <c r="F100" s="17" t="s">
        <v>3135</v>
      </c>
      <c r="G100" s="17" t="s">
        <v>122</v>
      </c>
      <c r="H100" t="s">
        <v>122</v>
      </c>
      <c r="I100">
        <f t="shared" ca="1" si="28"/>
        <v>450</v>
      </c>
      <c r="J100" t="str">
        <f t="shared" si="29"/>
        <v>f文字列（8進数表記指定）</v>
      </c>
    </row>
    <row r="101" spans="1:10" ht="11.25" customHeight="1" outlineLevel="1">
      <c r="A101" s="15"/>
      <c r="B101" s="15" t="s">
        <v>3161</v>
      </c>
      <c r="C101" s="16" t="s">
        <v>3107</v>
      </c>
      <c r="D101" s="47" t="s">
        <v>122</v>
      </c>
      <c r="E101" s="47" t="s">
        <v>122</v>
      </c>
      <c r="F101" s="17" t="s">
        <v>3136</v>
      </c>
      <c r="G101" s="17" t="s">
        <v>122</v>
      </c>
      <c r="H101" t="s">
        <v>122</v>
      </c>
      <c r="I101">
        <f t="shared" ca="1" si="28"/>
        <v>451</v>
      </c>
      <c r="J101" t="str">
        <f t="shared" si="29"/>
        <v>f文字列（16進数表記指定(小文字)）</v>
      </c>
    </row>
    <row r="102" spans="1:10" ht="11.25" customHeight="1" outlineLevel="1">
      <c r="A102" s="15"/>
      <c r="B102" s="15" t="s">
        <v>3164</v>
      </c>
      <c r="C102" s="16" t="s">
        <v>3108</v>
      </c>
      <c r="D102" s="47" t="s">
        <v>122</v>
      </c>
      <c r="E102" s="47" t="s">
        <v>122</v>
      </c>
      <c r="F102" s="17" t="s">
        <v>3137</v>
      </c>
      <c r="G102" s="17" t="s">
        <v>122</v>
      </c>
      <c r="H102" t="s">
        <v>122</v>
      </c>
      <c r="I102">
        <f t="shared" ca="1" si="28"/>
        <v>452</v>
      </c>
      <c r="J102" t="str">
        <f t="shared" si="29"/>
        <v>f文字列（16進数表記指定(大文字)）</v>
      </c>
    </row>
    <row r="103" spans="1:10" ht="11.25" customHeight="1" outlineLevel="1">
      <c r="A103" s="15"/>
      <c r="B103" s="15" t="s">
        <v>3165</v>
      </c>
      <c r="C103" s="16" t="s">
        <v>3109</v>
      </c>
      <c r="D103" s="47" t="s">
        <v>122</v>
      </c>
      <c r="E103" s="47" t="s">
        <v>122</v>
      </c>
      <c r="F103" s="17" t="s">
        <v>3134</v>
      </c>
      <c r="G103" s="17" t="s">
        <v>122</v>
      </c>
      <c r="H103" t="s">
        <v>122</v>
      </c>
      <c r="I103">
        <f t="shared" ca="1" si="28"/>
        <v>453</v>
      </c>
      <c r="J103" t="str">
        <f t="shared" si="29"/>
        <v>f文字列（2進数表記指定 0埋め）</v>
      </c>
    </row>
    <row r="104" spans="1:10" ht="11.25" customHeight="1" outlineLevel="1">
      <c r="A104" s="15"/>
      <c r="B104" s="15" t="s">
        <v>3166</v>
      </c>
      <c r="C104" s="16" t="s">
        <v>3110</v>
      </c>
      <c r="D104" s="47" t="s">
        <v>122</v>
      </c>
      <c r="E104" s="47" t="s">
        <v>122</v>
      </c>
      <c r="F104" s="17" t="s">
        <v>3138</v>
      </c>
      <c r="G104" s="17" t="s">
        <v>122</v>
      </c>
      <c r="H104" t="s">
        <v>122</v>
      </c>
      <c r="I104">
        <f t="shared" ca="1" si="28"/>
        <v>454</v>
      </c>
      <c r="J104" t="str">
        <f t="shared" si="29"/>
        <v>f文字列（8進数表記指定 0埋め）</v>
      </c>
    </row>
    <row r="105" spans="1:10" ht="11.25" customHeight="1" outlineLevel="1">
      <c r="A105" s="15"/>
      <c r="B105" s="15" t="s">
        <v>3167</v>
      </c>
      <c r="C105" s="16" t="s">
        <v>3111</v>
      </c>
      <c r="D105" s="47" t="s">
        <v>122</v>
      </c>
      <c r="E105" s="47" t="s">
        <v>122</v>
      </c>
      <c r="F105" s="17" t="s">
        <v>3139</v>
      </c>
      <c r="G105" s="17" t="s">
        <v>122</v>
      </c>
      <c r="H105" t="s">
        <v>122</v>
      </c>
      <c r="I105">
        <f t="shared" ca="1" si="28"/>
        <v>455</v>
      </c>
      <c r="J105" t="str">
        <f t="shared" si="29"/>
        <v>f文字列（16進数表記指定(小文字) 0埋め）</v>
      </c>
    </row>
    <row r="106" spans="1:10" ht="11.25" customHeight="1" outlineLevel="1">
      <c r="A106" s="15"/>
      <c r="B106" s="15" t="s">
        <v>3168</v>
      </c>
      <c r="C106" s="16" t="s">
        <v>3112</v>
      </c>
      <c r="D106" s="47" t="s">
        <v>122</v>
      </c>
      <c r="E106" s="47" t="s">
        <v>122</v>
      </c>
      <c r="F106" s="17" t="s">
        <v>3140</v>
      </c>
      <c r="G106" s="17" t="s">
        <v>122</v>
      </c>
      <c r="H106" t="s">
        <v>122</v>
      </c>
      <c r="I106">
        <f t="shared" ca="1" si="28"/>
        <v>456</v>
      </c>
      <c r="J106" t="str">
        <f t="shared" si="29"/>
        <v>f文字列（16進数表記指定(大文字) 0埋め）</v>
      </c>
    </row>
    <row r="107" spans="1:10" ht="11.25" customHeight="1" outlineLevel="1">
      <c r="A107" s="15"/>
      <c r="B107" s="15" t="s">
        <v>3169</v>
      </c>
      <c r="C107" s="16" t="s">
        <v>3113</v>
      </c>
      <c r="D107" s="47" t="s">
        <v>122</v>
      </c>
      <c r="E107" s="47" t="s">
        <v>122</v>
      </c>
      <c r="F107" s="17" t="s">
        <v>3141</v>
      </c>
      <c r="G107" s="17" t="s">
        <v>122</v>
      </c>
      <c r="H107" t="s">
        <v>122</v>
      </c>
      <c r="I107">
        <f t="shared" ca="1" si="28"/>
        <v>457</v>
      </c>
      <c r="J107" t="str">
        <f t="shared" si="29"/>
        <v>f文字列（2進数表記指定 プレフィックス付与）</v>
      </c>
    </row>
    <row r="108" spans="1:10" ht="11.25" customHeight="1" outlineLevel="1">
      <c r="A108" s="15"/>
      <c r="B108" s="15" t="s">
        <v>3170</v>
      </c>
      <c r="C108" s="16" t="s">
        <v>3114</v>
      </c>
      <c r="D108" s="47" t="s">
        <v>122</v>
      </c>
      <c r="E108" s="47" t="s">
        <v>122</v>
      </c>
      <c r="F108" s="17" t="s">
        <v>3142</v>
      </c>
      <c r="G108" s="17" t="s">
        <v>122</v>
      </c>
      <c r="H108" t="s">
        <v>122</v>
      </c>
      <c r="I108">
        <f t="shared" ca="1" si="28"/>
        <v>458</v>
      </c>
      <c r="J108" t="str">
        <f t="shared" si="29"/>
        <v>f文字列（8進数表記指定 プレフィックス付与）</v>
      </c>
    </row>
    <row r="109" spans="1:10" ht="11.25" customHeight="1" outlineLevel="1">
      <c r="A109" s="15"/>
      <c r="B109" s="15" t="s">
        <v>3171</v>
      </c>
      <c r="C109" s="16" t="s">
        <v>3115</v>
      </c>
      <c r="D109" s="47" t="s">
        <v>122</v>
      </c>
      <c r="E109" s="47" t="s">
        <v>122</v>
      </c>
      <c r="F109" s="17" t="s">
        <v>3143</v>
      </c>
      <c r="G109" s="17" t="s">
        <v>122</v>
      </c>
      <c r="H109" t="s">
        <v>122</v>
      </c>
      <c r="I109">
        <f t="shared" ca="1" si="28"/>
        <v>459</v>
      </c>
      <c r="J109" t="str">
        <f t="shared" si="29"/>
        <v>f文字列（16進数表記指定(小文字) プレフィックス付与）</v>
      </c>
    </row>
    <row r="110" spans="1:10" ht="11.25" customHeight="1" outlineLevel="1">
      <c r="A110" s="15"/>
      <c r="B110" s="15" t="s">
        <v>3172</v>
      </c>
      <c r="C110" s="16" t="s">
        <v>3116</v>
      </c>
      <c r="D110" s="47" t="s">
        <v>122</v>
      </c>
      <c r="E110" s="47" t="s">
        <v>122</v>
      </c>
      <c r="F110" s="17" t="s">
        <v>3144</v>
      </c>
      <c r="G110" s="17" t="s">
        <v>122</v>
      </c>
      <c r="H110" t="s">
        <v>122</v>
      </c>
      <c r="I110">
        <f t="shared" ca="1" si="28"/>
        <v>460</v>
      </c>
      <c r="J110" t="str">
        <f t="shared" si="29"/>
        <v>f文字列（16進数表記指定(大文字) プレフィックス付与）</v>
      </c>
    </row>
    <row r="111" spans="1:10" ht="11.25" customHeight="1" outlineLevel="1">
      <c r="A111" s="15"/>
      <c r="B111" s="15" t="s">
        <v>3173</v>
      </c>
      <c r="C111" s="16" t="s">
        <v>3117</v>
      </c>
      <c r="D111" s="47" t="s">
        <v>122</v>
      </c>
      <c r="E111" s="47" t="s">
        <v>122</v>
      </c>
      <c r="F111" s="17" t="s">
        <v>3145</v>
      </c>
      <c r="G111" s="17" t="s">
        <v>122</v>
      </c>
      <c r="H111" t="s">
        <v>122</v>
      </c>
      <c r="I111">
        <f t="shared" ca="1" si="28"/>
        <v>461</v>
      </c>
      <c r="J111" t="str">
        <f t="shared" si="29"/>
        <v>f文字列（日時表記）</v>
      </c>
    </row>
    <row r="112" spans="1:10" ht="11.25" customHeight="1" outlineLevel="1">
      <c r="A112" s="15"/>
      <c r="B112" s="15" t="s">
        <v>3174</v>
      </c>
      <c r="C112" s="16" t="s">
        <v>3118</v>
      </c>
      <c r="D112" s="47" t="s">
        <v>122</v>
      </c>
      <c r="E112" s="47" t="s">
        <v>122</v>
      </c>
      <c r="F112" s="17" t="s">
        <v>3146</v>
      </c>
      <c r="G112" s="17" t="s">
        <v>122</v>
      </c>
      <c r="H112" t="s">
        <v>122</v>
      </c>
      <c r="I112">
        <f t="shared" ca="1" si="28"/>
        <v>462</v>
      </c>
      <c r="J112" t="str">
        <f t="shared" si="29"/>
        <v>f文字列（空白右詰め）</v>
      </c>
    </row>
    <row r="113" spans="1:10" ht="11.25" customHeight="1" outlineLevel="1">
      <c r="A113" s="15"/>
      <c r="B113" s="15" t="s">
        <v>3176</v>
      </c>
      <c r="C113" s="16" t="s">
        <v>3119</v>
      </c>
      <c r="D113" s="47" t="s">
        <v>122</v>
      </c>
      <c r="E113" s="47" t="s">
        <v>122</v>
      </c>
      <c r="F113" s="17" t="s">
        <v>3147</v>
      </c>
      <c r="G113" s="17" t="s">
        <v>122</v>
      </c>
      <c r="H113" t="s">
        <v>122</v>
      </c>
      <c r="I113">
        <f t="shared" ca="1" si="28"/>
        <v>463</v>
      </c>
      <c r="J113" t="str">
        <f t="shared" si="29"/>
        <v>f文字列（空白中央詰め）</v>
      </c>
    </row>
    <row r="114" spans="1:10" ht="11.25" customHeight="1" outlineLevel="1">
      <c r="A114" s="15"/>
      <c r="B114" s="15" t="s">
        <v>3175</v>
      </c>
      <c r="C114" s="16" t="s">
        <v>3120</v>
      </c>
      <c r="D114" s="47" t="s">
        <v>122</v>
      </c>
      <c r="E114" s="47" t="s">
        <v>122</v>
      </c>
      <c r="F114" s="17" t="s">
        <v>287</v>
      </c>
      <c r="G114" s="17" t="s">
        <v>122</v>
      </c>
      <c r="H114" t="s">
        <v>122</v>
      </c>
      <c r="I114">
        <f t="shared" ca="1" si="28"/>
        <v>464</v>
      </c>
      <c r="J114" t="str">
        <f t="shared" si="29"/>
        <v>f文字列（空白左詰め）</v>
      </c>
    </row>
    <row r="115" spans="1:10" ht="11.25" customHeight="1" outlineLevel="1">
      <c r="A115" s="15"/>
      <c r="B115" s="15" t="s">
        <v>3177</v>
      </c>
      <c r="C115" s="16" t="s">
        <v>3121</v>
      </c>
      <c r="D115" s="47" t="s">
        <v>122</v>
      </c>
      <c r="E115" s="47" t="s">
        <v>122</v>
      </c>
      <c r="F115" s="17" t="s">
        <v>3148</v>
      </c>
      <c r="G115" s="17" t="s">
        <v>122</v>
      </c>
      <c r="H115" t="s">
        <v>122</v>
      </c>
      <c r="I115">
        <f t="shared" ca="1" si="28"/>
        <v>465</v>
      </c>
      <c r="J115" t="str">
        <f t="shared" si="29"/>
        <v>f文字列（指定文字右詰め）</v>
      </c>
    </row>
    <row r="116" spans="1:10" ht="11.25" customHeight="1" outlineLevel="1">
      <c r="A116" s="15"/>
      <c r="B116" s="15" t="s">
        <v>3178</v>
      </c>
      <c r="C116" s="16" t="s">
        <v>3122</v>
      </c>
      <c r="D116" s="47" t="s">
        <v>122</v>
      </c>
      <c r="E116" s="47" t="s">
        <v>122</v>
      </c>
      <c r="F116" s="17" t="s">
        <v>3149</v>
      </c>
      <c r="G116" s="17" t="s">
        <v>122</v>
      </c>
      <c r="H116" t="s">
        <v>122</v>
      </c>
      <c r="I116">
        <f t="shared" ca="1" si="28"/>
        <v>466</v>
      </c>
      <c r="J116" t="str">
        <f t="shared" si="29"/>
        <v>f文字列（指定文字中央詰め）</v>
      </c>
    </row>
    <row r="117" spans="1:10" ht="11.25" customHeight="1" outlineLevel="1">
      <c r="A117" s="15"/>
      <c r="B117" s="15" t="s">
        <v>3179</v>
      </c>
      <c r="C117" s="16" t="s">
        <v>3123</v>
      </c>
      <c r="D117" s="47" t="s">
        <v>122</v>
      </c>
      <c r="E117" s="47" t="s">
        <v>122</v>
      </c>
      <c r="F117" s="17" t="s">
        <v>3150</v>
      </c>
      <c r="G117" s="17" t="s">
        <v>122</v>
      </c>
      <c r="H117" t="s">
        <v>122</v>
      </c>
      <c r="I117">
        <f t="shared" ca="1" si="28"/>
        <v>467</v>
      </c>
      <c r="J117" t="str">
        <f t="shared" si="29"/>
        <v>f文字列（指定文字左詰め）</v>
      </c>
    </row>
    <row r="118" spans="1:10" ht="11.25" customHeight="1" outlineLevel="1">
      <c r="A118" s="15"/>
      <c r="B118" s="15" t="s">
        <v>3180</v>
      </c>
      <c r="C118" s="16" t="s">
        <v>3124</v>
      </c>
      <c r="D118" s="47" t="s">
        <v>122</v>
      </c>
      <c r="E118" s="47" t="s">
        <v>122</v>
      </c>
      <c r="F118" s="17" t="s">
        <v>3151</v>
      </c>
      <c r="G118" s="17" t="s">
        <v>122</v>
      </c>
      <c r="H118" t="s">
        <v>122</v>
      </c>
      <c r="I118">
        <f t="shared" ca="1" si="28"/>
        <v>468</v>
      </c>
      <c r="J118" t="str">
        <f t="shared" si="29"/>
        <v>f文字列（変数名表示）</v>
      </c>
    </row>
    <row r="119" spans="1:10" ht="11.25" customHeight="1" outlineLevel="1">
      <c r="A119" s="15"/>
      <c r="B119" s="15" t="s">
        <v>3180</v>
      </c>
      <c r="C119" s="16" t="s">
        <v>3125</v>
      </c>
      <c r="D119" s="47" t="s">
        <v>122</v>
      </c>
      <c r="E119" s="47" t="s">
        <v>122</v>
      </c>
      <c r="F119" s="17" t="s">
        <v>3152</v>
      </c>
      <c r="G119" s="17" t="s">
        <v>122</v>
      </c>
      <c r="H119" t="s">
        <v>122</v>
      </c>
      <c r="I119">
        <f t="shared" ca="1" si="28"/>
        <v>469</v>
      </c>
      <c r="J119" t="str">
        <f t="shared" si="29"/>
        <v>f文字列（変数名表示）</v>
      </c>
    </row>
    <row r="120" spans="1:10" ht="11.25" customHeight="1" outlineLevel="1">
      <c r="A120" s="15"/>
      <c r="B120" s="15" t="s">
        <v>3180</v>
      </c>
      <c r="C120" s="16" t="s">
        <v>3126</v>
      </c>
      <c r="D120" s="47" t="s">
        <v>122</v>
      </c>
      <c r="E120" s="47" t="s">
        <v>122</v>
      </c>
      <c r="F120" s="17" t="s">
        <v>3153</v>
      </c>
      <c r="G120" s="17" t="s">
        <v>122</v>
      </c>
      <c r="H120" t="s">
        <v>122</v>
      </c>
      <c r="I120">
        <f t="shared" ca="1" si="28"/>
        <v>470</v>
      </c>
      <c r="J120" t="str">
        <f t="shared" si="29"/>
        <v>f文字列（変数名表示）</v>
      </c>
    </row>
    <row r="121" spans="1:10" ht="11.25" customHeight="1" outlineLevel="1">
      <c r="A121" s="15"/>
      <c r="B121" s="15" t="s">
        <v>73</v>
      </c>
      <c r="C121" s="16" t="s">
        <v>772</v>
      </c>
      <c r="D121" s="47" t="s">
        <v>2122</v>
      </c>
      <c r="E121" s="47" t="s">
        <v>2122</v>
      </c>
      <c r="F121" s="17" t="s">
        <v>773</v>
      </c>
      <c r="G121" s="17" t="s">
        <v>2122</v>
      </c>
      <c r="H121" t="s">
        <v>122</v>
      </c>
      <c r="I121">
        <f t="shared" ca="1" si="0"/>
        <v>471</v>
      </c>
      <c r="J121" t="str">
        <f t="shared" si="1"/>
        <v>ASCII⇒文字列 変換</v>
      </c>
    </row>
    <row r="122" spans="1:10" ht="11.25" customHeight="1" outlineLevel="1">
      <c r="A122" s="15"/>
      <c r="B122" s="15" t="s">
        <v>900</v>
      </c>
      <c r="C122" s="16" t="s">
        <v>908</v>
      </c>
      <c r="D122" s="47" t="s">
        <v>2122</v>
      </c>
      <c r="E122" s="47" t="s">
        <v>2122</v>
      </c>
      <c r="F122" s="19" t="s">
        <v>909</v>
      </c>
      <c r="G122" s="19" t="s">
        <v>2122</v>
      </c>
      <c r="H122" t="s">
        <v>122</v>
      </c>
      <c r="I122">
        <f t="shared" ca="1" si="0"/>
        <v>472</v>
      </c>
      <c r="J122" t="str">
        <f t="shared" si="1"/>
        <v>文字列 繰り返し</v>
      </c>
    </row>
    <row r="123" spans="1:10" ht="11.25" customHeight="1" outlineLevel="1">
      <c r="A123" s="15"/>
      <c r="B123" s="15" t="s">
        <v>823</v>
      </c>
      <c r="C123" s="16" t="s">
        <v>904</v>
      </c>
      <c r="D123" s="47" t="s">
        <v>2122</v>
      </c>
      <c r="E123" s="47" t="s">
        <v>2122</v>
      </c>
      <c r="F123" s="17" t="s">
        <v>901</v>
      </c>
      <c r="G123" s="17" t="s">
        <v>2122</v>
      </c>
      <c r="H123" t="s">
        <v>122</v>
      </c>
      <c r="I123">
        <f t="shared" ca="1" si="0"/>
        <v>473</v>
      </c>
      <c r="J123" t="str">
        <f t="shared" si="1"/>
        <v>文字列 大文字化</v>
      </c>
    </row>
    <row r="124" spans="1:10" ht="11.25" customHeight="1" outlineLevel="1">
      <c r="A124" s="15"/>
      <c r="B124" s="15" t="s">
        <v>822</v>
      </c>
      <c r="C124" s="16" t="s">
        <v>905</v>
      </c>
      <c r="D124" s="47" t="s">
        <v>2122</v>
      </c>
      <c r="E124" s="47" t="s">
        <v>2122</v>
      </c>
      <c r="F124" s="17" t="s">
        <v>902</v>
      </c>
      <c r="G124" s="17" t="s">
        <v>2122</v>
      </c>
      <c r="H124" t="s">
        <v>122</v>
      </c>
      <c r="I124">
        <f t="shared" ref="I124:I155" ca="1" si="30">IF(J124="",OFFSET(I124,-1,0),OFFSET(I124,-1,0)+1)</f>
        <v>474</v>
      </c>
      <c r="J124" t="str">
        <f t="shared" si="1"/>
        <v>文字列 小文字化</v>
      </c>
    </row>
    <row r="125" spans="1:10" ht="11.25" customHeight="1" outlineLevel="1">
      <c r="A125" s="15"/>
      <c r="B125" s="15" t="s">
        <v>821</v>
      </c>
      <c r="C125" s="16" t="s">
        <v>906</v>
      </c>
      <c r="D125" s="47" t="s">
        <v>2122</v>
      </c>
      <c r="E125" s="47" t="s">
        <v>2122</v>
      </c>
      <c r="F125" s="17" t="s">
        <v>903</v>
      </c>
      <c r="G125" s="17" t="s">
        <v>2122</v>
      </c>
      <c r="H125" t="s">
        <v>122</v>
      </c>
      <c r="I125">
        <f t="shared" ca="1" si="30"/>
        <v>475</v>
      </c>
      <c r="J125" t="str">
        <f t="shared" ref="J125:J155" si="31">IF(B125="","",B125)</f>
        <v>文字列 文字埋込</v>
      </c>
    </row>
    <row r="126" spans="1:10" ht="11.25" customHeight="1" outlineLevel="1">
      <c r="A126" s="15"/>
      <c r="B126" s="15" t="s">
        <v>755</v>
      </c>
      <c r="C126" s="16" t="s">
        <v>907</v>
      </c>
      <c r="D126" s="47" t="s">
        <v>2122</v>
      </c>
      <c r="E126" s="47" t="s">
        <v>2122</v>
      </c>
      <c r="F126" s="17">
        <v>1234</v>
      </c>
      <c r="G126" s="17" t="s">
        <v>2122</v>
      </c>
      <c r="H126" t="s">
        <v>122</v>
      </c>
      <c r="I126">
        <f t="shared" ca="1" si="30"/>
        <v>476</v>
      </c>
      <c r="J126" t="str">
        <f t="shared" si="31"/>
        <v>文字列 ０埋込</v>
      </c>
    </row>
    <row r="127" spans="1:10" ht="11.25" customHeight="1" outlineLevel="1">
      <c r="A127" s="15"/>
      <c r="B127" s="15" t="s">
        <v>83</v>
      </c>
      <c r="C127" s="16" t="s">
        <v>2192</v>
      </c>
      <c r="D127" s="47" t="s">
        <v>2122</v>
      </c>
      <c r="E127" s="47" t="s">
        <v>2122</v>
      </c>
      <c r="F127" s="17" t="s">
        <v>2194</v>
      </c>
      <c r="G127" s="17" t="s">
        <v>2122</v>
      </c>
      <c r="H127" t="s">
        <v>122</v>
      </c>
      <c r="I127">
        <f t="shared" ca="1" si="30"/>
        <v>477</v>
      </c>
      <c r="J127" t="str">
        <f t="shared" si="31"/>
        <v>型取得（値）</v>
      </c>
    </row>
    <row r="128" spans="1:10" ht="11.25" customHeight="1" outlineLevel="1">
      <c r="A128" s="15"/>
      <c r="B128" s="15" t="s">
        <v>82</v>
      </c>
      <c r="C128" s="16" t="s">
        <v>2193</v>
      </c>
      <c r="D128" s="47" t="s">
        <v>2122</v>
      </c>
      <c r="E128" s="47" t="s">
        <v>2122</v>
      </c>
      <c r="F128" s="17" t="s">
        <v>2195</v>
      </c>
      <c r="G128" s="17" t="s">
        <v>2122</v>
      </c>
      <c r="H128" t="s">
        <v>122</v>
      </c>
      <c r="I128">
        <f t="shared" ca="1" si="30"/>
        <v>478</v>
      </c>
      <c r="J128" t="str">
        <f t="shared" si="31"/>
        <v>型取得（文字列）</v>
      </c>
    </row>
    <row r="129" spans="1:10" ht="11.25" customHeight="1" outlineLevel="1">
      <c r="A129" s="15"/>
      <c r="B129" s="15" t="s">
        <v>84</v>
      </c>
      <c r="C129" s="16" t="s">
        <v>774</v>
      </c>
      <c r="D129" s="47" t="s">
        <v>2122</v>
      </c>
      <c r="E129" s="47" t="s">
        <v>2122</v>
      </c>
      <c r="F129" s="17" t="s">
        <v>775</v>
      </c>
      <c r="G129" s="17" t="s">
        <v>2122</v>
      </c>
      <c r="H129" t="s">
        <v>122</v>
      </c>
      <c r="I129">
        <f t="shared" ca="1" si="30"/>
        <v>479</v>
      </c>
      <c r="J129" t="str">
        <f t="shared" si="31"/>
        <v>10⇒16進数変換</v>
      </c>
    </row>
    <row r="130" spans="1:10" ht="11.25" customHeight="1" outlineLevel="1">
      <c r="A130" s="15"/>
      <c r="B130" s="15" t="s">
        <v>85</v>
      </c>
      <c r="C130" s="16" t="s">
        <v>776</v>
      </c>
      <c r="D130" s="47" t="s">
        <v>2122</v>
      </c>
      <c r="E130" s="47" t="s">
        <v>2122</v>
      </c>
      <c r="F130" s="17" t="s">
        <v>777</v>
      </c>
      <c r="G130" s="17" t="s">
        <v>2122</v>
      </c>
      <c r="H130" t="s">
        <v>122</v>
      </c>
      <c r="I130">
        <f t="shared" ca="1" si="30"/>
        <v>480</v>
      </c>
      <c r="J130" t="str">
        <f t="shared" si="31"/>
        <v>16⇒10進数変換</v>
      </c>
    </row>
    <row r="131" spans="1:10" ht="11.25" customHeight="1" outlineLevel="1">
      <c r="A131" s="15"/>
      <c r="B131" s="15" t="s">
        <v>2198</v>
      </c>
      <c r="C131" s="16" t="s">
        <v>2196</v>
      </c>
      <c r="D131" s="47" t="s">
        <v>2122</v>
      </c>
      <c r="E131" s="47" t="s">
        <v>2122</v>
      </c>
      <c r="F131" s="17" t="s">
        <v>2122</v>
      </c>
      <c r="G131" s="17" t="s">
        <v>2122</v>
      </c>
      <c r="H131" t="s">
        <v>122</v>
      </c>
      <c r="I131">
        <f t="shared" ca="1" si="30"/>
        <v>481</v>
      </c>
      <c r="J131" t="str">
        <f t="shared" si="31"/>
        <v>数値リテラル(16進数)</v>
      </c>
    </row>
    <row r="132" spans="1:10" ht="11.25" customHeight="1" outlineLevel="1">
      <c r="A132" s="15"/>
      <c r="B132" s="15" t="s">
        <v>2199</v>
      </c>
      <c r="C132" s="16" t="s">
        <v>2197</v>
      </c>
      <c r="D132" s="47" t="s">
        <v>122</v>
      </c>
      <c r="E132" s="47" t="s">
        <v>122</v>
      </c>
      <c r="F132" s="17" t="s">
        <v>122</v>
      </c>
      <c r="G132" s="17" t="s">
        <v>122</v>
      </c>
      <c r="H132" t="s">
        <v>122</v>
      </c>
      <c r="I132">
        <f t="shared" ca="1" si="30"/>
        <v>482</v>
      </c>
      <c r="J132" t="str">
        <f t="shared" si="31"/>
        <v>数値リテラル(2進数)</v>
      </c>
    </row>
    <row r="133" spans="1:10" ht="11.25" customHeight="1" outlineLevel="1">
      <c r="A133" s="15"/>
      <c r="B133" s="15" t="s">
        <v>88</v>
      </c>
      <c r="C133" s="16" t="s">
        <v>780</v>
      </c>
      <c r="D133" s="47" t="s">
        <v>2122</v>
      </c>
      <c r="E133" s="47" t="s">
        <v>2122</v>
      </c>
      <c r="F133" s="17" t="s">
        <v>779</v>
      </c>
      <c r="G133" s="17" t="s">
        <v>2122</v>
      </c>
      <c r="H133" t="s">
        <v>122</v>
      </c>
      <c r="I133">
        <f t="shared" ca="1" si="30"/>
        <v>483</v>
      </c>
      <c r="J133" t="str">
        <f t="shared" si="31"/>
        <v>数値⇒文字列 変換</v>
      </c>
    </row>
    <row r="134" spans="1:10" ht="11.25" customHeight="1" outlineLevel="1">
      <c r="A134" s="15"/>
      <c r="B134" s="15" t="s">
        <v>824</v>
      </c>
      <c r="C134" s="16" t="s">
        <v>778</v>
      </c>
      <c r="D134" s="47" t="s">
        <v>2122</v>
      </c>
      <c r="E134" s="47" t="s">
        <v>2122</v>
      </c>
      <c r="F134" s="17" t="s">
        <v>779</v>
      </c>
      <c r="G134" s="17" t="s">
        <v>2122</v>
      </c>
      <c r="H134" t="s">
        <v>122</v>
      </c>
      <c r="I134">
        <f t="shared" ca="1" si="30"/>
        <v>484</v>
      </c>
      <c r="J134" t="str">
        <f t="shared" si="31"/>
        <v>文字列⇒数値 変換</v>
      </c>
    </row>
    <row r="135" spans="1:10" ht="11.25" customHeight="1" outlineLevel="1">
      <c r="A135" s="15"/>
      <c r="B135" s="15" t="s">
        <v>91</v>
      </c>
      <c r="C135" s="20" t="s">
        <v>825</v>
      </c>
      <c r="D135" s="50" t="s">
        <v>2122</v>
      </c>
      <c r="E135" s="50" t="s">
        <v>2122</v>
      </c>
      <c r="F135" s="17" t="s">
        <v>2122</v>
      </c>
      <c r="G135" s="17" t="s">
        <v>2122</v>
      </c>
      <c r="H135" t="s">
        <v>122</v>
      </c>
      <c r="I135">
        <f t="shared" ca="1" si="30"/>
        <v>485</v>
      </c>
      <c r="J135" t="str">
        <f t="shared" si="31"/>
        <v>改行</v>
      </c>
    </row>
    <row r="136" spans="1:10" ht="11.25" customHeight="1" outlineLevel="1">
      <c r="A136" s="15"/>
      <c r="B136" s="15" t="s">
        <v>2109</v>
      </c>
      <c r="C136" s="16" t="s">
        <v>2109</v>
      </c>
      <c r="D136" s="47" t="s">
        <v>2122</v>
      </c>
      <c r="E136" s="47" t="s">
        <v>2122</v>
      </c>
      <c r="F136" s="17" t="s">
        <v>2122</v>
      </c>
      <c r="G136" s="17" t="s">
        <v>2122</v>
      </c>
      <c r="H136" t="s">
        <v>122</v>
      </c>
      <c r="I136">
        <f t="shared" ca="1" si="30"/>
        <v>486</v>
      </c>
      <c r="J136" t="str">
        <f t="shared" si="31"/>
        <v>import math</v>
      </c>
    </row>
    <row r="137" spans="1:10" ht="11.25" customHeight="1" outlineLevel="1">
      <c r="A137" s="15"/>
      <c r="B137" s="15" t="s">
        <v>2306</v>
      </c>
      <c r="C137" s="16" t="str">
        <f>"from decimal import Decimal, ROUND_HALF_UP"&amp;"
def round_(in_num, digit):
    if digit == 0:
        n_digit = '0'
    else:
        n_digit = 1 / pow(10, digit)
    return Decimal(str(in_num)).quantize(Decimal(str(n_digit)), rounding=ROUND_HALF_UP)"</f>
        <v>from decimal import Decimal, ROUND_HALF_UP
def round_(in_num, digit):
    if digit == 0:
        n_digit = '0'
    else:
        n_digit = 1 / pow(10, digit)
    return Decimal(str(in_num)).quantize(Decimal(str(n_digit)), rounding=ROUND_HALF_UP)</v>
      </c>
      <c r="D137" s="47" t="s">
        <v>122</v>
      </c>
      <c r="E137" s="47" t="s">
        <v>122</v>
      </c>
      <c r="F137" s="37"/>
      <c r="G137" s="25" t="s">
        <v>2131</v>
      </c>
      <c r="H137" t="s">
        <v>122</v>
      </c>
      <c r="I137">
        <f t="shared" ca="1" si="30"/>
        <v>487</v>
      </c>
      <c r="J137" t="str">
        <f t="shared" si="31"/>
        <v>少数 四捨五入用関数定義</v>
      </c>
    </row>
    <row r="138" spans="1:10" ht="11.25" customHeight="1" outlineLevel="1">
      <c r="A138" s="15"/>
      <c r="B138" s="15" t="s">
        <v>2110</v>
      </c>
      <c r="C138" s="16" t="s">
        <v>2307</v>
      </c>
      <c r="D138" s="47" t="s">
        <v>2122</v>
      </c>
      <c r="E138" s="47" t="s">
        <v>2122</v>
      </c>
      <c r="F138" s="37" t="s">
        <v>2128</v>
      </c>
      <c r="G138" s="17" t="s">
        <v>2310</v>
      </c>
      <c r="H138" t="s">
        <v>122</v>
      </c>
      <c r="I138">
        <f t="shared" ca="1" si="30"/>
        <v>488</v>
      </c>
      <c r="J138" t="str">
        <f t="shared" si="31"/>
        <v>少数 正数 四捨五入（整数）</v>
      </c>
    </row>
    <row r="139" spans="1:10" ht="11.25" customHeight="1" outlineLevel="1">
      <c r="A139" s="15"/>
      <c r="B139" s="15" t="s">
        <v>2117</v>
      </c>
      <c r="C139" s="16" t="s">
        <v>2308</v>
      </c>
      <c r="D139" s="47" t="s">
        <v>2122</v>
      </c>
      <c r="E139" s="47" t="s">
        <v>2122</v>
      </c>
      <c r="F139" s="17" t="s">
        <v>2129</v>
      </c>
      <c r="G139" s="17" t="s">
        <v>2310</v>
      </c>
      <c r="H139" t="s">
        <v>122</v>
      </c>
      <c r="I139">
        <f t="shared" ca="1" si="30"/>
        <v>489</v>
      </c>
      <c r="J139" t="str">
        <f t="shared" si="31"/>
        <v>少数 正数 四捨五入（第一位）</v>
      </c>
    </row>
    <row r="140" spans="1:10" ht="11.25" customHeight="1" outlineLevel="1">
      <c r="A140" s="15"/>
      <c r="B140" s="15" t="s">
        <v>97</v>
      </c>
      <c r="C140" s="16" t="s">
        <v>2309</v>
      </c>
      <c r="D140" s="47" t="s">
        <v>2122</v>
      </c>
      <c r="E140" s="47" t="s">
        <v>2122</v>
      </c>
      <c r="F140" s="17" t="s">
        <v>2130</v>
      </c>
      <c r="G140" s="17" t="s">
        <v>2310</v>
      </c>
      <c r="H140" t="s">
        <v>122</v>
      </c>
      <c r="I140">
        <f t="shared" ca="1" si="30"/>
        <v>490</v>
      </c>
      <c r="J140" t="str">
        <f t="shared" si="31"/>
        <v>少数 正数 四捨五入（第二位）</v>
      </c>
    </row>
    <row r="141" spans="1:10" ht="11.25" customHeight="1" outlineLevel="1">
      <c r="A141" s="15"/>
      <c r="B141" s="15" t="s">
        <v>2151</v>
      </c>
      <c r="C141" s="16" t="s">
        <v>2311</v>
      </c>
      <c r="D141" s="47" t="s">
        <v>122</v>
      </c>
      <c r="E141" s="47" t="s">
        <v>122</v>
      </c>
      <c r="F141" s="37" t="s">
        <v>2152</v>
      </c>
      <c r="G141" s="17" t="s">
        <v>2310</v>
      </c>
      <c r="H141" t="s">
        <v>122</v>
      </c>
      <c r="I141">
        <f t="shared" ca="1" si="30"/>
        <v>491</v>
      </c>
      <c r="J141" t="str">
        <f t="shared" si="31"/>
        <v>少数 負数 四捨五入（整数）</v>
      </c>
    </row>
    <row r="142" spans="1:10" ht="11.25" customHeight="1" outlineLevel="1">
      <c r="A142" s="15"/>
      <c r="B142" s="15" t="s">
        <v>99</v>
      </c>
      <c r="C142" s="16" t="s">
        <v>2312</v>
      </c>
      <c r="D142" s="47" t="s">
        <v>2122</v>
      </c>
      <c r="E142" s="47" t="s">
        <v>2122</v>
      </c>
      <c r="F142" s="17" t="s">
        <v>2153</v>
      </c>
      <c r="G142" s="17" t="s">
        <v>2310</v>
      </c>
      <c r="H142" t="s">
        <v>122</v>
      </c>
      <c r="I142">
        <f t="shared" ca="1" si="30"/>
        <v>492</v>
      </c>
      <c r="J142" t="str">
        <f t="shared" si="31"/>
        <v>少数 負数 四捨五入（第一位）</v>
      </c>
    </row>
    <row r="143" spans="1:10" ht="11.25" customHeight="1" outlineLevel="1">
      <c r="A143" s="15"/>
      <c r="B143" s="15" t="s">
        <v>100</v>
      </c>
      <c r="C143" s="16" t="s">
        <v>2313</v>
      </c>
      <c r="D143" s="47" t="s">
        <v>2122</v>
      </c>
      <c r="E143" s="47" t="s">
        <v>2122</v>
      </c>
      <c r="F143" s="17" t="s">
        <v>2154</v>
      </c>
      <c r="G143" s="17" t="s">
        <v>2310</v>
      </c>
      <c r="H143" t="s">
        <v>122</v>
      </c>
      <c r="I143">
        <f t="shared" ca="1" si="30"/>
        <v>493</v>
      </c>
      <c r="J143" t="str">
        <f t="shared" si="31"/>
        <v>少数 負数 四捨五入（第二位）</v>
      </c>
    </row>
    <row r="144" spans="1:10" ht="11.25" customHeight="1" outlineLevel="1">
      <c r="A144" s="15"/>
      <c r="B144" s="15" t="s">
        <v>2115</v>
      </c>
      <c r="C144" s="53" t="s">
        <v>2132</v>
      </c>
      <c r="D144" s="47" t="s">
        <v>2122</v>
      </c>
      <c r="E144" s="47" t="s">
        <v>2122</v>
      </c>
      <c r="F144" s="17" t="s">
        <v>2134</v>
      </c>
      <c r="G144" s="17" t="s">
        <v>2138</v>
      </c>
      <c r="H144" t="s">
        <v>122</v>
      </c>
      <c r="I144">
        <f t="shared" ca="1" si="30"/>
        <v>494</v>
      </c>
      <c r="J144" t="str">
        <f t="shared" si="31"/>
        <v>少数 正数 切り捨て（整数）</v>
      </c>
    </row>
    <row r="145" spans="1:10" ht="11.25" customHeight="1" outlineLevel="1">
      <c r="A145" s="15"/>
      <c r="B145" s="18" t="s">
        <v>2140</v>
      </c>
      <c r="C145" s="16" t="str">
        <f>"def floor_(in_num, digit):
    multipler = 10 ** digit
    return math.floor(in_num * multipler) / multipler
floor_(3.5555, 1)"</f>
        <v>def floor_(in_num, digit):
    multipler = 10 ** digit
    return math.floor(in_num * multipler) / multipler
floor_(3.5555, 1)</v>
      </c>
      <c r="D145" s="47" t="s">
        <v>122</v>
      </c>
      <c r="E145" s="47" t="s">
        <v>122</v>
      </c>
      <c r="F145" s="17" t="s">
        <v>2144</v>
      </c>
      <c r="G145" s="17" t="s">
        <v>2138</v>
      </c>
      <c r="H145" t="s">
        <v>122</v>
      </c>
      <c r="I145">
        <f t="shared" ca="1" si="30"/>
        <v>495</v>
      </c>
      <c r="J145" t="str">
        <f t="shared" si="31"/>
        <v>少数 正数 切り捨て（第一位）</v>
      </c>
    </row>
    <row r="146" spans="1:10" ht="11.25" customHeight="1" outlineLevel="1">
      <c r="A146" s="15"/>
      <c r="B146" s="18" t="s">
        <v>2141</v>
      </c>
      <c r="C146" s="16" t="str">
        <f>"def floor_(in_num, digit):
    multipler = 10 ** digit
    return math.floor(in_num * multipler) / multipler
floor_(3.5555, 2)"</f>
        <v>def floor_(in_num, digit):
    multipler = 10 ** digit
    return math.floor(in_num * multipler) / multipler
floor_(3.5555, 2)</v>
      </c>
      <c r="D146" s="47" t="s">
        <v>2122</v>
      </c>
      <c r="E146" s="47" t="s">
        <v>2122</v>
      </c>
      <c r="F146" s="17" t="s">
        <v>2135</v>
      </c>
      <c r="G146" s="17" t="s">
        <v>2138</v>
      </c>
      <c r="H146" t="s">
        <v>122</v>
      </c>
      <c r="I146">
        <f t="shared" ca="1" si="30"/>
        <v>496</v>
      </c>
      <c r="J146" t="str">
        <f t="shared" si="31"/>
        <v>少数 正数 切り捨て（第二位）</v>
      </c>
    </row>
    <row r="147" spans="1:10" ht="11.25" customHeight="1" outlineLevel="1">
      <c r="A147" s="15"/>
      <c r="B147" s="15" t="s">
        <v>2116</v>
      </c>
      <c r="C147" s="16" t="s">
        <v>2133</v>
      </c>
      <c r="D147" s="47" t="s">
        <v>2122</v>
      </c>
      <c r="E147" s="47" t="s">
        <v>2122</v>
      </c>
      <c r="F147" s="17" t="s">
        <v>2136</v>
      </c>
      <c r="G147" s="17" t="s">
        <v>2139</v>
      </c>
      <c r="H147" t="s">
        <v>122</v>
      </c>
      <c r="I147">
        <f t="shared" ca="1" si="30"/>
        <v>497</v>
      </c>
      <c r="J147" t="str">
        <f t="shared" si="31"/>
        <v>少数 負数 切り捨て（整数）</v>
      </c>
    </row>
    <row r="148" spans="1:10" ht="11.25" customHeight="1" outlineLevel="1">
      <c r="A148" s="15"/>
      <c r="B148" s="15" t="s">
        <v>2142</v>
      </c>
      <c r="C148" s="16" t="str">
        <f>"def ceil_(in_num, digit):
    multipler = 10 ** digit
    return math.ceil(in_num * multipler) / multipler
ceil_(-3.5555, 1)"</f>
        <v>def ceil_(in_num, digit):
    multipler = 10 ** digit
    return math.ceil(in_num * multipler) / multipler
ceil_(-3.5555, 1)</v>
      </c>
      <c r="D148" s="47" t="s">
        <v>122</v>
      </c>
      <c r="E148" s="47" t="s">
        <v>122</v>
      </c>
      <c r="F148" s="17" t="s">
        <v>2145</v>
      </c>
      <c r="G148" s="17" t="s">
        <v>2139</v>
      </c>
      <c r="H148" t="s">
        <v>122</v>
      </c>
      <c r="I148">
        <f t="shared" ca="1" si="30"/>
        <v>498</v>
      </c>
      <c r="J148" t="str">
        <f t="shared" si="31"/>
        <v>少数 負数 切り捨て（第一位）</v>
      </c>
    </row>
    <row r="149" spans="1:10" ht="11.25" customHeight="1" outlineLevel="1">
      <c r="A149" s="15"/>
      <c r="B149" s="15" t="s">
        <v>2143</v>
      </c>
      <c r="C149" s="16" t="str">
        <f>"def ceil_(in_num, digit):
    multipler = 10 ** digit
    return math.ceil(in_num * multipler) / multipler
ceil_(-3.5555, 2)"</f>
        <v>def ceil_(in_num, digit):
    multipler = 10 ** digit
    return math.ceil(in_num * multipler) / multipler
ceil_(-3.5555, 2)</v>
      </c>
      <c r="D149" s="47" t="s">
        <v>2122</v>
      </c>
      <c r="E149" s="47" t="s">
        <v>2122</v>
      </c>
      <c r="F149" s="17" t="s">
        <v>2137</v>
      </c>
      <c r="G149" s="17" t="s">
        <v>2139</v>
      </c>
      <c r="H149" t="s">
        <v>122</v>
      </c>
      <c r="I149">
        <f t="shared" ca="1" si="30"/>
        <v>499</v>
      </c>
      <c r="J149" t="str">
        <f t="shared" si="31"/>
        <v>少数 負数 切り捨て（第二位）</v>
      </c>
    </row>
    <row r="150" spans="1:10" ht="11.25" customHeight="1" outlineLevel="1">
      <c r="A150" s="15"/>
      <c r="B150" s="15" t="s">
        <v>2111</v>
      </c>
      <c r="C150" s="16" t="s">
        <v>2149</v>
      </c>
      <c r="D150" s="47" t="s">
        <v>2122</v>
      </c>
      <c r="E150" s="47" t="s">
        <v>2122</v>
      </c>
      <c r="F150" s="17" t="s">
        <v>2128</v>
      </c>
      <c r="G150" s="17" t="s">
        <v>2122</v>
      </c>
      <c r="H150" t="s">
        <v>122</v>
      </c>
      <c r="I150">
        <f t="shared" ca="1" si="30"/>
        <v>500</v>
      </c>
      <c r="J150" t="str">
        <f t="shared" si="31"/>
        <v>少数 正数 切り上げ（整数）</v>
      </c>
    </row>
    <row r="151" spans="1:10" ht="11.25" customHeight="1" outlineLevel="1">
      <c r="A151" s="15"/>
      <c r="B151" s="15" t="s">
        <v>2113</v>
      </c>
      <c r="C151" s="16" t="str">
        <f>"def ceil_(in_num, digit):
    multipler = 10 ** digit
    return math.ceil(in_num * multipler) / multipler
ceil_(3.5555, 1)"</f>
        <v>def ceil_(in_num, digit):
    multipler = 10 ** digit
    return math.ceil(in_num * multipler) / multipler
ceil_(3.5555, 1)</v>
      </c>
      <c r="D151" s="47" t="s">
        <v>2122</v>
      </c>
      <c r="E151" s="47" t="s">
        <v>2122</v>
      </c>
      <c r="F151" s="17" t="s">
        <v>2129</v>
      </c>
      <c r="G151" s="17" t="s">
        <v>2122</v>
      </c>
      <c r="H151" t="s">
        <v>122</v>
      </c>
      <c r="I151">
        <f t="shared" ca="1" si="30"/>
        <v>501</v>
      </c>
      <c r="J151" t="str">
        <f t="shared" si="31"/>
        <v>少数 正数 切り上げ（第一位）</v>
      </c>
    </row>
    <row r="152" spans="1:10" ht="11.25" customHeight="1" outlineLevel="1">
      <c r="A152" s="15"/>
      <c r="B152" s="15" t="s">
        <v>103</v>
      </c>
      <c r="C152" s="16" t="str">
        <f>"def ceil_(in_num, digit):
    multipler = 10 ** digit
    return math.ceil(in_num * multipler) / multipler
ceil_(3.5555, 2)"</f>
        <v>def ceil_(in_num, digit):
    multipler = 10 ** digit
    return math.ceil(in_num * multipler) / multipler
ceil_(3.5555, 2)</v>
      </c>
      <c r="D152" s="47" t="s">
        <v>2122</v>
      </c>
      <c r="E152" s="47" t="s">
        <v>2122</v>
      </c>
      <c r="F152" s="17" t="s">
        <v>2130</v>
      </c>
      <c r="G152" s="17" t="s">
        <v>2122</v>
      </c>
      <c r="H152" t="s">
        <v>122</v>
      </c>
      <c r="I152">
        <f t="shared" ca="1" si="30"/>
        <v>502</v>
      </c>
      <c r="J152" t="str">
        <f t="shared" si="31"/>
        <v>少数 正数 切り上げ（第二位）</v>
      </c>
    </row>
    <row r="153" spans="1:10" ht="11.25" customHeight="1" outlineLevel="1">
      <c r="A153" s="15"/>
      <c r="B153" s="15" t="s">
        <v>2114</v>
      </c>
      <c r="C153" s="16" t="s">
        <v>2150</v>
      </c>
      <c r="D153" s="47" t="s">
        <v>2122</v>
      </c>
      <c r="E153" s="47" t="s">
        <v>2122</v>
      </c>
      <c r="F153" s="17" t="s">
        <v>2146</v>
      </c>
      <c r="G153" s="17" t="s">
        <v>2122</v>
      </c>
      <c r="H153" t="s">
        <v>122</v>
      </c>
      <c r="I153">
        <f t="shared" ca="1" si="30"/>
        <v>503</v>
      </c>
      <c r="J153" t="str">
        <f t="shared" si="31"/>
        <v>少数 負数 切り上げ（整数）</v>
      </c>
    </row>
    <row r="154" spans="1:10" ht="11.25" customHeight="1" outlineLevel="1">
      <c r="A154" s="15"/>
      <c r="B154" s="15" t="s">
        <v>2112</v>
      </c>
      <c r="C154" s="16" t="str">
        <f>"def floor_(in_num, digit):
    multipler = 10 ** digit
    return math.floor(in_num * multipler) / multipler
floor_(-3.5555, 1)"</f>
        <v>def floor_(in_num, digit):
    multipler = 10 ** digit
    return math.floor(in_num * multipler) / multipler
floor_(-3.5555, 1)</v>
      </c>
      <c r="D154" s="47" t="s">
        <v>2122</v>
      </c>
      <c r="E154" s="47" t="s">
        <v>2122</v>
      </c>
      <c r="F154" s="17" t="s">
        <v>2147</v>
      </c>
      <c r="G154" s="17" t="s">
        <v>2122</v>
      </c>
      <c r="H154" t="s">
        <v>122</v>
      </c>
      <c r="I154">
        <f t="shared" ca="1" si="30"/>
        <v>504</v>
      </c>
      <c r="J154" t="str">
        <f t="shared" si="31"/>
        <v>少数 負数 切り上げ（第一位）</v>
      </c>
    </row>
    <row r="155" spans="1:10" ht="11.25" customHeight="1" outlineLevel="1">
      <c r="A155" s="15"/>
      <c r="B155" s="15" t="s">
        <v>105</v>
      </c>
      <c r="C155" s="16" t="str">
        <f>"def floor_(in_num, digit):
    multipler = 10 ** digit
    return math.floor(in_num * multipler) / multipler
floor_(-3.5555, 2)"</f>
        <v>def floor_(in_num, digit):
    multipler = 10 ** digit
    return math.floor(in_num * multipler) / multipler
floor_(-3.5555, 2)</v>
      </c>
      <c r="D155" s="47" t="s">
        <v>2122</v>
      </c>
      <c r="E155" s="47" t="s">
        <v>2122</v>
      </c>
      <c r="F155" s="17" t="s">
        <v>2148</v>
      </c>
      <c r="G155" s="17" t="s">
        <v>2122</v>
      </c>
      <c r="H155" t="s">
        <v>122</v>
      </c>
      <c r="I155">
        <f t="shared" ca="1" si="30"/>
        <v>505</v>
      </c>
      <c r="J155" t="str">
        <f t="shared" si="31"/>
        <v>少数 負数 切り上げ（第二位）</v>
      </c>
    </row>
    <row r="156" spans="1:10" ht="11.25" customHeight="1">
      <c r="A156" s="12" t="s">
        <v>2891</v>
      </c>
      <c r="B156" s="13"/>
      <c r="C156" s="13"/>
      <c r="D156" s="45"/>
      <c r="E156" s="45"/>
      <c r="F156" s="14"/>
      <c r="G156" s="14"/>
      <c r="H156" t="s">
        <v>122</v>
      </c>
      <c r="I156">
        <f t="shared" ref="I156:I162" ca="1" si="32">IF(J156="",OFFSET(I156,-1,0),OFFSET(I156,-1,0)+1)</f>
        <v>505</v>
      </c>
      <c r="J156" t="str">
        <f t="shared" ref="J156:J162" si="33">IF(B156="","",B156)</f>
        <v/>
      </c>
    </row>
    <row r="157" spans="1:10" ht="11.25" customHeight="1" outlineLevel="1">
      <c r="A157" s="15"/>
      <c r="B157" s="15" t="s">
        <v>2314</v>
      </c>
      <c r="C157" s="16" t="s">
        <v>2315</v>
      </c>
      <c r="D157" s="47" t="s">
        <v>122</v>
      </c>
      <c r="E157" s="47" t="s">
        <v>122</v>
      </c>
      <c r="F157" s="17" t="s">
        <v>122</v>
      </c>
      <c r="G157" s="17" t="s">
        <v>122</v>
      </c>
      <c r="H157" t="s">
        <v>122</v>
      </c>
      <c r="I157">
        <f t="shared" ca="1" si="32"/>
        <v>506</v>
      </c>
      <c r="J157" t="str">
        <f t="shared" si="33"/>
        <v>import</v>
      </c>
    </row>
    <row r="158" spans="1:10" ht="11.25" customHeight="1" outlineLevel="1">
      <c r="A158" s="15"/>
      <c r="B158" s="15" t="s">
        <v>2932</v>
      </c>
      <c r="C158" s="16" t="str">
        <f>"@dataclass
class Position:
    x: float = 0.0
    y: float = 0.0
    z: float = 0.0"&amp;"
@dataclass
class Rpy: # unit: radians
    r: float = 0.0
    p: float = 0.0
    y: float = 0.0"</f>
        <v>@dataclass
class Position:
    x: float = 0.0
    y: float = 0.0
    z: float = 0.0
@dataclass
class Rpy: # unit: radians
    r: float = 0.0
    p: float = 0.0
    y: float = 0.0</v>
      </c>
      <c r="D158" s="47" t="s">
        <v>122</v>
      </c>
      <c r="E158" s="47" t="s">
        <v>122</v>
      </c>
      <c r="F158" s="17" t="s">
        <v>122</v>
      </c>
      <c r="G158" s="17" t="s">
        <v>122</v>
      </c>
      <c r="H158" t="s">
        <v>122</v>
      </c>
      <c r="I158">
        <f t="shared" ca="1" si="32"/>
        <v>507</v>
      </c>
      <c r="J158" t="str">
        <f t="shared" si="33"/>
        <v>構造体定義（メンバ＝基本型）</v>
      </c>
    </row>
    <row r="159" spans="1:10" ht="11.25" customHeight="1" outlineLevel="1">
      <c r="A159" s="15"/>
      <c r="B159" s="15" t="s">
        <v>2933</v>
      </c>
      <c r="C159" s="16" t="str">
        <f>"@dataclass
class Pose:
    pos: Position = field(default_factory=Position)
    orien: Rpy = field(default_factory=Rpy)"</f>
        <v>@dataclass
class Pose:
    pos: Position = field(default_factory=Position)
    orien: Rpy = field(default_factory=Rpy)</v>
      </c>
      <c r="D159" s="47" t="s">
        <v>122</v>
      </c>
      <c r="E159" s="47" t="s">
        <v>122</v>
      </c>
      <c r="F159" s="17" t="s">
        <v>122</v>
      </c>
      <c r="G159" s="17" t="s">
        <v>122</v>
      </c>
      <c r="H159" t="s">
        <v>122</v>
      </c>
      <c r="I159">
        <f ca="1">IF(J159="",OFFSET(I159,-1,0),OFFSET(I159,-1,0)+1)</f>
        <v>508</v>
      </c>
      <c r="J159" t="str">
        <f>IF(B159="","",B159)</f>
        <v>構造体定義（メンバ＝他構造体）</v>
      </c>
    </row>
    <row r="160" spans="1:10" ht="11.25" customHeight="1" outlineLevel="1">
      <c r="A160" s="15"/>
      <c r="B160" s="15" t="s">
        <v>2934</v>
      </c>
      <c r="C160" s="16" t="str">
        <f>"@dataclass
class AreaSizeInfo:
    vertices: list[Position] = field(default_factory=list)
    height: float = 0.0"</f>
        <v>@dataclass
class AreaSizeInfo:
    vertices: list[Position] = field(default_factory=list)
    height: float = 0.0</v>
      </c>
      <c r="D160" s="47" t="s">
        <v>122</v>
      </c>
      <c r="E160" s="47" t="s">
        <v>122</v>
      </c>
      <c r="F160" s="17" t="s">
        <v>122</v>
      </c>
      <c r="G160" s="17" t="s">
        <v>122</v>
      </c>
      <c r="H160" t="s">
        <v>122</v>
      </c>
      <c r="I160">
        <f ca="1">IF(J160="",OFFSET(I160,-1,0),OFFSET(I160,-1,0)+1)</f>
        <v>509</v>
      </c>
      <c r="J160" t="str">
        <f>IF(B160="","",B160)</f>
        <v>構造体定義（メンバ＝他構造体リスト）</v>
      </c>
    </row>
    <row r="161" spans="1:10" ht="11.25" customHeight="1" outlineLevel="1">
      <c r="A161" s="15"/>
      <c r="B161" s="15" t="s">
        <v>2935</v>
      </c>
      <c r="C161" s="16" t="str">
        <f>"@dataclass
class AreaSizeInfo:
 child_area_size_info_list: list = field(default_factory=list) # list[AreaSizeInfo]"</f>
        <v>@dataclass
class AreaSizeInfo:
 child_area_size_info_list: list = field(default_factory=list) # list[AreaSizeInfo]</v>
      </c>
      <c r="D161" s="47" t="s">
        <v>122</v>
      </c>
      <c r="E161" s="47" t="s">
        <v>122</v>
      </c>
      <c r="F161" s="17" t="s">
        <v>122</v>
      </c>
      <c r="G161" s="17" t="s">
        <v>2936</v>
      </c>
      <c r="H161" t="s">
        <v>122</v>
      </c>
      <c r="I161">
        <f ca="1">IF(J161="",OFFSET(I161,-1,0),OFFSET(I161,-1,0)+1)</f>
        <v>510</v>
      </c>
      <c r="J161" t="str">
        <f>IF(B161="","",B161)</f>
        <v>構造体定義（メンバ＝自構造体リスト）</v>
      </c>
    </row>
    <row r="162" spans="1:10" ht="11.25" customHeight="1" outlineLevel="1">
      <c r="A162" s="15"/>
      <c r="B162" s="15" t="s">
        <v>2883</v>
      </c>
      <c r="C162" s="16" t="s">
        <v>2885</v>
      </c>
      <c r="D162" s="47" t="s">
        <v>122</v>
      </c>
      <c r="E162" s="47" t="s">
        <v>122</v>
      </c>
      <c r="F162" s="17" t="s">
        <v>2882</v>
      </c>
      <c r="G162" s="17" t="s">
        <v>122</v>
      </c>
      <c r="H162" t="s">
        <v>122</v>
      </c>
      <c r="I162">
        <f t="shared" ca="1" si="32"/>
        <v>511</v>
      </c>
      <c r="J162" t="str">
        <f t="shared" si="33"/>
        <v>インスタンス化(初期化子なし)</v>
      </c>
    </row>
    <row r="163" spans="1:10" ht="11.25" customHeight="1" outlineLevel="1">
      <c r="A163" s="15"/>
      <c r="B163" s="15" t="s">
        <v>2889</v>
      </c>
      <c r="C163" s="16" t="s">
        <v>2886</v>
      </c>
      <c r="D163" s="47" t="s">
        <v>122</v>
      </c>
      <c r="E163" s="47" t="s">
        <v>122</v>
      </c>
      <c r="F163" s="17" t="s">
        <v>2881</v>
      </c>
      <c r="G163" s="17" t="s">
        <v>122</v>
      </c>
      <c r="H163" t="s">
        <v>122</v>
      </c>
      <c r="I163">
        <f t="shared" ref="I163:I191" ca="1" si="34">IF(J163="",OFFSET(I163,-1,0),OFFSET(I163,-1,0)+1)</f>
        <v>512</v>
      </c>
      <c r="J163" t="str">
        <f t="shared" ref="J163:J191" si="35">IF(B163="","",B163)</f>
        <v>インスタンス化(初期化子あり１)</v>
      </c>
    </row>
    <row r="164" spans="1:10" ht="11.25" customHeight="1" outlineLevel="1">
      <c r="A164" s="15"/>
      <c r="B164" s="15" t="s">
        <v>2888</v>
      </c>
      <c r="C164" s="16" t="s">
        <v>2887</v>
      </c>
      <c r="D164" s="47" t="s">
        <v>122</v>
      </c>
      <c r="E164" s="47" t="s">
        <v>122</v>
      </c>
      <c r="F164" s="17" t="s">
        <v>2890</v>
      </c>
      <c r="G164" s="17" t="s">
        <v>122</v>
      </c>
      <c r="H164" t="s">
        <v>122</v>
      </c>
      <c r="I164">
        <f t="shared" ca="1" si="34"/>
        <v>513</v>
      </c>
      <c r="J164" t="str">
        <f t="shared" si="35"/>
        <v>インスタンス化(初期化子あり２)</v>
      </c>
    </row>
    <row r="165" spans="1:10" ht="11.25" customHeight="1" outlineLevel="1">
      <c r="A165" s="15"/>
      <c r="B165" s="15" t="s">
        <v>2884</v>
      </c>
      <c r="C165" s="16" t="str">
        <f>"work_pose_fr_local.pos.x = 7.0
work_pose_fr_local.pos.y = 8.0
work_pose_fr_local.pos.z = 9.0
work_pose_fr_local.orien.r = 10.0
work_pose_fr_local.orien.p = 11.0
work_pose_fr_local.orien.y = 12.0
print(work_pose_fr_local)"</f>
        <v>work_pose_fr_local.pos.x = 7.0
work_pose_fr_local.pos.y = 8.0
work_pose_fr_local.pos.z = 9.0
work_pose_fr_local.orien.r = 10.0
work_pose_fr_local.orien.p = 11.0
work_pose_fr_local.orien.y = 12.0
print(work_pose_fr_local)</v>
      </c>
      <c r="D165" s="47" t="s">
        <v>122</v>
      </c>
      <c r="E165" s="47" t="s">
        <v>122</v>
      </c>
      <c r="F165" s="17" t="s">
        <v>2880</v>
      </c>
      <c r="G165" s="17" t="s">
        <v>122</v>
      </c>
      <c r="H165" t="s">
        <v>122</v>
      </c>
      <c r="I165">
        <f t="shared" ca="1" si="34"/>
        <v>514</v>
      </c>
      <c r="J165" t="str">
        <f t="shared" si="35"/>
        <v>参照＆更新</v>
      </c>
    </row>
    <row r="166" spans="1:10" ht="11.25" customHeight="1">
      <c r="A166" s="12" t="s">
        <v>2267</v>
      </c>
      <c r="B166" s="13"/>
      <c r="C166" s="13"/>
      <c r="D166" s="45"/>
      <c r="E166" s="45"/>
      <c r="F166" s="14"/>
      <c r="G166" s="14"/>
      <c r="H166" t="s">
        <v>122</v>
      </c>
      <c r="I166">
        <f t="shared" ca="1" si="34"/>
        <v>514</v>
      </c>
      <c r="J166" t="str">
        <f t="shared" si="35"/>
        <v/>
      </c>
    </row>
    <row r="167" spans="1:10" ht="11.25" customHeight="1" outlineLevel="1">
      <c r="A167" s="15"/>
      <c r="B167" s="15" t="s">
        <v>2269</v>
      </c>
      <c r="C167" s="16" t="s">
        <v>2268</v>
      </c>
      <c r="D167" s="47" t="s">
        <v>2122</v>
      </c>
      <c r="E167" s="47" t="s">
        <v>2122</v>
      </c>
      <c r="F167" s="17" t="s">
        <v>2122</v>
      </c>
      <c r="G167" s="17" t="s">
        <v>2122</v>
      </c>
      <c r="H167" t="s">
        <v>122</v>
      </c>
      <c r="I167">
        <f t="shared" ca="1" si="34"/>
        <v>515</v>
      </c>
      <c r="J167" t="str">
        <f t="shared" si="35"/>
        <v>トライ</v>
      </c>
    </row>
    <row r="168" spans="1:10" ht="11.25" customHeight="1" outlineLevel="1">
      <c r="A168" s="15"/>
      <c r="B168" s="15" t="s">
        <v>2273</v>
      </c>
      <c r="C168" s="16" t="s">
        <v>2274</v>
      </c>
      <c r="D168" s="47" t="s">
        <v>122</v>
      </c>
      <c r="E168" s="47" t="s">
        <v>122</v>
      </c>
      <c r="F168" s="17" t="s">
        <v>122</v>
      </c>
      <c r="G168" s="17" t="s">
        <v>122</v>
      </c>
      <c r="H168" t="s">
        <v>122</v>
      </c>
      <c r="I168">
        <f t="shared" ca="1" si="34"/>
        <v>516</v>
      </c>
      <c r="J168" t="str">
        <f t="shared" si="35"/>
        <v>キャッチ（全エラー）</v>
      </c>
    </row>
    <row r="169" spans="1:10" ht="11.25" customHeight="1" outlineLevel="1">
      <c r="A169" s="15"/>
      <c r="B169" s="15" t="s">
        <v>2273</v>
      </c>
      <c r="C169" s="16" t="s">
        <v>2272</v>
      </c>
      <c r="D169" s="47" t="s">
        <v>122</v>
      </c>
      <c r="E169" s="47" t="s">
        <v>122</v>
      </c>
      <c r="F169" s="17" t="s">
        <v>122</v>
      </c>
      <c r="G169" s="17" t="s">
        <v>122</v>
      </c>
      <c r="H169" t="s">
        <v>122</v>
      </c>
      <c r="I169">
        <f t="shared" ca="1" si="34"/>
        <v>517</v>
      </c>
      <c r="J169" t="str">
        <f t="shared" si="35"/>
        <v>キャッチ（全エラー）</v>
      </c>
    </row>
    <row r="170" spans="1:10" ht="11.25" customHeight="1" outlineLevel="1">
      <c r="A170" s="15"/>
      <c r="B170" s="15" t="s">
        <v>2271</v>
      </c>
      <c r="C170" s="16" t="s">
        <v>2270</v>
      </c>
      <c r="D170" s="47" t="s">
        <v>2122</v>
      </c>
      <c r="E170" s="47" t="s">
        <v>2122</v>
      </c>
      <c r="F170" s="17" t="s">
        <v>2122</v>
      </c>
      <c r="G170" s="25" t="s">
        <v>2282</v>
      </c>
      <c r="H170" t="s">
        <v>122</v>
      </c>
      <c r="I170">
        <f t="shared" ca="1" si="34"/>
        <v>518</v>
      </c>
      <c r="J170" t="str">
        <f t="shared" si="35"/>
        <v>キャッチ（特定エラー）</v>
      </c>
    </row>
    <row r="171" spans="1:10" ht="11.25" customHeight="1" outlineLevel="1">
      <c r="A171" s="15"/>
      <c r="B171" s="15" t="s">
        <v>2275</v>
      </c>
      <c r="C171" s="16" t="s">
        <v>2276</v>
      </c>
      <c r="D171" s="47" t="s">
        <v>122</v>
      </c>
      <c r="E171" s="47" t="s">
        <v>122</v>
      </c>
      <c r="F171" s="17" t="s">
        <v>122</v>
      </c>
      <c r="G171" s="17"/>
      <c r="H171" t="s">
        <v>122</v>
      </c>
      <c r="I171">
        <f t="shared" ca="1" si="34"/>
        <v>519</v>
      </c>
      <c r="J171" t="str">
        <f t="shared" si="35"/>
        <v>キャッチ（複数エラー）</v>
      </c>
    </row>
    <row r="172" spans="1:10" ht="11.25" customHeight="1" outlineLevel="1">
      <c r="A172" s="15"/>
      <c r="B172" s="15" t="s">
        <v>2277</v>
      </c>
      <c r="C172" s="16" t="s">
        <v>2278</v>
      </c>
      <c r="D172" s="47" t="s">
        <v>2122</v>
      </c>
      <c r="E172" s="47" t="s">
        <v>2122</v>
      </c>
      <c r="F172" s="17" t="s">
        <v>2122</v>
      </c>
      <c r="G172" s="17" t="s">
        <v>2122</v>
      </c>
      <c r="H172" t="s">
        <v>122</v>
      </c>
      <c r="I172">
        <f t="shared" ca="1" si="34"/>
        <v>520</v>
      </c>
      <c r="J172" t="str">
        <f t="shared" si="35"/>
        <v>正常時の処理</v>
      </c>
    </row>
    <row r="173" spans="1:10" ht="11.25" customHeight="1" outlineLevel="1">
      <c r="A173" s="15"/>
      <c r="B173" s="15" t="s">
        <v>2280</v>
      </c>
      <c r="C173" s="16" t="s">
        <v>2279</v>
      </c>
      <c r="D173" s="47" t="s">
        <v>2122</v>
      </c>
      <c r="E173" s="47" t="s">
        <v>2122</v>
      </c>
      <c r="F173" s="17" t="s">
        <v>2122</v>
      </c>
      <c r="G173" s="17" t="s">
        <v>2122</v>
      </c>
      <c r="H173" t="s">
        <v>122</v>
      </c>
      <c r="I173">
        <f t="shared" ca="1" si="34"/>
        <v>521</v>
      </c>
      <c r="J173" t="str">
        <f t="shared" si="35"/>
        <v>終了時に常に行う処理</v>
      </c>
    </row>
    <row r="174" spans="1:10" ht="11.25" customHeight="1" outlineLevel="1">
      <c r="A174" s="15"/>
      <c r="B174" s="15" t="s">
        <v>2281</v>
      </c>
      <c r="C174" s="16" t="s">
        <v>915</v>
      </c>
      <c r="D174" s="47" t="s">
        <v>2122</v>
      </c>
      <c r="E174" s="47" t="s">
        <v>2122</v>
      </c>
      <c r="F174" s="17" t="s">
        <v>2122</v>
      </c>
      <c r="G174" s="17" t="s">
        <v>2122</v>
      </c>
      <c r="H174" t="s">
        <v>122</v>
      </c>
      <c r="I174">
        <f t="shared" ca="1" si="34"/>
        <v>522</v>
      </c>
      <c r="J174" t="str">
        <f t="shared" si="35"/>
        <v>例外を無視</v>
      </c>
    </row>
    <row r="175" spans="1:10" ht="11.25" customHeight="1">
      <c r="A175" s="12" t="s">
        <v>345</v>
      </c>
      <c r="B175" s="13"/>
      <c r="C175" s="13"/>
      <c r="D175" s="45"/>
      <c r="E175" s="45"/>
      <c r="F175" s="14"/>
      <c r="G175" s="14"/>
      <c r="H175" t="s">
        <v>122</v>
      </c>
      <c r="I175">
        <f t="shared" ca="1" si="34"/>
        <v>522</v>
      </c>
      <c r="J175" t="str">
        <f t="shared" si="35"/>
        <v/>
      </c>
    </row>
    <row r="176" spans="1:10" ht="11.25" customHeight="1" outlineLevel="1">
      <c r="A176" s="15"/>
      <c r="B176" s="15" t="s">
        <v>828</v>
      </c>
      <c r="C176" s="30" t="s">
        <v>827</v>
      </c>
      <c r="D176" s="46" t="s">
        <v>2122</v>
      </c>
      <c r="E176" s="46" t="s">
        <v>2122</v>
      </c>
      <c r="F176" s="17" t="s">
        <v>2122</v>
      </c>
      <c r="G176" s="17" t="s">
        <v>2122</v>
      </c>
      <c r="H176" t="s">
        <v>122</v>
      </c>
      <c r="I176">
        <f t="shared" ca="1" si="34"/>
        <v>523</v>
      </c>
      <c r="J176" t="str">
        <f t="shared" si="35"/>
        <v>ＴＸＴ 定義</v>
      </c>
    </row>
    <row r="177" spans="1:10" ht="11.25" customHeight="1" outlineLevel="1">
      <c r="A177" s="15"/>
      <c r="B177" s="15" t="s">
        <v>829</v>
      </c>
      <c r="C177" s="16" t="s">
        <v>802</v>
      </c>
      <c r="D177" s="47" t="s">
        <v>2122</v>
      </c>
      <c r="E177" s="47" t="s">
        <v>2122</v>
      </c>
      <c r="F177" s="17" t="s">
        <v>2122</v>
      </c>
      <c r="G177" s="17" t="s">
        <v>803</v>
      </c>
      <c r="H177" t="s">
        <v>122</v>
      </c>
      <c r="I177">
        <f t="shared" ca="1" si="34"/>
        <v>524</v>
      </c>
      <c r="J177" t="str">
        <f t="shared" si="35"/>
        <v>ＴＸＴ オープン</v>
      </c>
    </row>
    <row r="178" spans="1:10" ht="11.25" customHeight="1" outlineLevel="1">
      <c r="A178" s="15"/>
      <c r="B178" s="15" t="s">
        <v>830</v>
      </c>
      <c r="C178" s="16" t="s">
        <v>758</v>
      </c>
      <c r="D178" s="47" t="s">
        <v>2122</v>
      </c>
      <c r="E178" s="47" t="s">
        <v>2122</v>
      </c>
      <c r="F178" s="17" t="s">
        <v>2122</v>
      </c>
      <c r="G178" s="17" t="s">
        <v>2122</v>
      </c>
      <c r="H178" t="s">
        <v>122</v>
      </c>
      <c r="I178">
        <f t="shared" ca="1" si="34"/>
        <v>525</v>
      </c>
      <c r="J178" t="str">
        <f t="shared" si="35"/>
        <v>ＴＸＴ クローズ</v>
      </c>
    </row>
    <row r="179" spans="1:10" ht="11.25" customHeight="1" outlineLevel="1">
      <c r="A179" s="15"/>
      <c r="B179" s="15" t="s">
        <v>3243</v>
      </c>
      <c r="C179" s="16" t="s">
        <v>3242</v>
      </c>
      <c r="D179" s="47" t="s">
        <v>122</v>
      </c>
      <c r="E179" s="47" t="s">
        <v>122</v>
      </c>
      <c r="F179" s="17" t="s">
        <v>122</v>
      </c>
      <c r="G179" s="17" t="s">
        <v>3244</v>
      </c>
      <c r="H179" t="s">
        <v>122</v>
      </c>
      <c r="I179">
        <f t="shared" ref="I179" ca="1" si="36">IF(J179="",OFFSET(I179,-1,0),OFFSET(I179,-1,0)+1)</f>
        <v>526</v>
      </c>
      <c r="J179" t="str">
        <f t="shared" ref="J179" si="37">IF(B179="","",B179)</f>
        <v>ＴＸＴ オープン（クローズ不要）</v>
      </c>
    </row>
    <row r="180" spans="1:10" ht="11.25" customHeight="1" outlineLevel="1">
      <c r="A180" s="15"/>
      <c r="B180" s="15" t="s">
        <v>831</v>
      </c>
      <c r="C180" s="16" t="s">
        <v>759</v>
      </c>
      <c r="D180" s="47" t="s">
        <v>2122</v>
      </c>
      <c r="E180" s="47" t="s">
        <v>2122</v>
      </c>
      <c r="F180" s="17" t="s">
        <v>2122</v>
      </c>
      <c r="G180" s="17" t="s">
        <v>2122</v>
      </c>
      <c r="H180" t="s">
        <v>122</v>
      </c>
      <c r="I180">
        <f t="shared" ca="1" si="34"/>
        <v>527</v>
      </c>
      <c r="J180" t="str">
        <f t="shared" si="35"/>
        <v>ＴＸＴ 読込（一行ずつ）</v>
      </c>
    </row>
    <row r="181" spans="1:10" ht="11.25" customHeight="1" outlineLevel="1">
      <c r="A181" s="15"/>
      <c r="B181" s="15" t="s">
        <v>831</v>
      </c>
      <c r="C181" s="16" t="s">
        <v>760</v>
      </c>
      <c r="D181" s="47" t="s">
        <v>2122</v>
      </c>
      <c r="E181" s="47" t="s">
        <v>2122</v>
      </c>
      <c r="F181" s="17" t="s">
        <v>2122</v>
      </c>
      <c r="G181" s="17" t="s">
        <v>2122</v>
      </c>
      <c r="H181" t="s">
        <v>122</v>
      </c>
      <c r="I181">
        <f t="shared" ca="1" si="34"/>
        <v>528</v>
      </c>
      <c r="J181" t="str">
        <f t="shared" si="35"/>
        <v>ＴＸＴ 読込（一行ずつ）</v>
      </c>
    </row>
    <row r="182" spans="1:10" ht="11.25" customHeight="1" outlineLevel="1">
      <c r="A182" s="15"/>
      <c r="B182" s="15" t="s">
        <v>832</v>
      </c>
      <c r="C182" s="16" t="s">
        <v>3245</v>
      </c>
      <c r="D182" s="47" t="s">
        <v>2122</v>
      </c>
      <c r="E182" s="47" t="s">
        <v>2122</v>
      </c>
      <c r="F182" s="17" t="s">
        <v>2122</v>
      </c>
      <c r="G182" s="17" t="s">
        <v>804</v>
      </c>
      <c r="H182" t="s">
        <v>122</v>
      </c>
      <c r="I182">
        <f t="shared" ca="1" si="34"/>
        <v>529</v>
      </c>
      <c r="J182" t="str">
        <f t="shared" si="35"/>
        <v>ＴＸＴ 読込（一括）</v>
      </c>
    </row>
    <row r="183" spans="1:10" ht="11.25" customHeight="1" outlineLevel="1">
      <c r="A183" s="15"/>
      <c r="B183" s="15" t="s">
        <v>832</v>
      </c>
      <c r="C183" s="16" t="s">
        <v>805</v>
      </c>
      <c r="D183" s="47" t="s">
        <v>2122</v>
      </c>
      <c r="E183" s="47" t="s">
        <v>2122</v>
      </c>
      <c r="F183" s="17" t="s">
        <v>2122</v>
      </c>
      <c r="G183" s="17" t="s">
        <v>806</v>
      </c>
      <c r="H183" t="s">
        <v>122</v>
      </c>
      <c r="I183">
        <f t="shared" ca="1" si="34"/>
        <v>530</v>
      </c>
      <c r="J183" t="str">
        <f t="shared" si="35"/>
        <v>ＴＸＴ 読込（一括）</v>
      </c>
    </row>
    <row r="184" spans="1:10" ht="11.25" customHeight="1" outlineLevel="1">
      <c r="A184" s="15"/>
      <c r="B184" s="15" t="s">
        <v>833</v>
      </c>
      <c r="C184" s="16" t="s">
        <v>761</v>
      </c>
      <c r="D184" s="47" t="s">
        <v>2122</v>
      </c>
      <c r="E184" s="47" t="s">
        <v>2122</v>
      </c>
      <c r="F184" s="17" t="s">
        <v>2122</v>
      </c>
      <c r="G184" s="17" t="s">
        <v>2085</v>
      </c>
      <c r="H184" t="s">
        <v>122</v>
      </c>
      <c r="I184">
        <f t="shared" ca="1" si="34"/>
        <v>531</v>
      </c>
      <c r="J184" t="str">
        <f t="shared" si="35"/>
        <v>ＴＸＴ 書込</v>
      </c>
    </row>
    <row r="185" spans="1:10" ht="11.25" customHeight="1" outlineLevel="1">
      <c r="A185" s="15"/>
      <c r="B185" s="15" t="s">
        <v>685</v>
      </c>
      <c r="C185" s="26" t="s">
        <v>2122</v>
      </c>
      <c r="D185" s="48" t="s">
        <v>2122</v>
      </c>
      <c r="E185" s="48" t="s">
        <v>2122</v>
      </c>
      <c r="F185" s="17" t="s">
        <v>2122</v>
      </c>
      <c r="G185" s="17" t="s">
        <v>2122</v>
      </c>
      <c r="H185" t="s">
        <v>122</v>
      </c>
      <c r="I185">
        <f t="shared" ca="1" si="34"/>
        <v>532</v>
      </c>
      <c r="J185" t="str">
        <f t="shared" si="35"/>
        <v>ＸＬＳ オープン/クローズ</v>
      </c>
    </row>
    <row r="186" spans="1:10" ht="11.25" customHeight="1" outlineLevel="1">
      <c r="A186" s="15"/>
      <c r="B186" s="15" t="s">
        <v>2320</v>
      </c>
      <c r="C186" s="16" t="s">
        <v>2321</v>
      </c>
      <c r="D186" s="47" t="s">
        <v>1007</v>
      </c>
      <c r="E186" s="47" t="s">
        <v>1006</v>
      </c>
      <c r="F186" s="17" t="s">
        <v>122</v>
      </c>
      <c r="G186" s="17" t="s">
        <v>2322</v>
      </c>
      <c r="H186" t="s">
        <v>122</v>
      </c>
      <c r="I186">
        <f t="shared" ca="1" si="34"/>
        <v>533</v>
      </c>
      <c r="J186" t="str">
        <f t="shared" si="35"/>
        <v>アクセス権限付与</v>
      </c>
    </row>
    <row r="187" spans="1:10" ht="11.25" customHeight="1" outlineLevel="1">
      <c r="A187" s="15"/>
      <c r="B187" s="15" t="s">
        <v>2323</v>
      </c>
      <c r="C187" s="16" t="str">
        <f>"with open(yaml_file, 'r') as yml:
    yml_root = yaml.safe_load(yml)"</f>
        <v>with open(yaml_file, 'r') as yml:
    yml_root = yaml.safe_load(yml)</v>
      </c>
      <c r="D187" s="47"/>
      <c r="E187" s="47"/>
      <c r="F187" s="17"/>
      <c r="G187" s="17"/>
      <c r="H187" t="s">
        <v>122</v>
      </c>
      <c r="I187">
        <f t="shared" ca="1" si="34"/>
        <v>534</v>
      </c>
      <c r="J187" t="str">
        <f t="shared" si="35"/>
        <v>yaml読み込み オープン</v>
      </c>
    </row>
    <row r="188" spans="1:10" ht="11.25" customHeight="1" outlineLevel="1">
      <c r="A188" s="15"/>
      <c r="B188" s="15" t="s">
        <v>2324</v>
      </c>
      <c r="C188" s="16" t="s">
        <v>2325</v>
      </c>
      <c r="D188" s="47"/>
      <c r="E188" s="47"/>
      <c r="F188" s="17"/>
      <c r="G188" s="17"/>
      <c r="H188" t="s">
        <v>122</v>
      </c>
      <c r="I188">
        <f t="shared" ca="1" si="34"/>
        <v>535</v>
      </c>
      <c r="J188" t="str">
        <f t="shared" si="35"/>
        <v>yaml読み込み アクセス</v>
      </c>
    </row>
    <row r="189" spans="1:10" ht="11.25" customHeight="1">
      <c r="A189" s="12" t="s">
        <v>841</v>
      </c>
      <c r="B189" s="13"/>
      <c r="C189" s="13"/>
      <c r="D189" s="45"/>
      <c r="E189" s="45"/>
      <c r="F189" s="14"/>
      <c r="G189" s="14"/>
      <c r="H189" t="s">
        <v>122</v>
      </c>
      <c r="I189">
        <f t="shared" ca="1" si="34"/>
        <v>535</v>
      </c>
      <c r="J189" t="str">
        <f t="shared" si="35"/>
        <v/>
      </c>
    </row>
    <row r="190" spans="1:10" ht="11.25" customHeight="1" outlineLevel="1">
      <c r="A190" s="15"/>
      <c r="B190" s="15" t="s">
        <v>2207</v>
      </c>
      <c r="C190" s="16" t="s">
        <v>2202</v>
      </c>
      <c r="D190" s="47" t="s">
        <v>122</v>
      </c>
      <c r="E190" s="47" t="s">
        <v>122</v>
      </c>
      <c r="F190" s="17" t="s">
        <v>122</v>
      </c>
      <c r="G190" s="17" t="s">
        <v>122</v>
      </c>
      <c r="H190" t="s">
        <v>122</v>
      </c>
      <c r="I190">
        <f t="shared" ca="1" si="34"/>
        <v>536</v>
      </c>
      <c r="J190" t="str">
        <f t="shared" si="35"/>
        <v>日時取得(現在)</v>
      </c>
    </row>
    <row r="191" spans="1:10" ht="11.25" customHeight="1" outlineLevel="1">
      <c r="A191" s="15"/>
      <c r="B191" s="15" t="s">
        <v>2205</v>
      </c>
      <c r="C191" s="16" t="s">
        <v>2206</v>
      </c>
      <c r="D191" s="47" t="s">
        <v>122</v>
      </c>
      <c r="E191" s="47" t="s">
        <v>122</v>
      </c>
      <c r="F191" s="17" t="s">
        <v>2225</v>
      </c>
      <c r="G191" s="17" t="s">
        <v>122</v>
      </c>
      <c r="H191" t="s">
        <v>122</v>
      </c>
      <c r="I191">
        <f t="shared" ca="1" si="34"/>
        <v>537</v>
      </c>
      <c r="J191" t="str">
        <f t="shared" si="35"/>
        <v>日時設定</v>
      </c>
    </row>
    <row r="192" spans="1:10" ht="11.25" customHeight="1" outlineLevel="1">
      <c r="A192" s="15"/>
      <c r="B192" s="15" t="s">
        <v>2208</v>
      </c>
      <c r="C192" s="16" t="s">
        <v>2209</v>
      </c>
      <c r="D192" s="47" t="s">
        <v>122</v>
      </c>
      <c r="E192" s="47" t="s">
        <v>122</v>
      </c>
      <c r="F192" s="17" t="s">
        <v>2220</v>
      </c>
      <c r="G192" s="17" t="s">
        <v>122</v>
      </c>
      <c r="H192" t="s">
        <v>122</v>
      </c>
      <c r="I192">
        <f t="shared" ref="I192:I197" ca="1" si="38">IF(J192="",OFFSET(I192,-1,0),OFFSET(I192,-1,0)+1)</f>
        <v>538</v>
      </c>
      <c r="J192" t="str">
        <f t="shared" ref="J192:J197" si="39">IF(B192="","",B192)</f>
        <v>日時抽出(年)</v>
      </c>
    </row>
    <row r="193" spans="1:10" ht="11.25" customHeight="1" outlineLevel="1">
      <c r="A193" s="15"/>
      <c r="B193" s="15" t="s">
        <v>2215</v>
      </c>
      <c r="C193" s="16" t="s">
        <v>2210</v>
      </c>
      <c r="D193" s="47" t="s">
        <v>122</v>
      </c>
      <c r="E193" s="47" t="s">
        <v>122</v>
      </c>
      <c r="F193" s="17" t="s">
        <v>2221</v>
      </c>
      <c r="G193" s="17" t="s">
        <v>122</v>
      </c>
      <c r="H193" t="s">
        <v>122</v>
      </c>
      <c r="I193">
        <f t="shared" ca="1" si="38"/>
        <v>539</v>
      </c>
      <c r="J193" t="str">
        <f t="shared" si="39"/>
        <v>日時設定(月)</v>
      </c>
    </row>
    <row r="194" spans="1:10" ht="11.25" customHeight="1" outlineLevel="1">
      <c r="A194" s="15"/>
      <c r="B194" s="15" t="s">
        <v>2216</v>
      </c>
      <c r="C194" s="16" t="s">
        <v>2211</v>
      </c>
      <c r="D194" s="47" t="s">
        <v>122</v>
      </c>
      <c r="E194" s="47" t="s">
        <v>122</v>
      </c>
      <c r="F194" s="17" t="s">
        <v>2222</v>
      </c>
      <c r="G194" s="17" t="s">
        <v>122</v>
      </c>
      <c r="H194" t="s">
        <v>122</v>
      </c>
      <c r="I194">
        <f t="shared" ca="1" si="38"/>
        <v>540</v>
      </c>
      <c r="J194" t="str">
        <f t="shared" si="39"/>
        <v>日時設定(日)</v>
      </c>
    </row>
    <row r="195" spans="1:10" ht="11.25" customHeight="1" outlineLevel="1">
      <c r="A195" s="15"/>
      <c r="B195" s="15" t="s">
        <v>2217</v>
      </c>
      <c r="C195" s="16" t="s">
        <v>2212</v>
      </c>
      <c r="D195" s="47" t="s">
        <v>122</v>
      </c>
      <c r="E195" s="47" t="s">
        <v>122</v>
      </c>
      <c r="F195" s="17" t="s">
        <v>2223</v>
      </c>
      <c r="G195" s="17" t="s">
        <v>122</v>
      </c>
      <c r="H195" t="s">
        <v>122</v>
      </c>
      <c r="I195">
        <f t="shared" ca="1" si="38"/>
        <v>541</v>
      </c>
      <c r="J195" t="str">
        <f t="shared" si="39"/>
        <v>日時設定(時)</v>
      </c>
    </row>
    <row r="196" spans="1:10" ht="11.25" customHeight="1" outlineLevel="1">
      <c r="A196" s="15"/>
      <c r="B196" s="15" t="s">
        <v>2218</v>
      </c>
      <c r="C196" s="16" t="s">
        <v>2213</v>
      </c>
      <c r="D196" s="47" t="s">
        <v>122</v>
      </c>
      <c r="E196" s="47" t="s">
        <v>122</v>
      </c>
      <c r="F196" s="17" t="s">
        <v>2221</v>
      </c>
      <c r="G196" s="17" t="s">
        <v>122</v>
      </c>
      <c r="H196" t="s">
        <v>122</v>
      </c>
      <c r="I196">
        <f t="shared" ca="1" si="38"/>
        <v>542</v>
      </c>
      <c r="J196" t="str">
        <f t="shared" si="39"/>
        <v>日時設定(分)</v>
      </c>
    </row>
    <row r="197" spans="1:10" ht="11.25" customHeight="1" outlineLevel="1">
      <c r="A197" s="15"/>
      <c r="B197" s="15" t="s">
        <v>2219</v>
      </c>
      <c r="C197" s="16" t="s">
        <v>2214</v>
      </c>
      <c r="D197" s="47" t="s">
        <v>122</v>
      </c>
      <c r="E197" s="47" t="s">
        <v>122</v>
      </c>
      <c r="F197" s="17" t="s">
        <v>2224</v>
      </c>
      <c r="G197" s="17" t="s">
        <v>122</v>
      </c>
      <c r="H197" t="s">
        <v>122</v>
      </c>
      <c r="I197">
        <f t="shared" ca="1" si="38"/>
        <v>543</v>
      </c>
      <c r="J197" t="str">
        <f t="shared" si="39"/>
        <v>日時設定(秒)</v>
      </c>
    </row>
    <row r="198" spans="1:10" ht="11.25" customHeight="1" outlineLevel="1">
      <c r="A198" s="15"/>
      <c r="B198" s="15" t="s">
        <v>2201</v>
      </c>
      <c r="C198" s="16" t="s">
        <v>2203</v>
      </c>
      <c r="D198" s="47" t="s">
        <v>2122</v>
      </c>
      <c r="E198" s="47" t="s">
        <v>2122</v>
      </c>
      <c r="F198" s="17" t="s">
        <v>2200</v>
      </c>
      <c r="G198" s="17" t="s">
        <v>2122</v>
      </c>
      <c r="H198" t="s">
        <v>122</v>
      </c>
      <c r="I198">
        <f t="shared" ref="I198:I207" ca="1" si="40">IF(J198="",OFFSET(I198,-1,0),OFFSET(I198,-1,0)+1)</f>
        <v>544</v>
      </c>
      <c r="J198" t="str">
        <f t="shared" ref="J198:J207" si="41">IF(B198="","",B198)</f>
        <v>年月日時刻出力</v>
      </c>
    </row>
    <row r="199" spans="1:10" ht="11.25" customHeight="1" outlineLevel="1">
      <c r="A199" s="15"/>
      <c r="B199" s="15" t="s">
        <v>2231</v>
      </c>
      <c r="C199" s="16" t="s">
        <v>2226</v>
      </c>
      <c r="D199" s="47" t="s">
        <v>2122</v>
      </c>
      <c r="E199" s="47" t="s">
        <v>2122</v>
      </c>
      <c r="F199" s="17" t="s">
        <v>2237</v>
      </c>
      <c r="G199" s="17" t="s">
        <v>2122</v>
      </c>
      <c r="H199" t="s">
        <v>122</v>
      </c>
      <c r="I199">
        <f t="shared" ca="1" si="40"/>
        <v>545</v>
      </c>
      <c r="J199" t="str">
        <f t="shared" si="41"/>
        <v>経過時間(日)</v>
      </c>
    </row>
    <row r="200" spans="1:10" ht="11.25" customHeight="1" outlineLevel="1">
      <c r="A200" s="15"/>
      <c r="B200" s="15" t="s">
        <v>2232</v>
      </c>
      <c r="C200" s="16" t="s">
        <v>2230</v>
      </c>
      <c r="D200" s="47" t="s">
        <v>122</v>
      </c>
      <c r="E200" s="47" t="s">
        <v>122</v>
      </c>
      <c r="F200" s="17" t="s">
        <v>2225</v>
      </c>
      <c r="G200" s="17" t="s">
        <v>2242</v>
      </c>
      <c r="H200" t="s">
        <v>122</v>
      </c>
      <c r="I200">
        <f t="shared" ca="1" si="40"/>
        <v>546</v>
      </c>
      <c r="J200" t="str">
        <f t="shared" si="41"/>
        <v>経過時間(時)</v>
      </c>
    </row>
    <row r="201" spans="1:10" ht="11.25" customHeight="1" outlineLevel="1">
      <c r="A201" s="15"/>
      <c r="B201" s="15" t="s">
        <v>2233</v>
      </c>
      <c r="C201" s="16" t="s">
        <v>2227</v>
      </c>
      <c r="D201" s="47" t="s">
        <v>122</v>
      </c>
      <c r="E201" s="47" t="s">
        <v>122</v>
      </c>
      <c r="F201" s="17" t="s">
        <v>2238</v>
      </c>
      <c r="G201" s="17" t="s">
        <v>122</v>
      </c>
      <c r="H201" t="s">
        <v>122</v>
      </c>
      <c r="I201">
        <f t="shared" ca="1" si="40"/>
        <v>547</v>
      </c>
      <c r="J201" t="str">
        <f t="shared" si="41"/>
        <v>経過時間(秒)</v>
      </c>
    </row>
    <row r="202" spans="1:10" ht="11.25" customHeight="1" outlineLevel="1">
      <c r="A202" s="15"/>
      <c r="B202" s="15" t="s">
        <v>2234</v>
      </c>
      <c r="C202" s="16" t="s">
        <v>2230</v>
      </c>
      <c r="D202" s="47" t="s">
        <v>122</v>
      </c>
      <c r="E202" s="47" t="s">
        <v>122</v>
      </c>
      <c r="F202" s="17" t="s">
        <v>2225</v>
      </c>
      <c r="G202" s="17" t="s">
        <v>2241</v>
      </c>
      <c r="H202" t="s">
        <v>122</v>
      </c>
      <c r="I202">
        <f t="shared" ca="1" si="40"/>
        <v>548</v>
      </c>
      <c r="J202" t="str">
        <f t="shared" si="41"/>
        <v>経過時間(ミリ秒)</v>
      </c>
    </row>
    <row r="203" spans="1:10" ht="11.25" customHeight="1" outlineLevel="1">
      <c r="A203" s="15"/>
      <c r="B203" s="15" t="s">
        <v>2235</v>
      </c>
      <c r="C203" s="16" t="s">
        <v>2228</v>
      </c>
      <c r="D203" s="47" t="s">
        <v>122</v>
      </c>
      <c r="E203" s="47" t="s">
        <v>122</v>
      </c>
      <c r="F203" s="17" t="s">
        <v>2239</v>
      </c>
      <c r="G203" s="17" t="s">
        <v>122</v>
      </c>
      <c r="H203" t="s">
        <v>122</v>
      </c>
      <c r="I203">
        <f t="shared" ca="1" si="40"/>
        <v>549</v>
      </c>
      <c r="J203" t="str">
        <f t="shared" si="41"/>
        <v>経過時間(マイクロ秒)</v>
      </c>
    </row>
    <row r="204" spans="1:10" ht="11.25" customHeight="1" outlineLevel="1">
      <c r="A204" s="15"/>
      <c r="B204" s="15" t="s">
        <v>2236</v>
      </c>
      <c r="C204" s="16" t="s">
        <v>2229</v>
      </c>
      <c r="D204" s="47" t="s">
        <v>122</v>
      </c>
      <c r="E204" s="47" t="s">
        <v>122</v>
      </c>
      <c r="F204" s="17" t="s">
        <v>2240</v>
      </c>
      <c r="G204" s="17" t="s">
        <v>122</v>
      </c>
      <c r="H204" t="s">
        <v>122</v>
      </c>
      <c r="I204">
        <f t="shared" ca="1" si="40"/>
        <v>550</v>
      </c>
      <c r="J204" t="str">
        <f t="shared" si="41"/>
        <v>経過時間(総時間)</v>
      </c>
    </row>
    <row r="205" spans="1:10" ht="11.25" customHeight="1" outlineLevel="1">
      <c r="A205" s="15"/>
      <c r="B205" s="15" t="s">
        <v>113</v>
      </c>
      <c r="C205" s="16" t="s">
        <v>2204</v>
      </c>
      <c r="D205" s="47" t="s">
        <v>2122</v>
      </c>
      <c r="E205" s="47" t="s">
        <v>2122</v>
      </c>
      <c r="F205" s="17" t="s">
        <v>2122</v>
      </c>
      <c r="G205" s="17" t="s">
        <v>2122</v>
      </c>
      <c r="H205" t="s">
        <v>122</v>
      </c>
      <c r="I205">
        <f t="shared" ca="1" si="40"/>
        <v>551</v>
      </c>
      <c r="J205" t="str">
        <f t="shared" si="41"/>
        <v>日付比較</v>
      </c>
    </row>
    <row r="206" spans="1:10" ht="11.25" customHeight="1">
      <c r="A206" s="12" t="s">
        <v>2768</v>
      </c>
      <c r="B206" s="13"/>
      <c r="C206" s="13"/>
      <c r="D206" s="45"/>
      <c r="E206" s="45"/>
      <c r="F206" s="14"/>
      <c r="G206" s="14"/>
      <c r="H206" t="s">
        <v>122</v>
      </c>
      <c r="I206">
        <f t="shared" ca="1" si="40"/>
        <v>551</v>
      </c>
      <c r="J206" t="str">
        <f t="shared" si="41"/>
        <v/>
      </c>
    </row>
    <row r="207" spans="1:10" ht="11.25" customHeight="1" outlineLevel="1">
      <c r="A207" s="15"/>
      <c r="B207" s="15" t="s">
        <v>826</v>
      </c>
      <c r="C207" s="16" t="s">
        <v>842</v>
      </c>
      <c r="D207" s="47" t="s">
        <v>2122</v>
      </c>
      <c r="E207" s="47" t="s">
        <v>2122</v>
      </c>
      <c r="F207" s="17" t="s">
        <v>807</v>
      </c>
      <c r="G207" s="17" t="s">
        <v>2122</v>
      </c>
      <c r="H207" t="s">
        <v>122</v>
      </c>
      <c r="I207">
        <f t="shared" ca="1" si="40"/>
        <v>552</v>
      </c>
      <c r="J207" t="str">
        <f t="shared" si="41"/>
        <v>スリープ処理</v>
      </c>
    </row>
    <row r="208" spans="1:10" ht="11.25" customHeight="1">
      <c r="A208" s="12" t="s">
        <v>2181</v>
      </c>
      <c r="B208" s="13"/>
      <c r="C208" s="13"/>
      <c r="D208" s="45"/>
      <c r="E208" s="45"/>
      <c r="F208" s="14"/>
      <c r="G208" s="14"/>
      <c r="H208" t="s">
        <v>122</v>
      </c>
      <c r="I208">
        <f t="shared" ref="I208:I222" ca="1" si="42">IF(J208="",OFFSET(I208,-1,0),OFFSET(I208,-1,0)+1)</f>
        <v>552</v>
      </c>
      <c r="J208" t="str">
        <f t="shared" ref="J208:J222" si="43">IF(B208="","",B208)</f>
        <v/>
      </c>
    </row>
    <row r="209" spans="1:10" ht="11.25" customHeight="1" outlineLevel="1">
      <c r="A209" s="15"/>
      <c r="B209" s="15" t="s">
        <v>2155</v>
      </c>
      <c r="C209" s="16" t="s">
        <v>3263</v>
      </c>
      <c r="D209" s="47" t="s">
        <v>2122</v>
      </c>
      <c r="E209" s="47" t="s">
        <v>2122</v>
      </c>
      <c r="F209" s="17"/>
      <c r="G209" s="17" t="s">
        <v>2191</v>
      </c>
      <c r="H209" t="s">
        <v>122</v>
      </c>
      <c r="I209">
        <f t="shared" ca="1" si="42"/>
        <v>553</v>
      </c>
      <c r="J209" t="str">
        <f t="shared" si="43"/>
        <v>リスト 初期化</v>
      </c>
    </row>
    <row r="210" spans="1:10" ht="11.25" customHeight="1" outlineLevel="1">
      <c r="A210" s="15"/>
      <c r="B210" s="15" t="s">
        <v>781</v>
      </c>
      <c r="C210" s="16" t="s">
        <v>788</v>
      </c>
      <c r="D210" s="47" t="s">
        <v>2122</v>
      </c>
      <c r="E210" s="47" t="s">
        <v>2122</v>
      </c>
      <c r="F210" s="19" t="s">
        <v>3261</v>
      </c>
      <c r="G210" s="17" t="s">
        <v>2156</v>
      </c>
      <c r="H210" t="s">
        <v>122</v>
      </c>
      <c r="I210">
        <f t="shared" ca="1" si="42"/>
        <v>554</v>
      </c>
      <c r="J210" t="str">
        <f t="shared" si="43"/>
        <v>リスト 参照</v>
      </c>
    </row>
    <row r="211" spans="1:10" ht="11.25" customHeight="1" outlineLevel="1">
      <c r="A211" s="15"/>
      <c r="B211" s="15" t="s">
        <v>3260</v>
      </c>
      <c r="C211" s="16" t="s">
        <v>3262</v>
      </c>
      <c r="D211" s="47" t="s">
        <v>122</v>
      </c>
      <c r="E211" s="47" t="s">
        <v>122</v>
      </c>
      <c r="F211" s="19" t="s">
        <v>3264</v>
      </c>
      <c r="G211" s="17" t="s">
        <v>3265</v>
      </c>
      <c r="H211" t="s">
        <v>122</v>
      </c>
      <c r="I211">
        <f t="shared" ref="I211" ca="1" si="44">IF(J211="",OFFSET(I211,-1,0),OFFSET(I211,-1,0)+1)</f>
        <v>555</v>
      </c>
      <c r="J211" t="str">
        <f t="shared" ref="J211" si="45">IF(B211="","",B211)</f>
        <v>リスト 参照（スライス）</v>
      </c>
    </row>
    <row r="212" spans="1:10" ht="11.25" customHeight="1" outlineLevel="1">
      <c r="A212" s="15"/>
      <c r="B212" s="15" t="s">
        <v>2892</v>
      </c>
      <c r="C212" s="16" t="s">
        <v>2893</v>
      </c>
      <c r="D212" s="47" t="s">
        <v>122</v>
      </c>
      <c r="E212" s="47" t="s">
        <v>122</v>
      </c>
      <c r="F212" s="19" t="s">
        <v>913</v>
      </c>
      <c r="G212" s="17"/>
      <c r="H212" t="s">
        <v>122</v>
      </c>
      <c r="I212">
        <f ca="1">IF(J212="",OFFSET(I212,-1,0),OFFSET(I212,-1,0)+1)</f>
        <v>556</v>
      </c>
      <c r="J212" t="str">
        <f>IF(B212="","",B212)</f>
        <v>リスト 空チェック</v>
      </c>
    </row>
    <row r="213" spans="1:10" ht="11.25" customHeight="1" outlineLevel="1">
      <c r="A213" s="15"/>
      <c r="B213" s="15" t="s">
        <v>2892</v>
      </c>
      <c r="C213" s="16" t="s">
        <v>3259</v>
      </c>
      <c r="D213" s="47" t="s">
        <v>122</v>
      </c>
      <c r="E213" s="47" t="s">
        <v>122</v>
      </c>
      <c r="F213" s="19" t="s">
        <v>913</v>
      </c>
      <c r="G213" s="17"/>
      <c r="H213" t="s">
        <v>122</v>
      </c>
      <c r="I213">
        <f ca="1">IF(J213="",OFFSET(I213,-1,0),OFFSET(I213,-1,0)+1)</f>
        <v>557</v>
      </c>
      <c r="J213" t="str">
        <f>IF(B213="","",B213)</f>
        <v>リスト 空チェック</v>
      </c>
    </row>
    <row r="214" spans="1:10" ht="11.25" customHeight="1" outlineLevel="1">
      <c r="A214" s="15"/>
      <c r="B214" s="15" t="s">
        <v>3285</v>
      </c>
      <c r="C214" s="20" t="s">
        <v>3286</v>
      </c>
      <c r="D214" s="47" t="s">
        <v>122</v>
      </c>
      <c r="E214" s="47" t="s">
        <v>122</v>
      </c>
      <c r="F214" s="19" t="s">
        <v>913</v>
      </c>
      <c r="G214" s="17"/>
      <c r="H214" t="s">
        <v>122</v>
      </c>
      <c r="I214">
        <f ca="1">IF(J214="",OFFSET(I214,-1,0),OFFSET(I214,-1,0)+1)</f>
        <v>558</v>
      </c>
      <c r="J214" t="str">
        <f>IF(B214="","",B214)</f>
        <v>リスト 存在チェック</v>
      </c>
    </row>
    <row r="215" spans="1:10" ht="11.25" customHeight="1" outlineLevel="1">
      <c r="A215" s="15"/>
      <c r="B215" s="15" t="s">
        <v>782</v>
      </c>
      <c r="C215" s="16" t="s">
        <v>789</v>
      </c>
      <c r="D215" s="47" t="s">
        <v>2122</v>
      </c>
      <c r="E215" s="47" t="s">
        <v>2122</v>
      </c>
      <c r="F215" s="17" t="s">
        <v>790</v>
      </c>
      <c r="G215" s="17" t="s">
        <v>2122</v>
      </c>
      <c r="H215" t="s">
        <v>122</v>
      </c>
      <c r="I215">
        <f t="shared" ca="1" si="42"/>
        <v>559</v>
      </c>
      <c r="J215" t="str">
        <f t="shared" si="43"/>
        <v>リスト 削除</v>
      </c>
    </row>
    <row r="216" spans="1:10" ht="11.25" customHeight="1" outlineLevel="1">
      <c r="A216" s="15"/>
      <c r="B216" s="15" t="s">
        <v>783</v>
      </c>
      <c r="C216" s="16" t="s">
        <v>791</v>
      </c>
      <c r="D216" s="47" t="s">
        <v>2122</v>
      </c>
      <c r="E216" s="47" t="s">
        <v>2122</v>
      </c>
      <c r="F216" s="17" t="s">
        <v>792</v>
      </c>
      <c r="G216" s="17" t="s">
        <v>2157</v>
      </c>
      <c r="H216" t="s">
        <v>122</v>
      </c>
      <c r="I216">
        <f t="shared" ca="1" si="42"/>
        <v>560</v>
      </c>
      <c r="J216" t="str">
        <f t="shared" si="43"/>
        <v>リスト 末尾取り出し</v>
      </c>
    </row>
    <row r="217" spans="1:10" ht="11.25" customHeight="1" outlineLevel="1">
      <c r="A217" s="15"/>
      <c r="B217" s="15" t="s">
        <v>784</v>
      </c>
      <c r="C217" s="16" t="s">
        <v>793</v>
      </c>
      <c r="D217" s="47" t="s">
        <v>2122</v>
      </c>
      <c r="E217" s="47" t="s">
        <v>2122</v>
      </c>
      <c r="F217" s="17" t="s">
        <v>2123</v>
      </c>
      <c r="G217" s="17" t="s">
        <v>2124</v>
      </c>
      <c r="H217" t="s">
        <v>122</v>
      </c>
      <c r="I217">
        <f t="shared" ca="1" si="42"/>
        <v>561</v>
      </c>
      <c r="J217" t="str">
        <f t="shared" si="43"/>
        <v>リスト 要素番号取得</v>
      </c>
    </row>
    <row r="218" spans="1:10" ht="11.25" customHeight="1" outlineLevel="1">
      <c r="A218" s="15"/>
      <c r="B218" s="15" t="s">
        <v>785</v>
      </c>
      <c r="C218" s="16" t="s">
        <v>794</v>
      </c>
      <c r="D218" s="47" t="s">
        <v>2122</v>
      </c>
      <c r="E218" s="47" t="s">
        <v>2122</v>
      </c>
      <c r="F218" s="17" t="s">
        <v>795</v>
      </c>
      <c r="G218" s="17" t="s">
        <v>2122</v>
      </c>
      <c r="H218" t="s">
        <v>122</v>
      </c>
      <c r="I218">
        <f t="shared" ca="1" si="42"/>
        <v>562</v>
      </c>
      <c r="J218" t="str">
        <f t="shared" si="43"/>
        <v>リスト 要素数取得</v>
      </c>
    </row>
    <row r="219" spans="1:10" ht="11.25" customHeight="1" outlineLevel="1">
      <c r="A219" s="15"/>
      <c r="B219" s="15" t="s">
        <v>785</v>
      </c>
      <c r="C219" s="16" t="s">
        <v>796</v>
      </c>
      <c r="D219" s="47" t="s">
        <v>2122</v>
      </c>
      <c r="E219" s="47" t="s">
        <v>2122</v>
      </c>
      <c r="F219" s="17" t="s">
        <v>797</v>
      </c>
      <c r="G219" s="17" t="s">
        <v>2122</v>
      </c>
      <c r="H219" t="s">
        <v>122</v>
      </c>
      <c r="I219">
        <f t="shared" ca="1" si="42"/>
        <v>563</v>
      </c>
      <c r="J219" t="str">
        <f t="shared" si="43"/>
        <v>リスト 要素数取得</v>
      </c>
    </row>
    <row r="220" spans="1:10" ht="11.25" customHeight="1" outlineLevel="1">
      <c r="A220" s="15"/>
      <c r="B220" s="15" t="s">
        <v>786</v>
      </c>
      <c r="C220" s="16" t="s">
        <v>798</v>
      </c>
      <c r="D220" s="47" t="s">
        <v>2122</v>
      </c>
      <c r="E220" s="47" t="s">
        <v>2122</v>
      </c>
      <c r="F220" s="17" t="s">
        <v>799</v>
      </c>
      <c r="G220" s="17" t="s">
        <v>2122</v>
      </c>
      <c r="H220" t="s">
        <v>122</v>
      </c>
      <c r="I220">
        <f t="shared" ca="1" si="42"/>
        <v>564</v>
      </c>
      <c r="J220" t="str">
        <f t="shared" si="43"/>
        <v>リスト 追加（末尾）</v>
      </c>
    </row>
    <row r="221" spans="1:10" ht="11.25" customHeight="1" outlineLevel="1">
      <c r="A221" s="15"/>
      <c r="B221" s="15" t="s">
        <v>787</v>
      </c>
      <c r="C221" s="16" t="s">
        <v>800</v>
      </c>
      <c r="D221" s="47" t="s">
        <v>2122</v>
      </c>
      <c r="E221" s="47" t="s">
        <v>2122</v>
      </c>
      <c r="F221" s="17" t="s">
        <v>801</v>
      </c>
      <c r="G221" s="17" t="s">
        <v>2122</v>
      </c>
      <c r="H221" t="s">
        <v>122</v>
      </c>
      <c r="I221">
        <f t="shared" ca="1" si="42"/>
        <v>565</v>
      </c>
      <c r="J221" t="str">
        <f t="shared" si="43"/>
        <v>リスト 追加（中間）</v>
      </c>
    </row>
    <row r="222" spans="1:10" ht="11.25" customHeight="1" outlineLevel="1">
      <c r="A222" s="15"/>
      <c r="B222" s="15" t="s">
        <v>756</v>
      </c>
      <c r="C222" s="16" t="s">
        <v>757</v>
      </c>
      <c r="D222" s="47" t="s">
        <v>2122</v>
      </c>
      <c r="E222" s="47" t="s">
        <v>2122</v>
      </c>
      <c r="F222" s="17" t="s">
        <v>2122</v>
      </c>
      <c r="G222" s="17" t="s">
        <v>2122</v>
      </c>
      <c r="H222" t="s">
        <v>122</v>
      </c>
      <c r="I222">
        <f t="shared" ca="1" si="42"/>
        <v>566</v>
      </c>
      <c r="J222" t="str">
        <f t="shared" si="43"/>
        <v>リスト 連結</v>
      </c>
    </row>
    <row r="223" spans="1:10" ht="11.25" customHeight="1" outlineLevel="1">
      <c r="A223" s="15"/>
      <c r="B223" s="15" t="s">
        <v>2089</v>
      </c>
      <c r="C223" s="16" t="s">
        <v>2088</v>
      </c>
      <c r="D223" s="47" t="s">
        <v>2122</v>
      </c>
      <c r="E223" s="47" t="s">
        <v>2122</v>
      </c>
      <c r="F223" s="17" t="s">
        <v>2090</v>
      </c>
      <c r="G223" s="17" t="s">
        <v>2122</v>
      </c>
      <c r="H223" t="s">
        <v>122</v>
      </c>
      <c r="I223">
        <f t="shared" ref="I223:I233" ca="1" si="46">IF(J223="",OFFSET(I223,-1,0),OFFSET(I223,-1,0)+1)</f>
        <v>567</v>
      </c>
      <c r="J223" t="str">
        <f t="shared" ref="J223:J233" si="47">IF(B223="","",B223)</f>
        <v>リスト 反転</v>
      </c>
    </row>
    <row r="224" spans="1:10" ht="11.25" customHeight="1" outlineLevel="1">
      <c r="A224" s="15"/>
      <c r="B224" s="15" t="s">
        <v>2087</v>
      </c>
      <c r="C224" s="16" t="str">
        <f>"for element in reversed(list):
    print(element)"</f>
        <v>for element in reversed(list):
    print(element)</v>
      </c>
      <c r="D224" s="47" t="s">
        <v>2122</v>
      </c>
      <c r="E224" s="47" t="s">
        <v>2122</v>
      </c>
      <c r="F224" s="17" t="s">
        <v>2086</v>
      </c>
      <c r="G224" s="17" t="s">
        <v>2122</v>
      </c>
      <c r="H224" t="s">
        <v>122</v>
      </c>
      <c r="I224">
        <f t="shared" ca="1" si="46"/>
        <v>568</v>
      </c>
      <c r="J224" t="str">
        <f t="shared" si="47"/>
        <v>リスト 反転（イテレータ）</v>
      </c>
    </row>
    <row r="225" spans="1:10" ht="11.25" customHeight="1" outlineLevel="1">
      <c r="A225" s="15"/>
      <c r="B225" s="15" t="s">
        <v>3278</v>
      </c>
      <c r="C225" s="16" t="s">
        <v>3270</v>
      </c>
      <c r="D225" s="47" t="s">
        <v>122</v>
      </c>
      <c r="E225" s="47" t="s">
        <v>122</v>
      </c>
      <c r="F225" s="17"/>
      <c r="G225" s="17" t="s">
        <v>3271</v>
      </c>
      <c r="H225" t="s">
        <v>122</v>
      </c>
      <c r="I225">
        <f t="shared" ca="1" si="46"/>
        <v>569</v>
      </c>
      <c r="J225" t="str">
        <f t="shared" si="47"/>
        <v>リスト 非破壊並べ替え</v>
      </c>
    </row>
    <row r="226" spans="1:10" ht="11.25" customHeight="1" outlineLevel="1">
      <c r="A226" s="15"/>
      <c r="B226" s="15" t="s">
        <v>3279</v>
      </c>
      <c r="C226" s="16" t="s">
        <v>3277</v>
      </c>
      <c r="D226" s="47" t="s">
        <v>122</v>
      </c>
      <c r="E226" s="47" t="s">
        <v>122</v>
      </c>
      <c r="F226" s="17"/>
      <c r="G226" s="17" t="s">
        <v>3271</v>
      </c>
      <c r="H226" t="s">
        <v>122</v>
      </c>
      <c r="I226">
        <f t="shared" ca="1" si="46"/>
        <v>570</v>
      </c>
      <c r="J226" t="str">
        <f t="shared" si="47"/>
        <v>リスト 非破壊並べ替え（逆順）</v>
      </c>
    </row>
    <row r="227" spans="1:10" ht="11.25" customHeight="1" outlineLevel="1">
      <c r="A227" s="15"/>
      <c r="B227" s="15" t="s">
        <v>3280</v>
      </c>
      <c r="C227" s="16" t="s">
        <v>3272</v>
      </c>
      <c r="D227" s="47" t="s">
        <v>122</v>
      </c>
      <c r="E227" s="47" t="s">
        <v>122</v>
      </c>
      <c r="F227" s="17"/>
      <c r="G227" s="17" t="s">
        <v>3273</v>
      </c>
      <c r="H227" t="s">
        <v>122</v>
      </c>
      <c r="I227">
        <f t="shared" ca="1" si="46"/>
        <v>571</v>
      </c>
      <c r="J227" t="str">
        <f t="shared" si="47"/>
        <v>リスト 非破壊並べ替え（ソートアルゴリズム指定）</v>
      </c>
    </row>
    <row r="228" spans="1:10" ht="11.25" customHeight="1" outlineLevel="1">
      <c r="A228" s="15"/>
      <c r="B228" s="15" t="s">
        <v>3281</v>
      </c>
      <c r="C228" s="16" t="s">
        <v>3276</v>
      </c>
      <c r="D228" s="47" t="s">
        <v>122</v>
      </c>
      <c r="E228" s="47" t="s">
        <v>122</v>
      </c>
      <c r="F228" s="17"/>
      <c r="G228" s="17" t="s">
        <v>3274</v>
      </c>
      <c r="H228" t="s">
        <v>122</v>
      </c>
      <c r="I228">
        <f t="shared" ca="1" si="46"/>
        <v>572</v>
      </c>
      <c r="J228" t="str">
        <f t="shared" si="47"/>
        <v>リスト 破壊並べ替え</v>
      </c>
    </row>
    <row r="229" spans="1:10" ht="11.25" customHeight="1" outlineLevel="1">
      <c r="A229" s="15"/>
      <c r="B229" s="15" t="s">
        <v>3282</v>
      </c>
      <c r="C229" s="16" t="s">
        <v>3284</v>
      </c>
      <c r="D229" s="47" t="s">
        <v>122</v>
      </c>
      <c r="E229" s="47" t="s">
        <v>122</v>
      </c>
      <c r="F229" s="17"/>
      <c r="G229" s="17" t="s">
        <v>3274</v>
      </c>
      <c r="H229" t="s">
        <v>122</v>
      </c>
      <c r="I229">
        <f t="shared" ca="1" si="46"/>
        <v>573</v>
      </c>
      <c r="J229" t="str">
        <f t="shared" si="47"/>
        <v>リスト 破壊並べ替え（逆順）</v>
      </c>
    </row>
    <row r="230" spans="1:10" ht="11.25" customHeight="1" outlineLevel="1">
      <c r="A230" s="15"/>
      <c r="B230" s="15" t="s">
        <v>3283</v>
      </c>
      <c r="C230" s="16" t="s">
        <v>3275</v>
      </c>
      <c r="D230" s="47" t="s">
        <v>122</v>
      </c>
      <c r="E230" s="47" t="s">
        <v>122</v>
      </c>
      <c r="F230" s="17"/>
      <c r="G230" s="17" t="s">
        <v>3273</v>
      </c>
      <c r="H230" t="s">
        <v>122</v>
      </c>
      <c r="I230">
        <f t="shared" ca="1" si="46"/>
        <v>574</v>
      </c>
      <c r="J230" t="str">
        <f t="shared" si="47"/>
        <v>リスト 破壊並べ替え（ソートアルゴリズム指定）</v>
      </c>
    </row>
    <row r="231" spans="1:10" ht="11.25" customHeight="1" outlineLevel="1">
      <c r="A231" s="15"/>
      <c r="B231" s="15" t="s">
        <v>3266</v>
      </c>
      <c r="C231" s="16" t="str">
        <f>"for element in list:
    print(element)"</f>
        <v>for element in list:
    print(element)</v>
      </c>
      <c r="D231" s="47" t="s">
        <v>122</v>
      </c>
      <c r="E231" s="47" t="s">
        <v>122</v>
      </c>
      <c r="F231" s="17" t="s">
        <v>3267</v>
      </c>
      <c r="G231" s="17" t="s">
        <v>122</v>
      </c>
      <c r="H231" t="s">
        <v>122</v>
      </c>
      <c r="I231">
        <f t="shared" ca="1" si="46"/>
        <v>575</v>
      </c>
      <c r="J231" t="str">
        <f t="shared" si="47"/>
        <v>リスト 繰り返し</v>
      </c>
    </row>
    <row r="232" spans="1:10" ht="11.25" customHeight="1" outlineLevel="1">
      <c r="A232" s="15"/>
      <c r="B232" s="15" t="s">
        <v>3268</v>
      </c>
      <c r="C232" s="16" t="str">
        <f>"for idx, element in enumerate(list):
    print(f""{idx}: {element}"")"</f>
        <v>for idx, element in enumerate(list):
    print(f"{idx}: {element}")</v>
      </c>
      <c r="D232" s="47" t="s">
        <v>122</v>
      </c>
      <c r="E232" s="47" t="s">
        <v>122</v>
      </c>
      <c r="F232" s="17" t="s">
        <v>3269</v>
      </c>
      <c r="G232" s="17" t="s">
        <v>122</v>
      </c>
      <c r="H232" t="s">
        <v>122</v>
      </c>
      <c r="I232">
        <f t="shared" ca="1" si="46"/>
        <v>576</v>
      </c>
      <c r="J232" t="str">
        <f t="shared" si="47"/>
        <v>リスト 繰り返し（enumerate）</v>
      </c>
    </row>
    <row r="233" spans="1:10" ht="11.25" customHeight="1" outlineLevel="1">
      <c r="A233" s="15"/>
      <c r="B233" s="15" t="s">
        <v>3287</v>
      </c>
      <c r="C233" s="16" t="s">
        <v>3327</v>
      </c>
      <c r="D233" s="47" t="s">
        <v>122</v>
      </c>
      <c r="E233" s="47" t="s">
        <v>122</v>
      </c>
      <c r="F233" s="17" t="s">
        <v>3326</v>
      </c>
      <c r="G233" s="17" t="s">
        <v>122</v>
      </c>
      <c r="H233" t="s">
        <v>122</v>
      </c>
      <c r="I233">
        <f t="shared" ca="1" si="46"/>
        <v>577</v>
      </c>
      <c r="J233" t="str">
        <f t="shared" si="47"/>
        <v>リスト 内包表記</v>
      </c>
    </row>
    <row r="234" spans="1:10" ht="11.25" customHeight="1">
      <c r="A234" s="12" t="s">
        <v>2182</v>
      </c>
      <c r="B234" s="13"/>
      <c r="C234" s="13"/>
      <c r="D234" s="45"/>
      <c r="E234" s="45"/>
      <c r="F234" s="14"/>
      <c r="G234" s="14"/>
      <c r="H234" t="s">
        <v>122</v>
      </c>
      <c r="I234">
        <f t="shared" ref="I234:I245" ca="1" si="48">IF(J234="",OFFSET(I234,-1,0),OFFSET(I234,-1,0)+1)</f>
        <v>577</v>
      </c>
      <c r="J234" t="str">
        <f t="shared" ref="J234:J245" si="49">IF(B234="","",B234)</f>
        <v/>
      </c>
    </row>
    <row r="235" spans="1:10" ht="11.25" customHeight="1" outlineLevel="1">
      <c r="A235" s="15"/>
      <c r="B235" s="15" t="s">
        <v>2158</v>
      </c>
      <c r="C235" s="16" t="s">
        <v>2167</v>
      </c>
      <c r="D235" s="47" t="s">
        <v>122</v>
      </c>
      <c r="E235" s="47" t="s">
        <v>122</v>
      </c>
      <c r="F235" s="17" t="s">
        <v>2166</v>
      </c>
      <c r="G235" s="17" t="s">
        <v>2166</v>
      </c>
      <c r="H235" t="s">
        <v>122</v>
      </c>
      <c r="I235">
        <f t="shared" ca="1" si="48"/>
        <v>578</v>
      </c>
      <c r="J235" t="str">
        <f t="shared" si="49"/>
        <v>タプル 初期化</v>
      </c>
    </row>
    <row r="236" spans="1:10" ht="11.25" customHeight="1" outlineLevel="1">
      <c r="A236" s="15"/>
      <c r="B236" s="15" t="s">
        <v>2159</v>
      </c>
      <c r="C236" s="16" t="s">
        <v>2168</v>
      </c>
      <c r="D236" s="47" t="s">
        <v>122</v>
      </c>
      <c r="E236" s="47" t="s">
        <v>122</v>
      </c>
      <c r="F236" s="19" t="s">
        <v>2169</v>
      </c>
      <c r="G236" s="17" t="s">
        <v>2166</v>
      </c>
      <c r="H236" t="s">
        <v>122</v>
      </c>
      <c r="I236">
        <f t="shared" ca="1" si="48"/>
        <v>579</v>
      </c>
      <c r="J236" t="str">
        <f t="shared" si="49"/>
        <v>タプル 参照</v>
      </c>
    </row>
    <row r="237" spans="1:10" ht="11.25" customHeight="1" outlineLevel="1">
      <c r="A237" s="15"/>
      <c r="B237" s="15" t="s">
        <v>2175</v>
      </c>
      <c r="C237" s="16" t="s">
        <v>2176</v>
      </c>
      <c r="D237" s="47" t="s">
        <v>122</v>
      </c>
      <c r="E237" s="47" t="s">
        <v>122</v>
      </c>
      <c r="F237" s="19" t="s">
        <v>2177</v>
      </c>
      <c r="G237" s="17" t="s">
        <v>2178</v>
      </c>
      <c r="H237" t="s">
        <v>122</v>
      </c>
      <c r="I237">
        <f ca="1">IF(J237="",OFFSET(I237,-1,0),OFFSET(I237,-1,0)+1)</f>
        <v>580</v>
      </c>
      <c r="J237" t="str">
        <f>IF(B237="","",B237)</f>
        <v>タプル 参照（複数要素）</v>
      </c>
    </row>
    <row r="238" spans="1:10" ht="11.25" customHeight="1" outlineLevel="1">
      <c r="A238" s="15"/>
      <c r="B238" s="15" t="s">
        <v>3289</v>
      </c>
      <c r="C238" s="16" t="s">
        <v>2179</v>
      </c>
      <c r="D238" s="47" t="s">
        <v>122</v>
      </c>
      <c r="E238" s="47" t="s">
        <v>122</v>
      </c>
      <c r="F238" s="19" t="s">
        <v>2177</v>
      </c>
      <c r="G238" s="17" t="s">
        <v>2178</v>
      </c>
      <c r="H238" t="s">
        <v>122</v>
      </c>
      <c r="I238">
        <f ca="1">IF(J238="",OFFSET(I238,-1,0),OFFSET(I238,-1,0)+1)</f>
        <v>581</v>
      </c>
      <c r="J238" t="str">
        <f>IF(B238="","",B238)</f>
        <v>タプル 変数代入（アンパック）</v>
      </c>
    </row>
    <row r="239" spans="1:10" ht="11.25" customHeight="1" outlineLevel="1">
      <c r="A239" s="15"/>
      <c r="B239" s="15" t="s">
        <v>2163</v>
      </c>
      <c r="C239" s="16" t="s">
        <v>2171</v>
      </c>
      <c r="D239" s="47" t="s">
        <v>122</v>
      </c>
      <c r="E239" s="47" t="s">
        <v>122</v>
      </c>
      <c r="F239" s="17" t="s">
        <v>2174</v>
      </c>
      <c r="G239" s="17" t="s">
        <v>2166</v>
      </c>
      <c r="H239" t="s">
        <v>122</v>
      </c>
      <c r="I239">
        <f ca="1">IF(J239="",OFFSET(I239,-1,0),OFFSET(I239,-1,0)+1)</f>
        <v>582</v>
      </c>
      <c r="J239" t="str">
        <f>IF(B239="","",B239)</f>
        <v>タプル 要素数取得</v>
      </c>
    </row>
    <row r="240" spans="1:10" ht="11.25" customHeight="1" outlineLevel="1">
      <c r="A240" s="15"/>
      <c r="B240" s="15" t="s">
        <v>2162</v>
      </c>
      <c r="C240" s="30" t="s">
        <v>2170</v>
      </c>
      <c r="D240" s="47" t="s">
        <v>122</v>
      </c>
      <c r="E240" s="47" t="s">
        <v>122</v>
      </c>
      <c r="F240" s="17" t="s">
        <v>2166</v>
      </c>
      <c r="G240" s="17" t="s">
        <v>2180</v>
      </c>
      <c r="H240" t="s">
        <v>122</v>
      </c>
      <c r="I240">
        <f ca="1">IF(J240="",OFFSET(I240,-1,0),OFFSET(I240,-1,0)+1)</f>
        <v>583</v>
      </c>
      <c r="J240" t="str">
        <f>IF(B240="","",B240)</f>
        <v>タプル 要素番号取得</v>
      </c>
    </row>
    <row r="241" spans="1:10" ht="11.25" customHeight="1" outlineLevel="1">
      <c r="A241" s="15"/>
      <c r="B241" s="15" t="s">
        <v>2160</v>
      </c>
      <c r="C241" s="30" t="s">
        <v>2170</v>
      </c>
      <c r="D241" s="47" t="s">
        <v>122</v>
      </c>
      <c r="E241" s="47" t="s">
        <v>122</v>
      </c>
      <c r="F241" s="17" t="s">
        <v>2166</v>
      </c>
      <c r="G241" s="17" t="s">
        <v>2173</v>
      </c>
      <c r="H241" t="s">
        <v>122</v>
      </c>
      <c r="I241">
        <f t="shared" ca="1" si="48"/>
        <v>584</v>
      </c>
      <c r="J241" t="str">
        <f t="shared" si="49"/>
        <v>タプル 削除</v>
      </c>
    </row>
    <row r="242" spans="1:10" ht="11.25" customHeight="1" outlineLevel="1">
      <c r="A242" s="15"/>
      <c r="B242" s="15" t="s">
        <v>2161</v>
      </c>
      <c r="C242" s="30" t="s">
        <v>2170</v>
      </c>
      <c r="D242" s="47" t="s">
        <v>122</v>
      </c>
      <c r="E242" s="47" t="s">
        <v>122</v>
      </c>
      <c r="F242" s="17" t="s">
        <v>2166</v>
      </c>
      <c r="G242" s="17" t="s">
        <v>2173</v>
      </c>
      <c r="H242" t="s">
        <v>122</v>
      </c>
      <c r="I242">
        <f t="shared" ca="1" si="48"/>
        <v>585</v>
      </c>
      <c r="J242" t="str">
        <f t="shared" si="49"/>
        <v>タプル 末尾取り出し</v>
      </c>
    </row>
    <row r="243" spans="1:10" ht="11.25" customHeight="1" outlineLevel="1">
      <c r="A243" s="15"/>
      <c r="B243" s="15" t="s">
        <v>2172</v>
      </c>
      <c r="C243" s="30" t="s">
        <v>2170</v>
      </c>
      <c r="D243" s="47" t="s">
        <v>122</v>
      </c>
      <c r="E243" s="47" t="s">
        <v>122</v>
      </c>
      <c r="F243" s="17" t="s">
        <v>2166</v>
      </c>
      <c r="G243" s="17" t="s">
        <v>2173</v>
      </c>
      <c r="H243" t="s">
        <v>122</v>
      </c>
      <c r="I243">
        <f t="shared" ca="1" si="48"/>
        <v>586</v>
      </c>
      <c r="J243" t="str">
        <f t="shared" si="49"/>
        <v>タプル 追加</v>
      </c>
    </row>
    <row r="244" spans="1:10" ht="11.25" customHeight="1" outlineLevel="1">
      <c r="A244" s="15"/>
      <c r="B244" s="15" t="s">
        <v>2164</v>
      </c>
      <c r="C244" s="30" t="s">
        <v>2170</v>
      </c>
      <c r="D244" s="47" t="s">
        <v>122</v>
      </c>
      <c r="E244" s="47" t="s">
        <v>122</v>
      </c>
      <c r="F244" s="17" t="s">
        <v>2166</v>
      </c>
      <c r="G244" s="17" t="s">
        <v>2173</v>
      </c>
      <c r="H244" t="s">
        <v>122</v>
      </c>
      <c r="I244">
        <f t="shared" ca="1" si="48"/>
        <v>587</v>
      </c>
      <c r="J244" t="str">
        <f t="shared" si="49"/>
        <v>タプル 連結</v>
      </c>
    </row>
    <row r="245" spans="1:10" ht="11.25" customHeight="1" outlineLevel="1">
      <c r="A245" s="15"/>
      <c r="B245" s="15" t="s">
        <v>2165</v>
      </c>
      <c r="C245" s="30" t="s">
        <v>2170</v>
      </c>
      <c r="D245" s="47" t="s">
        <v>122</v>
      </c>
      <c r="E245" s="47" t="s">
        <v>122</v>
      </c>
      <c r="F245" s="17" t="s">
        <v>2166</v>
      </c>
      <c r="G245" s="17" t="s">
        <v>2173</v>
      </c>
      <c r="H245" t="s">
        <v>122</v>
      </c>
      <c r="I245">
        <f t="shared" ca="1" si="48"/>
        <v>588</v>
      </c>
      <c r="J245" t="str">
        <f t="shared" si="49"/>
        <v>タプル 反転</v>
      </c>
    </row>
    <row r="246" spans="1:10" ht="11.25" customHeight="1" outlineLevel="1">
      <c r="A246" s="15"/>
      <c r="B246" s="15" t="s">
        <v>3290</v>
      </c>
      <c r="C246" s="16" t="s">
        <v>3291</v>
      </c>
      <c r="D246" s="47" t="s">
        <v>122</v>
      </c>
      <c r="E246" s="47" t="s">
        <v>122</v>
      </c>
      <c r="F246" s="17"/>
      <c r="G246" s="17" t="s">
        <v>122</v>
      </c>
      <c r="H246" t="s">
        <v>122</v>
      </c>
      <c r="I246">
        <f ca="1">IF(J246="",OFFSET(I246,-1,0),OFFSET(I246,-1,0)+1)</f>
        <v>589</v>
      </c>
      <c r="J246" t="str">
        <f>IF(B246="","",B246)</f>
        <v>タプル リスト→タプル変換</v>
      </c>
    </row>
    <row r="247" spans="1:10" ht="11.25" customHeight="1" outlineLevel="1">
      <c r="A247" s="15"/>
      <c r="B247" s="15" t="s">
        <v>3292</v>
      </c>
      <c r="C247" s="16" t="s">
        <v>3293</v>
      </c>
      <c r="D247" s="47" t="s">
        <v>122</v>
      </c>
      <c r="E247" s="47" t="s">
        <v>122</v>
      </c>
      <c r="F247" s="17"/>
      <c r="G247" s="17" t="s">
        <v>122</v>
      </c>
      <c r="H247" t="s">
        <v>122</v>
      </c>
      <c r="I247">
        <f ca="1">IF(J247="",OFFSET(I247,-1,0),OFFSET(I247,-1,0)+1)</f>
        <v>590</v>
      </c>
      <c r="J247" t="str">
        <f>IF(B247="","",B247)</f>
        <v>タプル タプル→リスト変換</v>
      </c>
    </row>
    <row r="248" spans="1:10" ht="11.25" customHeight="1">
      <c r="A248" s="12" t="s">
        <v>3338</v>
      </c>
      <c r="B248" s="13"/>
      <c r="C248" s="13"/>
      <c r="D248" s="45"/>
      <c r="E248" s="45"/>
      <c r="F248" s="14"/>
      <c r="G248" s="14"/>
      <c r="H248" t="s">
        <v>122</v>
      </c>
      <c r="I248">
        <f t="shared" ref="I248:I251" ca="1" si="50">IF(J248="",OFFSET(I248,-1,0),OFFSET(I248,-1,0)+1)</f>
        <v>590</v>
      </c>
      <c r="J248" t="str">
        <f t="shared" ref="J248:J251" si="51">IF(B248="","",B248)</f>
        <v/>
      </c>
    </row>
    <row r="249" spans="1:10" ht="11.25" customHeight="1" outlineLevel="1">
      <c r="A249" s="15"/>
      <c r="B249" s="15" t="s">
        <v>3352</v>
      </c>
      <c r="C249" s="16" t="s">
        <v>3354</v>
      </c>
      <c r="D249" s="47" t="s">
        <v>122</v>
      </c>
      <c r="E249" s="47" t="s">
        <v>122</v>
      </c>
      <c r="F249" s="17" t="s">
        <v>122</v>
      </c>
      <c r="G249" s="17" t="s">
        <v>122</v>
      </c>
      <c r="H249" t="s">
        <v>122</v>
      </c>
      <c r="I249">
        <f t="shared" ref="I249" ca="1" si="52">IF(J249="",OFFSET(I249,-1,0),OFFSET(I249,-1,0)+1)</f>
        <v>591</v>
      </c>
      <c r="J249" t="str">
        <f t="shared" ref="J249" si="53">IF(B249="","",B249)</f>
        <v>集合 初期化（初期値なし）</v>
      </c>
    </row>
    <row r="250" spans="1:10" ht="11.25" customHeight="1" outlineLevel="1">
      <c r="A250" s="15"/>
      <c r="B250" s="15" t="s">
        <v>3353</v>
      </c>
      <c r="C250" s="16" t="s">
        <v>3361</v>
      </c>
      <c r="D250" s="47" t="s">
        <v>122</v>
      </c>
      <c r="E250" s="47" t="s">
        <v>122</v>
      </c>
      <c r="F250" s="17" t="s">
        <v>122</v>
      </c>
      <c r="G250" s="17" t="s">
        <v>122</v>
      </c>
      <c r="H250" t="s">
        <v>122</v>
      </c>
      <c r="I250">
        <f t="shared" ca="1" si="50"/>
        <v>592</v>
      </c>
      <c r="J250" t="str">
        <f t="shared" si="51"/>
        <v>集合 初期化（初期値あり）</v>
      </c>
    </row>
    <row r="251" spans="1:10" ht="11.25" customHeight="1" outlineLevel="1">
      <c r="A251" s="15"/>
      <c r="B251" s="15" t="s">
        <v>3328</v>
      </c>
      <c r="C251" s="26" t="s">
        <v>122</v>
      </c>
      <c r="D251" s="47" t="s">
        <v>122</v>
      </c>
      <c r="E251" s="47" t="s">
        <v>122</v>
      </c>
      <c r="F251" s="19" t="s">
        <v>122</v>
      </c>
      <c r="G251" s="17" t="s">
        <v>122</v>
      </c>
      <c r="H251" t="s">
        <v>122</v>
      </c>
      <c r="I251">
        <f t="shared" ca="1" si="50"/>
        <v>593</v>
      </c>
      <c r="J251" t="str">
        <f t="shared" si="51"/>
        <v>集合 参照</v>
      </c>
    </row>
    <row r="252" spans="1:10" ht="11.25" customHeight="1" outlineLevel="1">
      <c r="A252" s="15"/>
      <c r="B252" s="15" t="s">
        <v>3329</v>
      </c>
      <c r="C252" s="26" t="s">
        <v>122</v>
      </c>
      <c r="D252" s="47" t="s">
        <v>122</v>
      </c>
      <c r="E252" s="47" t="s">
        <v>122</v>
      </c>
      <c r="F252" s="19" t="s">
        <v>122</v>
      </c>
      <c r="G252" s="17" t="s">
        <v>122</v>
      </c>
      <c r="H252" t="s">
        <v>122</v>
      </c>
      <c r="I252">
        <f ca="1">IF(J252="",OFFSET(I252,-1,0),OFFSET(I252,-1,0)+1)</f>
        <v>594</v>
      </c>
      <c r="J252" t="str">
        <f>IF(B252="","",B252)</f>
        <v>集合 参照（複数要素）</v>
      </c>
    </row>
    <row r="253" spans="1:10" ht="11.25" customHeight="1" outlineLevel="1">
      <c r="A253" s="15"/>
      <c r="B253" s="15" t="s">
        <v>3339</v>
      </c>
      <c r="C253" s="20" t="s">
        <v>3340</v>
      </c>
      <c r="D253" s="47" t="s">
        <v>122</v>
      </c>
      <c r="E253" s="47" t="s">
        <v>122</v>
      </c>
      <c r="F253" s="19" t="s">
        <v>130</v>
      </c>
      <c r="G253" s="17" t="s">
        <v>122</v>
      </c>
      <c r="H253" t="s">
        <v>122</v>
      </c>
      <c r="I253">
        <f ca="1">IF(J253="",OFFSET(I253,-1,0),OFFSET(I253,-1,0)+1)</f>
        <v>595</v>
      </c>
      <c r="J253" t="str">
        <f>IF(B253="","",B253)</f>
        <v>集合 存在確認</v>
      </c>
    </row>
    <row r="254" spans="1:10" ht="11.25" customHeight="1" outlineLevel="1">
      <c r="A254" s="15"/>
      <c r="B254" s="15" t="s">
        <v>3330</v>
      </c>
      <c r="C254" s="26" t="s">
        <v>122</v>
      </c>
      <c r="D254" s="47" t="s">
        <v>122</v>
      </c>
      <c r="E254" s="47" t="s">
        <v>122</v>
      </c>
      <c r="F254" s="19" t="s">
        <v>122</v>
      </c>
      <c r="G254" s="17" t="s">
        <v>122</v>
      </c>
      <c r="H254" t="s">
        <v>122</v>
      </c>
      <c r="I254">
        <f ca="1">IF(J254="",OFFSET(I254,-1,0),OFFSET(I254,-1,0)+1)</f>
        <v>596</v>
      </c>
      <c r="J254" t="str">
        <f>IF(B254="","",B254)</f>
        <v>集合 変数代入（アンパック）</v>
      </c>
    </row>
    <row r="255" spans="1:10" ht="11.25" customHeight="1" outlineLevel="1">
      <c r="A255" s="15"/>
      <c r="B255" s="15" t="s">
        <v>3331</v>
      </c>
      <c r="C255" s="26" t="s">
        <v>122</v>
      </c>
      <c r="D255" s="47" t="s">
        <v>122</v>
      </c>
      <c r="E255" s="47" t="s">
        <v>122</v>
      </c>
      <c r="F255" s="17" t="s">
        <v>122</v>
      </c>
      <c r="G255" s="17" t="s">
        <v>122</v>
      </c>
      <c r="H255" t="s">
        <v>122</v>
      </c>
      <c r="I255">
        <f ca="1">IF(J255="",OFFSET(I255,-1,0),OFFSET(I255,-1,0)+1)</f>
        <v>597</v>
      </c>
      <c r="J255" t="str">
        <f>IF(B255="","",B255)</f>
        <v>集合 要素数取得</v>
      </c>
    </row>
    <row r="256" spans="1:10" ht="11.25" customHeight="1" outlineLevel="1">
      <c r="A256" s="15"/>
      <c r="B256" s="15" t="s">
        <v>3332</v>
      </c>
      <c r="C256" s="26" t="s">
        <v>122</v>
      </c>
      <c r="D256" s="47" t="s">
        <v>122</v>
      </c>
      <c r="E256" s="47" t="s">
        <v>122</v>
      </c>
      <c r="F256" s="17" t="s">
        <v>122</v>
      </c>
      <c r="G256" s="17" t="s">
        <v>122</v>
      </c>
      <c r="H256" t="s">
        <v>122</v>
      </c>
      <c r="I256">
        <f ca="1">IF(J256="",OFFSET(I256,-1,0),OFFSET(I256,-1,0)+1)</f>
        <v>598</v>
      </c>
      <c r="J256" t="str">
        <f>IF(B256="","",B256)</f>
        <v>集合 要素番号取得</v>
      </c>
    </row>
    <row r="257" spans="1:10" ht="11.25" customHeight="1" outlineLevel="1">
      <c r="A257" s="15"/>
      <c r="B257" s="15" t="s">
        <v>3348</v>
      </c>
      <c r="C257" s="16" t="s">
        <v>3342</v>
      </c>
      <c r="D257" s="47" t="s">
        <v>122</v>
      </c>
      <c r="E257" s="47" t="s">
        <v>122</v>
      </c>
      <c r="F257" s="17" t="s">
        <v>122</v>
      </c>
      <c r="G257" s="37" t="s">
        <v>3344</v>
      </c>
      <c r="H257" t="s">
        <v>122</v>
      </c>
      <c r="I257">
        <f t="shared" ref="I257:I265" ca="1" si="54">IF(J257="",OFFSET(I257,-1,0),OFFSET(I257,-1,0)+1)</f>
        <v>599</v>
      </c>
      <c r="J257" t="str">
        <f t="shared" ref="J257:J265" si="55">IF(B257="","",B257)</f>
        <v>集合 削除（未存在時、エラー）</v>
      </c>
    </row>
    <row r="258" spans="1:10" ht="11.25" customHeight="1" outlineLevel="1">
      <c r="A258" s="15"/>
      <c r="B258" s="15" t="s">
        <v>3347</v>
      </c>
      <c r="C258" s="16" t="s">
        <v>3345</v>
      </c>
      <c r="D258" s="47" t="s">
        <v>122</v>
      </c>
      <c r="E258" s="47" t="s">
        <v>122</v>
      </c>
      <c r="F258" s="17" t="s">
        <v>122</v>
      </c>
      <c r="G258" s="37" t="s">
        <v>3346</v>
      </c>
      <c r="H258" t="s">
        <v>122</v>
      </c>
      <c r="I258">
        <f t="shared" ref="I258" ca="1" si="56">IF(J258="",OFFSET(I258,-1,0),OFFSET(I258,-1,0)+1)</f>
        <v>600</v>
      </c>
      <c r="J258" t="str">
        <f t="shared" ref="J258" si="57">IF(B258="","",B258)</f>
        <v>集合 削除（未存在時、非エラー）</v>
      </c>
    </row>
    <row r="259" spans="1:10" ht="11.25" customHeight="1" outlineLevel="1">
      <c r="A259" s="15"/>
      <c r="B259" s="15" t="s">
        <v>3333</v>
      </c>
      <c r="C259" s="26" t="s">
        <v>122</v>
      </c>
      <c r="D259" s="47" t="s">
        <v>122</v>
      </c>
      <c r="E259" s="47" t="s">
        <v>122</v>
      </c>
      <c r="F259" s="17" t="s">
        <v>122</v>
      </c>
      <c r="G259" s="17" t="s">
        <v>122</v>
      </c>
      <c r="H259" t="s">
        <v>122</v>
      </c>
      <c r="I259">
        <f t="shared" ca="1" si="54"/>
        <v>601</v>
      </c>
      <c r="J259" t="str">
        <f t="shared" si="55"/>
        <v>集合 末尾取り出し</v>
      </c>
    </row>
    <row r="260" spans="1:10" ht="11.25" customHeight="1" outlineLevel="1">
      <c r="A260" s="15"/>
      <c r="B260" s="15" t="s">
        <v>3334</v>
      </c>
      <c r="C260" s="16" t="s">
        <v>3341</v>
      </c>
      <c r="D260" s="47" t="s">
        <v>122</v>
      </c>
      <c r="E260" s="47" t="s">
        <v>122</v>
      </c>
      <c r="F260" s="17" t="s">
        <v>122</v>
      </c>
      <c r="G260" s="106" t="s">
        <v>3343</v>
      </c>
      <c r="H260" t="s">
        <v>122</v>
      </c>
      <c r="I260">
        <f t="shared" ca="1" si="54"/>
        <v>602</v>
      </c>
      <c r="J260" t="str">
        <f t="shared" si="55"/>
        <v>集合 追加</v>
      </c>
    </row>
    <row r="261" spans="1:10" ht="11.25" customHeight="1" outlineLevel="1">
      <c r="A261" s="15"/>
      <c r="B261" s="15" t="s">
        <v>3357</v>
      </c>
      <c r="C261" s="16" t="s">
        <v>3355</v>
      </c>
      <c r="D261" s="47" t="s">
        <v>122</v>
      </c>
      <c r="E261" s="47" t="s">
        <v>122</v>
      </c>
      <c r="F261" s="27" t="s">
        <v>122</v>
      </c>
      <c r="G261" s="17" t="s">
        <v>122</v>
      </c>
      <c r="H261" t="s">
        <v>122</v>
      </c>
      <c r="I261">
        <f t="shared" ca="1" si="54"/>
        <v>603</v>
      </c>
      <c r="J261" t="str">
        <f t="shared" si="55"/>
        <v>集合 積集合(AND)</v>
      </c>
    </row>
    <row r="262" spans="1:10" ht="11.25" customHeight="1" outlineLevel="1">
      <c r="A262" s="15"/>
      <c r="B262" s="15" t="s">
        <v>3358</v>
      </c>
      <c r="C262" s="16" t="s">
        <v>3356</v>
      </c>
      <c r="D262" s="47" t="s">
        <v>122</v>
      </c>
      <c r="E262" s="47" t="s">
        <v>122</v>
      </c>
      <c r="F262" s="27" t="s">
        <v>122</v>
      </c>
      <c r="G262" s="17" t="s">
        <v>122</v>
      </c>
      <c r="H262" t="s">
        <v>122</v>
      </c>
      <c r="I262">
        <f t="shared" ref="I262" ca="1" si="58">IF(J262="",OFFSET(I262,-1,0),OFFSET(I262,-1,0)+1)</f>
        <v>604</v>
      </c>
      <c r="J262" t="str">
        <f t="shared" ref="J262" si="59">IF(B262="","",B262)</f>
        <v>集合 和集合(OR)</v>
      </c>
    </row>
    <row r="263" spans="1:10" ht="11.25" customHeight="1" outlineLevel="1">
      <c r="A263" s="15"/>
      <c r="B263" s="15" t="s">
        <v>3359</v>
      </c>
      <c r="C263" s="16" t="s">
        <v>3360</v>
      </c>
      <c r="D263" s="47" t="s">
        <v>122</v>
      </c>
      <c r="E263" s="47" t="s">
        <v>122</v>
      </c>
      <c r="F263" s="27" t="s">
        <v>122</v>
      </c>
      <c r="G263" s="17" t="s">
        <v>122</v>
      </c>
      <c r="H263" t="s">
        <v>122</v>
      </c>
      <c r="I263">
        <f t="shared" ref="I263" ca="1" si="60">IF(J263="",OFFSET(I263,-1,0),OFFSET(I263,-1,0)+1)</f>
        <v>605</v>
      </c>
      <c r="J263" t="str">
        <f t="shared" ref="J263" si="61">IF(B263="","",B263)</f>
        <v>集合 差集合</v>
      </c>
    </row>
    <row r="264" spans="1:10" ht="11.25" customHeight="1" outlineLevel="1">
      <c r="A264" s="15"/>
      <c r="B264" s="15" t="s">
        <v>3362</v>
      </c>
      <c r="C264" s="16" t="s">
        <v>3363</v>
      </c>
      <c r="D264" s="47" t="s">
        <v>122</v>
      </c>
      <c r="E264" s="47" t="s">
        <v>122</v>
      </c>
      <c r="F264" s="27" t="s">
        <v>122</v>
      </c>
      <c r="G264" s="17" t="s">
        <v>122</v>
      </c>
      <c r="H264" t="s">
        <v>122</v>
      </c>
      <c r="I264">
        <f t="shared" ref="I264" ca="1" si="62">IF(J264="",OFFSET(I264,-1,0),OFFSET(I264,-1,0)+1)</f>
        <v>606</v>
      </c>
      <c r="J264" t="str">
        <f t="shared" ref="J264" si="63">IF(B264="","",B264)</f>
        <v>集合 排他的論理和</v>
      </c>
    </row>
    <row r="265" spans="1:10" ht="11.25" customHeight="1" outlineLevel="1">
      <c r="A265" s="15"/>
      <c r="B265" s="15" t="s">
        <v>3335</v>
      </c>
      <c r="C265" s="26" t="s">
        <v>122</v>
      </c>
      <c r="D265" s="47" t="s">
        <v>122</v>
      </c>
      <c r="E265" s="47" t="s">
        <v>122</v>
      </c>
      <c r="F265" s="17" t="s">
        <v>122</v>
      </c>
      <c r="G265" s="17" t="s">
        <v>122</v>
      </c>
      <c r="H265" t="s">
        <v>122</v>
      </c>
      <c r="I265">
        <f t="shared" ca="1" si="54"/>
        <v>607</v>
      </c>
      <c r="J265" t="str">
        <f t="shared" si="55"/>
        <v>集合 反転</v>
      </c>
    </row>
    <row r="266" spans="1:10" ht="11.25" customHeight="1" outlineLevel="1">
      <c r="A266" s="15"/>
      <c r="B266" s="15" t="s">
        <v>3336</v>
      </c>
      <c r="C266" s="26" t="s">
        <v>122</v>
      </c>
      <c r="D266" s="47" t="s">
        <v>122</v>
      </c>
      <c r="E266" s="47" t="s">
        <v>122</v>
      </c>
      <c r="F266" s="17" t="s">
        <v>122</v>
      </c>
      <c r="G266" s="17" t="s">
        <v>122</v>
      </c>
      <c r="H266" t="s">
        <v>122</v>
      </c>
      <c r="I266">
        <f ca="1">IF(J266="",OFFSET(I266,-1,0),OFFSET(I266,-1,0)+1)</f>
        <v>608</v>
      </c>
      <c r="J266" t="str">
        <f>IF(B266="","",B266)</f>
        <v>集合 リスト→集合変換</v>
      </c>
    </row>
    <row r="267" spans="1:10" ht="11.25" customHeight="1" outlineLevel="1">
      <c r="A267" s="15"/>
      <c r="B267" s="15" t="s">
        <v>3337</v>
      </c>
      <c r="C267" s="26" t="s">
        <v>122</v>
      </c>
      <c r="D267" s="47" t="s">
        <v>122</v>
      </c>
      <c r="E267" s="47" t="s">
        <v>122</v>
      </c>
      <c r="F267" s="17" t="s">
        <v>122</v>
      </c>
      <c r="G267" s="17" t="s">
        <v>122</v>
      </c>
      <c r="H267" t="s">
        <v>122</v>
      </c>
      <c r="I267">
        <f ca="1">IF(J267="",OFFSET(I267,-1,0),OFFSET(I267,-1,0)+1)</f>
        <v>609</v>
      </c>
      <c r="J267" t="str">
        <f>IF(B267="","",B267)</f>
        <v>集合 集合→リスト変換</v>
      </c>
    </row>
    <row r="268" spans="1:10" ht="11.25" customHeight="1" outlineLevel="1">
      <c r="A268" s="15"/>
      <c r="B268" s="15" t="s">
        <v>3349</v>
      </c>
      <c r="C268" s="16" t="s">
        <v>3350</v>
      </c>
      <c r="D268" s="47" t="s">
        <v>122</v>
      </c>
      <c r="E268" s="47" t="s">
        <v>122</v>
      </c>
      <c r="F268" s="17" t="s">
        <v>3351</v>
      </c>
      <c r="G268" s="17" t="s">
        <v>122</v>
      </c>
      <c r="H268" t="s">
        <v>122</v>
      </c>
      <c r="I268">
        <f ca="1">IF(J268="",OFFSET(I268,-1,0),OFFSET(I268,-1,0)+1)</f>
        <v>610</v>
      </c>
      <c r="J268" t="str">
        <f>IF(B268="","",B268)</f>
        <v>集合 内包表記</v>
      </c>
    </row>
    <row r="269" spans="1:10" ht="11.25" customHeight="1">
      <c r="A269" s="12" t="s">
        <v>355</v>
      </c>
      <c r="B269" s="13"/>
      <c r="C269" s="13"/>
      <c r="D269" s="45"/>
      <c r="E269" s="45"/>
      <c r="F269" s="14"/>
      <c r="G269" s="14"/>
      <c r="H269" t="s">
        <v>122</v>
      </c>
      <c r="I269">
        <f t="shared" ref="I269:I319" ca="1" si="64">IF(J269="",OFFSET(I269,-1,0),OFFSET(I269,-1,0)+1)</f>
        <v>610</v>
      </c>
      <c r="J269" t="str">
        <f t="shared" ref="J269:J320" si="65">IF(B269="","",B269)</f>
        <v/>
      </c>
    </row>
    <row r="270" spans="1:10" ht="11.25" customHeight="1" outlineLevel="1">
      <c r="A270" s="15"/>
      <c r="B270" s="15" t="s">
        <v>2879</v>
      </c>
      <c r="C270" s="16" t="s">
        <v>2877</v>
      </c>
      <c r="D270" s="47" t="s">
        <v>122</v>
      </c>
      <c r="E270" s="47" t="s">
        <v>122</v>
      </c>
      <c r="F270" s="17" t="s">
        <v>122</v>
      </c>
      <c r="G270" s="17" t="s">
        <v>122</v>
      </c>
      <c r="H270" t="s">
        <v>122</v>
      </c>
      <c r="I270">
        <f ca="1">IF(J270="",OFFSET(I270,-1,0),OFFSET(I270,-1,0)+1)</f>
        <v>611</v>
      </c>
      <c r="J270" t="str">
        <f>IF(B270="","",B270)</f>
        <v>オブジェクト定義(初期値なし)</v>
      </c>
    </row>
    <row r="271" spans="1:10" ht="11.25" customHeight="1" outlineLevel="1">
      <c r="A271" s="15"/>
      <c r="B271" s="15" t="s">
        <v>2879</v>
      </c>
      <c r="C271" s="16" t="str">
        <f>"import collections
fruits = collections.defaultdict(str)"</f>
        <v>import collections
fruits = collections.defaultdict(str)</v>
      </c>
      <c r="D271" s="47" t="s">
        <v>122</v>
      </c>
      <c r="E271" s="47" t="s">
        <v>122</v>
      </c>
      <c r="F271" s="17" t="s">
        <v>122</v>
      </c>
      <c r="G271" s="17" t="s">
        <v>3323</v>
      </c>
      <c r="H271" t="s">
        <v>122</v>
      </c>
      <c r="I271">
        <f ca="1">IF(J271="",OFFSET(I271,-1,0),OFFSET(I271,-1,0)+1)</f>
        <v>612</v>
      </c>
      <c r="J271" t="str">
        <f>IF(B271="","",B271)</f>
        <v>オブジェクト定義(初期値なし)</v>
      </c>
    </row>
    <row r="272" spans="1:10" ht="11.25" customHeight="1" outlineLevel="1">
      <c r="A272" s="15"/>
      <c r="B272" s="15" t="s">
        <v>2878</v>
      </c>
      <c r="C272" s="16" t="s">
        <v>2244</v>
      </c>
      <c r="D272" s="47" t="s">
        <v>2122</v>
      </c>
      <c r="E272" s="47" t="s">
        <v>2122</v>
      </c>
      <c r="F272" s="17" t="s">
        <v>2122</v>
      </c>
      <c r="G272" s="17" t="s">
        <v>2122</v>
      </c>
      <c r="H272" t="s">
        <v>122</v>
      </c>
      <c r="I272">
        <f t="shared" ca="1" si="64"/>
        <v>613</v>
      </c>
      <c r="J272" t="str">
        <f t="shared" si="65"/>
        <v>オブジェクト定義(初期値あり)</v>
      </c>
    </row>
    <row r="273" spans="1:10" ht="11.25" customHeight="1" outlineLevel="1">
      <c r="A273" s="15"/>
      <c r="B273" s="15" t="s">
        <v>16</v>
      </c>
      <c r="C273" s="16" t="s">
        <v>2245</v>
      </c>
      <c r="D273" s="47" t="s">
        <v>2122</v>
      </c>
      <c r="E273" s="47" t="s">
        <v>2122</v>
      </c>
      <c r="F273" s="17" t="s">
        <v>2122</v>
      </c>
      <c r="G273" s="17" t="s">
        <v>2122</v>
      </c>
      <c r="H273" t="s">
        <v>122</v>
      </c>
      <c r="I273">
        <f t="shared" ca="1" si="64"/>
        <v>614</v>
      </c>
      <c r="J273" t="str">
        <f t="shared" si="65"/>
        <v>連想配列 キー/項目追加</v>
      </c>
    </row>
    <row r="274" spans="1:10" ht="11.25" customHeight="1" outlineLevel="1">
      <c r="A274" s="15"/>
      <c r="B274" s="15" t="s">
        <v>2265</v>
      </c>
      <c r="C274" s="16" t="s">
        <v>2247</v>
      </c>
      <c r="D274" s="47" t="s">
        <v>2122</v>
      </c>
      <c r="E274" s="47" t="s">
        <v>2122</v>
      </c>
      <c r="F274" s="17" t="s">
        <v>2122</v>
      </c>
      <c r="G274" s="17" t="s">
        <v>2122</v>
      </c>
      <c r="H274" t="s">
        <v>122</v>
      </c>
      <c r="I274">
        <f ca="1">IF(J274="",OFFSET(I274,-1,0),OFFSET(I274,-1,0)+1)</f>
        <v>615</v>
      </c>
      <c r="J274" t="str">
        <f>IF(B274="","",B274)</f>
        <v>連想配列 項目変更</v>
      </c>
    </row>
    <row r="275" spans="1:10" ht="11.25" customHeight="1" outlineLevel="1">
      <c r="A275" s="15"/>
      <c r="B275" s="15" t="s">
        <v>17</v>
      </c>
      <c r="C275" s="16" t="s">
        <v>2250</v>
      </c>
      <c r="D275" s="47" t="s">
        <v>2122</v>
      </c>
      <c r="E275" s="47" t="s">
        <v>2122</v>
      </c>
      <c r="F275" s="17" t="s">
        <v>2122</v>
      </c>
      <c r="G275" s="17" t="s">
        <v>2122</v>
      </c>
      <c r="H275" t="s">
        <v>122</v>
      </c>
      <c r="I275">
        <f t="shared" ca="1" si="64"/>
        <v>616</v>
      </c>
      <c r="J275" t="str">
        <f t="shared" si="65"/>
        <v>連想配列 存在確認</v>
      </c>
    </row>
    <row r="276" spans="1:10" ht="11.25" customHeight="1" outlineLevel="1">
      <c r="A276" s="15"/>
      <c r="B276" s="15" t="s">
        <v>19</v>
      </c>
      <c r="C276" s="16" t="s">
        <v>2246</v>
      </c>
      <c r="D276" s="47" t="s">
        <v>2122</v>
      </c>
      <c r="E276" s="47" t="s">
        <v>2122</v>
      </c>
      <c r="F276" s="17" t="s">
        <v>2243</v>
      </c>
      <c r="G276" s="17" t="s">
        <v>3317</v>
      </c>
      <c r="H276" t="s">
        <v>122</v>
      </c>
      <c r="I276">
        <f ca="1">IF(J276="",OFFSET(I276,-1,0),OFFSET(I276,-1,0)+1)</f>
        <v>617</v>
      </c>
      <c r="J276" t="str">
        <f>IF(B276="","",B276)</f>
        <v>連想配列 項目取得（キー）</v>
      </c>
    </row>
    <row r="277" spans="1:10" ht="11.25" customHeight="1" outlineLevel="1">
      <c r="A277" s="15"/>
      <c r="B277" s="15" t="s">
        <v>19</v>
      </c>
      <c r="C277" s="16" t="s">
        <v>3315</v>
      </c>
      <c r="D277" s="47" t="s">
        <v>122</v>
      </c>
      <c r="E277" s="47" t="s">
        <v>122</v>
      </c>
      <c r="F277" s="17" t="s">
        <v>3316</v>
      </c>
      <c r="G277" s="17" t="s">
        <v>3320</v>
      </c>
      <c r="H277" t="s">
        <v>122</v>
      </c>
      <c r="I277">
        <f ca="1">IF(J277="",OFFSET(I277,-1,0),OFFSET(I277,-1,0)+1)</f>
        <v>618</v>
      </c>
      <c r="J277" t="str">
        <f>IF(B277="","",B277)</f>
        <v>連想配列 項目取得（キー）</v>
      </c>
    </row>
    <row r="278" spans="1:10" ht="11.25" customHeight="1" outlineLevel="1">
      <c r="A278" s="15"/>
      <c r="B278" s="15" t="s">
        <v>19</v>
      </c>
      <c r="C278" s="16" t="s">
        <v>3318</v>
      </c>
      <c r="D278" s="47" t="s">
        <v>122</v>
      </c>
      <c r="E278" s="47" t="s">
        <v>122</v>
      </c>
      <c r="F278" s="17" t="s">
        <v>3319</v>
      </c>
      <c r="G278" s="17" t="s">
        <v>3321</v>
      </c>
      <c r="H278" t="s">
        <v>122</v>
      </c>
      <c r="I278">
        <f ca="1">IF(J278="",OFFSET(I278,-1,0),OFFSET(I278,-1,0)+1)</f>
        <v>619</v>
      </c>
      <c r="J278" t="str">
        <f>IF(B278="","",B278)</f>
        <v>連想配列 項目取得（キー）</v>
      </c>
    </row>
    <row r="279" spans="1:10" ht="11.25" customHeight="1" outlineLevel="1">
      <c r="A279" s="15"/>
      <c r="B279" s="15" t="s">
        <v>18</v>
      </c>
      <c r="C279" s="16" t="s">
        <v>2266</v>
      </c>
      <c r="D279" s="47" t="s">
        <v>122</v>
      </c>
      <c r="E279" s="47" t="s">
        <v>122</v>
      </c>
      <c r="F279" s="17" t="s">
        <v>122</v>
      </c>
      <c r="G279" s="17" t="s">
        <v>122</v>
      </c>
      <c r="H279" t="s">
        <v>122</v>
      </c>
      <c r="I279">
        <f ca="1">IF(J279="",OFFSET(I279,-1,0),OFFSET(I279,-1,0)+1)</f>
        <v>620</v>
      </c>
      <c r="J279" t="str">
        <f>IF(B279="","",B279)</f>
        <v>連想配列 キー取得（For Each）</v>
      </c>
    </row>
    <row r="280" spans="1:10" ht="11.25" customHeight="1" outlineLevel="1">
      <c r="A280" s="15"/>
      <c r="B280" s="15" t="s">
        <v>18</v>
      </c>
      <c r="C280" s="16" t="s">
        <v>2256</v>
      </c>
      <c r="D280" s="47" t="s">
        <v>2122</v>
      </c>
      <c r="E280" s="47" t="s">
        <v>2122</v>
      </c>
      <c r="F280" s="17" t="s">
        <v>2122</v>
      </c>
      <c r="G280" s="17" t="s">
        <v>2122</v>
      </c>
      <c r="H280" t="s">
        <v>122</v>
      </c>
      <c r="I280">
        <f t="shared" ca="1" si="64"/>
        <v>621</v>
      </c>
      <c r="J280" t="str">
        <f t="shared" si="65"/>
        <v>連想配列 キー取得（For Each）</v>
      </c>
    </row>
    <row r="281" spans="1:10" ht="11.25" customHeight="1" outlineLevel="1">
      <c r="A281" s="15"/>
      <c r="B281" s="15" t="s">
        <v>2251</v>
      </c>
      <c r="C281" s="16" t="s">
        <v>2257</v>
      </c>
      <c r="D281" s="47" t="s">
        <v>122</v>
      </c>
      <c r="E281" s="47" t="s">
        <v>122</v>
      </c>
      <c r="F281" s="17" t="s">
        <v>122</v>
      </c>
      <c r="G281" s="17" t="s">
        <v>122</v>
      </c>
      <c r="H281" t="s">
        <v>122</v>
      </c>
      <c r="I281">
        <f ca="1">IF(J281="",OFFSET(I281,-1,0),OFFSET(I281,-1,0)+1)</f>
        <v>622</v>
      </c>
      <c r="J281" t="str">
        <f>IF(B281="","",B281)</f>
        <v>連想配列 項目取得（For Each）</v>
      </c>
    </row>
    <row r="282" spans="1:10" ht="11.25" customHeight="1" outlineLevel="1">
      <c r="A282" s="15"/>
      <c r="B282" s="15" t="s">
        <v>2252</v>
      </c>
      <c r="C282" s="16" t="s">
        <v>2258</v>
      </c>
      <c r="D282" s="47" t="s">
        <v>122</v>
      </c>
      <c r="E282" s="47" t="s">
        <v>122</v>
      </c>
      <c r="F282" s="17" t="s">
        <v>122</v>
      </c>
      <c r="G282" s="17" t="s">
        <v>122</v>
      </c>
      <c r="H282" t="s">
        <v>122</v>
      </c>
      <c r="I282">
        <f ca="1">IF(J282="",OFFSET(I282,-1,0),OFFSET(I282,-1,0)+1)</f>
        <v>623</v>
      </c>
      <c r="J282" t="str">
        <f>IF(B282="","",B282)</f>
        <v>連想配列 キー/項目取得（For Each）</v>
      </c>
    </row>
    <row r="283" spans="1:10" ht="11.25" customHeight="1" outlineLevel="1">
      <c r="A283" s="15"/>
      <c r="B283" s="15" t="s">
        <v>20</v>
      </c>
      <c r="C283" s="30" t="s">
        <v>393</v>
      </c>
      <c r="D283" s="47" t="s">
        <v>2122</v>
      </c>
      <c r="E283" s="47" t="s">
        <v>2122</v>
      </c>
      <c r="F283" s="17" t="s">
        <v>2122</v>
      </c>
      <c r="G283" s="17" t="s">
        <v>2253</v>
      </c>
      <c r="H283" t="s">
        <v>122</v>
      </c>
      <c r="I283">
        <f t="shared" ca="1" si="64"/>
        <v>624</v>
      </c>
      <c r="J283" t="str">
        <f t="shared" si="65"/>
        <v>連想配列 キー取得（インデックス）</v>
      </c>
    </row>
    <row r="284" spans="1:10" ht="11.25" customHeight="1" outlineLevel="1">
      <c r="A284" s="15"/>
      <c r="B284" s="15" t="s">
        <v>21</v>
      </c>
      <c r="C284" s="30" t="s">
        <v>393</v>
      </c>
      <c r="D284" s="47" t="s">
        <v>2122</v>
      </c>
      <c r="E284" s="47" t="s">
        <v>2122</v>
      </c>
      <c r="F284" s="17" t="s">
        <v>2122</v>
      </c>
      <c r="G284" s="17" t="s">
        <v>2253</v>
      </c>
      <c r="H284" t="s">
        <v>122</v>
      </c>
      <c r="I284">
        <f t="shared" ca="1" si="64"/>
        <v>625</v>
      </c>
      <c r="J284" t="str">
        <f t="shared" si="65"/>
        <v>連想配列 項目取得（インデックス）</v>
      </c>
    </row>
    <row r="285" spans="1:10" ht="11.25" customHeight="1" outlineLevel="1">
      <c r="A285" s="15"/>
      <c r="B285" s="15" t="s">
        <v>24</v>
      </c>
      <c r="C285" s="16" t="s">
        <v>2249</v>
      </c>
      <c r="D285" s="47" t="s">
        <v>2122</v>
      </c>
      <c r="E285" s="47" t="s">
        <v>2122</v>
      </c>
      <c r="F285" s="17" t="s">
        <v>2122</v>
      </c>
      <c r="G285" s="17" t="s">
        <v>2122</v>
      </c>
      <c r="H285" t="s">
        <v>122</v>
      </c>
      <c r="I285">
        <f t="shared" ca="1" si="64"/>
        <v>626</v>
      </c>
      <c r="J285" t="str">
        <f t="shared" si="65"/>
        <v>連想配列 キー/項目数取得</v>
      </c>
    </row>
    <row r="286" spans="1:10" ht="11.25" customHeight="1" outlineLevel="1">
      <c r="A286" s="15"/>
      <c r="B286" s="15" t="s">
        <v>25</v>
      </c>
      <c r="C286" s="16" t="s">
        <v>2248</v>
      </c>
      <c r="D286" s="47" t="s">
        <v>2122</v>
      </c>
      <c r="E286" s="47" t="s">
        <v>2122</v>
      </c>
      <c r="F286" s="17" t="s">
        <v>2122</v>
      </c>
      <c r="G286" s="17" t="s">
        <v>2122</v>
      </c>
      <c r="H286" t="s">
        <v>122</v>
      </c>
      <c r="I286">
        <f t="shared" ca="1" si="64"/>
        <v>627</v>
      </c>
      <c r="J286" t="str">
        <f t="shared" si="65"/>
        <v>連想配列 キー/項目削除</v>
      </c>
    </row>
    <row r="287" spans="1:10" ht="11.25" customHeight="1" outlineLevel="1">
      <c r="A287" s="15"/>
      <c r="B287" s="15" t="s">
        <v>2255</v>
      </c>
      <c r="C287" s="24" t="s">
        <v>2259</v>
      </c>
      <c r="D287" s="47" t="s">
        <v>122</v>
      </c>
      <c r="E287" s="47" t="s">
        <v>122</v>
      </c>
      <c r="F287" s="17" t="s">
        <v>122</v>
      </c>
      <c r="G287" s="17" t="s">
        <v>122</v>
      </c>
      <c r="H287" t="s">
        <v>122</v>
      </c>
      <c r="I287">
        <f ca="1">IF(J287="",OFFSET(I287,-1,0),OFFSET(I287,-1,0)+1)</f>
        <v>628</v>
      </c>
      <c r="J287" t="str">
        <f>IF(B287="","",B287)</f>
        <v>連想配列 キー/項目削除(Pop)</v>
      </c>
    </row>
    <row r="288" spans="1:10" ht="11.25" customHeight="1" outlineLevel="1">
      <c r="A288" s="15"/>
      <c r="B288" s="15" t="s">
        <v>26</v>
      </c>
      <c r="C288" s="16" t="s">
        <v>2254</v>
      </c>
      <c r="D288" s="47" t="s">
        <v>2122</v>
      </c>
      <c r="E288" s="47" t="s">
        <v>2122</v>
      </c>
      <c r="F288" s="17" t="s">
        <v>2122</v>
      </c>
      <c r="G288" s="17" t="s">
        <v>2122</v>
      </c>
      <c r="H288" t="s">
        <v>122</v>
      </c>
      <c r="I288">
        <f t="shared" ca="1" si="64"/>
        <v>629</v>
      </c>
      <c r="J288" t="str">
        <f t="shared" si="65"/>
        <v>連想配列 キー/項目全削除</v>
      </c>
    </row>
    <row r="289" spans="1:10" ht="11.25" customHeight="1" outlineLevel="1">
      <c r="A289" s="15"/>
      <c r="B289" s="15" t="s">
        <v>2260</v>
      </c>
      <c r="C289" s="16" t="s">
        <v>2261</v>
      </c>
      <c r="D289" s="47" t="s">
        <v>122</v>
      </c>
      <c r="E289" s="47" t="s">
        <v>122</v>
      </c>
      <c r="F289" s="17" t="s">
        <v>122</v>
      </c>
      <c r="G289" s="17" t="s">
        <v>2262</v>
      </c>
      <c r="H289" t="s">
        <v>122</v>
      </c>
      <c r="I289">
        <f ca="1">IF(J289="",OFFSET(I289,-1,0),OFFSET(I289,-1,0)+1)</f>
        <v>630</v>
      </c>
      <c r="J289" t="str">
        <f>IF(B289="","",B289)</f>
        <v>連想配列 配列結合</v>
      </c>
    </row>
    <row r="290" spans="1:10" ht="11.25" customHeight="1" outlineLevel="1">
      <c r="A290" s="15"/>
      <c r="B290" s="15" t="s">
        <v>27</v>
      </c>
      <c r="C290" s="16" t="s">
        <v>2264</v>
      </c>
      <c r="D290" s="47" t="s">
        <v>2122</v>
      </c>
      <c r="E290" s="47" t="s">
        <v>2122</v>
      </c>
      <c r="F290" s="17" t="s">
        <v>2122</v>
      </c>
      <c r="G290" s="17" t="s">
        <v>2122</v>
      </c>
      <c r="H290" t="s">
        <v>122</v>
      </c>
      <c r="I290">
        <f t="shared" ca="1" si="64"/>
        <v>631</v>
      </c>
      <c r="J290" t="str">
        <f t="shared" si="65"/>
        <v>連想配列 配列変換（項目）</v>
      </c>
    </row>
    <row r="291" spans="1:10" ht="11.25" customHeight="1" outlineLevel="1">
      <c r="A291" s="15"/>
      <c r="B291" s="15" t="s">
        <v>28</v>
      </c>
      <c r="C291" s="16" t="s">
        <v>2263</v>
      </c>
      <c r="D291" s="47" t="s">
        <v>2122</v>
      </c>
      <c r="E291" s="47" t="s">
        <v>2122</v>
      </c>
      <c r="F291" s="17" t="s">
        <v>2122</v>
      </c>
      <c r="G291" s="17" t="s">
        <v>2122</v>
      </c>
      <c r="H291" t="s">
        <v>122</v>
      </c>
      <c r="I291">
        <f t="shared" ca="1" si="64"/>
        <v>632</v>
      </c>
      <c r="J291" t="str">
        <f t="shared" si="65"/>
        <v>連想配列 配列変換（キー）</v>
      </c>
    </row>
    <row r="292" spans="1:10" ht="11.25" customHeight="1" outlineLevel="1">
      <c r="A292" s="15"/>
      <c r="B292" s="15" t="s">
        <v>3322</v>
      </c>
      <c r="C292" s="16" t="s">
        <v>3324</v>
      </c>
      <c r="D292" s="47" t="s">
        <v>122</v>
      </c>
      <c r="E292" s="47" t="s">
        <v>122</v>
      </c>
      <c r="F292" s="17" t="s">
        <v>3325</v>
      </c>
      <c r="G292" s="17" t="s">
        <v>122</v>
      </c>
      <c r="H292" t="s">
        <v>122</v>
      </c>
      <c r="I292">
        <f t="shared" ref="I292" ca="1" si="66">IF(J292="",OFFSET(I292,-1,0),OFFSET(I292,-1,0)+1)</f>
        <v>633</v>
      </c>
      <c r="J292" t="str">
        <f t="shared" ref="J292" si="67">IF(B292="","",B292)</f>
        <v>連想配列 内包表記</v>
      </c>
    </row>
    <row r="293" spans="1:10" ht="11.25" customHeight="1">
      <c r="A293" s="12" t="s">
        <v>475</v>
      </c>
      <c r="B293" s="13"/>
      <c r="C293" s="12"/>
      <c r="D293" s="45"/>
      <c r="E293" s="45"/>
      <c r="F293" s="14"/>
      <c r="G293" s="14"/>
      <c r="H293" t="s">
        <v>122</v>
      </c>
      <c r="I293">
        <f t="shared" ca="1" si="64"/>
        <v>633</v>
      </c>
      <c r="J293" t="str">
        <f t="shared" si="65"/>
        <v/>
      </c>
    </row>
    <row r="294" spans="1:10" ht="11.25" customHeight="1" outlineLevel="1">
      <c r="A294" s="15"/>
      <c r="B294" s="15" t="s">
        <v>349</v>
      </c>
      <c r="C294" s="16" t="s">
        <v>919</v>
      </c>
      <c r="D294" s="47" t="s">
        <v>2122</v>
      </c>
      <c r="E294" s="47" t="s">
        <v>2122</v>
      </c>
      <c r="F294" s="17" t="s">
        <v>2122</v>
      </c>
      <c r="G294" s="17" t="s">
        <v>2122</v>
      </c>
      <c r="H294" t="s">
        <v>122</v>
      </c>
      <c r="I294">
        <f t="shared" ca="1" si="64"/>
        <v>634</v>
      </c>
      <c r="J294" t="str">
        <f t="shared" si="65"/>
        <v>オブジェクト定義</v>
      </c>
    </row>
    <row r="295" spans="1:10" ht="11.25" customHeight="1" outlineLevel="1">
      <c r="A295" s="15"/>
      <c r="B295" s="15" t="s">
        <v>466</v>
      </c>
      <c r="C295" s="24" t="s">
        <v>959</v>
      </c>
      <c r="D295" s="49" t="s">
        <v>2122</v>
      </c>
      <c r="E295" s="49" t="s">
        <v>2122</v>
      </c>
      <c r="F295" s="17" t="s">
        <v>2122</v>
      </c>
      <c r="G295" s="17" t="s">
        <v>2122</v>
      </c>
      <c r="I295">
        <f t="shared" ca="1" si="64"/>
        <v>635</v>
      </c>
      <c r="J295" t="str">
        <f t="shared" si="65"/>
        <v>検索設定 検索対象</v>
      </c>
    </row>
    <row r="296" spans="1:10" ht="11.25" customHeight="1" outlineLevel="1">
      <c r="A296" s="15"/>
      <c r="B296" s="15" t="s">
        <v>463</v>
      </c>
      <c r="C296" s="16" t="s">
        <v>928</v>
      </c>
      <c r="D296" s="47" t="s">
        <v>2122</v>
      </c>
      <c r="E296" s="47" t="s">
        <v>2122</v>
      </c>
      <c r="F296" s="17" t="s">
        <v>2122</v>
      </c>
      <c r="G296" s="17" t="s">
        <v>2122</v>
      </c>
      <c r="I296">
        <f t="shared" ca="1" si="64"/>
        <v>636</v>
      </c>
      <c r="J296" t="str">
        <f t="shared" si="65"/>
        <v>検索設定 検索パターン</v>
      </c>
    </row>
    <row r="297" spans="1:10" ht="11.25" customHeight="1" outlineLevel="1">
      <c r="A297" s="15"/>
      <c r="B297" s="15" t="s">
        <v>927</v>
      </c>
      <c r="C297" s="16" t="s">
        <v>925</v>
      </c>
      <c r="D297" s="47" t="s">
        <v>2122</v>
      </c>
      <c r="E297" s="47" t="s">
        <v>2122</v>
      </c>
      <c r="F297" s="17" t="s">
        <v>2122</v>
      </c>
      <c r="G297" s="17" t="s">
        <v>926</v>
      </c>
      <c r="H297" t="s">
        <v>122</v>
      </c>
      <c r="I297">
        <f t="shared" ca="1" si="64"/>
        <v>637</v>
      </c>
      <c r="J297" t="str">
        <f t="shared" si="65"/>
        <v>検索設定 大小文字区別無視</v>
      </c>
    </row>
    <row r="298" spans="1:10" ht="11.25" customHeight="1" outlineLevel="1">
      <c r="A298" s="15"/>
      <c r="B298" s="83" t="s">
        <v>923</v>
      </c>
      <c r="C298" s="84" t="s">
        <v>929</v>
      </c>
      <c r="D298" s="85" t="s">
        <v>2122</v>
      </c>
      <c r="E298" s="85" t="s">
        <v>2122</v>
      </c>
      <c r="F298" s="86" t="s">
        <v>2122</v>
      </c>
      <c r="G298" s="86" t="s">
        <v>924</v>
      </c>
      <c r="I298">
        <f t="shared" ca="1" si="64"/>
        <v>638</v>
      </c>
      <c r="J298" t="str">
        <f t="shared" si="65"/>
        <v>検索設定 パターンコンパイル</v>
      </c>
    </row>
    <row r="299" spans="1:10" ht="11.25" customHeight="1" outlineLevel="1">
      <c r="A299" s="15"/>
      <c r="B299" s="83" t="s">
        <v>937</v>
      </c>
      <c r="C299" s="87" t="s">
        <v>931</v>
      </c>
      <c r="D299" s="88" t="s">
        <v>2122</v>
      </c>
      <c r="E299" s="88" t="s">
        <v>2122</v>
      </c>
      <c r="F299" s="86" t="s">
        <v>2122</v>
      </c>
      <c r="G299" s="86" t="s">
        <v>2122</v>
      </c>
      <c r="H299" t="s">
        <v>122</v>
      </c>
      <c r="I299">
        <f t="shared" ca="1" si="64"/>
        <v>639</v>
      </c>
      <c r="J299" t="str">
        <f t="shared" si="65"/>
        <v>検索実行(list) コンパイルあり時</v>
      </c>
    </row>
    <row r="300" spans="1:10" ht="11.25" customHeight="1" outlineLevel="1">
      <c r="A300" s="15"/>
      <c r="B300" s="34" t="s">
        <v>963</v>
      </c>
      <c r="C300" s="81" t="s">
        <v>932</v>
      </c>
      <c r="D300" s="82" t="s">
        <v>2122</v>
      </c>
      <c r="E300" s="82" t="s">
        <v>2122</v>
      </c>
      <c r="F300" s="80" t="s">
        <v>2122</v>
      </c>
      <c r="G300" s="80" t="s">
        <v>930</v>
      </c>
      <c r="H300" t="s">
        <v>122</v>
      </c>
      <c r="I300">
        <f t="shared" ca="1" si="64"/>
        <v>640</v>
      </c>
      <c r="J300" t="str">
        <f t="shared" si="65"/>
        <v>検索実行(list) コンパイルなし時</v>
      </c>
    </row>
    <row r="301" spans="1:10" ht="11.25" customHeight="1" outlineLevel="1">
      <c r="A301" s="15"/>
      <c r="B301" s="15" t="s">
        <v>938</v>
      </c>
      <c r="C301" s="16" t="s">
        <v>933</v>
      </c>
      <c r="D301" s="47" t="s">
        <v>2122</v>
      </c>
      <c r="E301" s="47" t="s">
        <v>2122</v>
      </c>
      <c r="F301" s="17" t="s">
        <v>2122</v>
      </c>
      <c r="G301" s="17" t="s">
        <v>2122</v>
      </c>
      <c r="H301" t="s">
        <v>122</v>
      </c>
      <c r="I301">
        <f t="shared" ca="1" si="64"/>
        <v>641</v>
      </c>
      <c r="J301" t="str">
        <f t="shared" si="65"/>
        <v>検索結果(list) マッチ有無判定</v>
      </c>
    </row>
    <row r="302" spans="1:10" ht="11.25" customHeight="1" outlineLevel="1">
      <c r="A302" s="15"/>
      <c r="B302" s="15" t="s">
        <v>939</v>
      </c>
      <c r="C302" s="16" t="s">
        <v>934</v>
      </c>
      <c r="D302" s="47" t="s">
        <v>2122</v>
      </c>
      <c r="E302" s="47" t="s">
        <v>2122</v>
      </c>
      <c r="F302" s="17" t="s">
        <v>920</v>
      </c>
      <c r="G302" s="17" t="s">
        <v>2122</v>
      </c>
      <c r="H302" t="s">
        <v>122</v>
      </c>
      <c r="I302">
        <f t="shared" ca="1" si="64"/>
        <v>642</v>
      </c>
      <c r="J302" t="str">
        <f t="shared" si="65"/>
        <v>検索結果(list) マッチ数取得</v>
      </c>
    </row>
    <row r="303" spans="1:10" ht="11.25" customHeight="1" outlineLevel="1">
      <c r="A303" s="15"/>
      <c r="B303" s="15" t="s">
        <v>940</v>
      </c>
      <c r="C303" s="16" t="s">
        <v>935</v>
      </c>
      <c r="D303" s="47" t="s">
        <v>2122</v>
      </c>
      <c r="E303" s="47" t="s">
        <v>2122</v>
      </c>
      <c r="F303" s="17" t="s">
        <v>467</v>
      </c>
      <c r="G303" s="17" t="s">
        <v>2122</v>
      </c>
      <c r="H303" t="s">
        <v>122</v>
      </c>
      <c r="I303">
        <f t="shared" ca="1" si="64"/>
        <v>643</v>
      </c>
      <c r="J303" t="str">
        <f t="shared" si="65"/>
        <v>検索結果(list) サブマッチ数取得</v>
      </c>
    </row>
    <row r="304" spans="1:10" ht="11.25" customHeight="1" outlineLevel="1">
      <c r="A304" s="15"/>
      <c r="B304" s="15" t="s">
        <v>941</v>
      </c>
      <c r="C304" s="16" t="s">
        <v>3246</v>
      </c>
      <c r="D304" s="47" t="s">
        <v>2122</v>
      </c>
      <c r="E304" s="47" t="s">
        <v>2122</v>
      </c>
      <c r="F304" s="17" t="s">
        <v>921</v>
      </c>
      <c r="G304" s="17" t="s">
        <v>2122</v>
      </c>
      <c r="H304" t="s">
        <v>122</v>
      </c>
      <c r="I304">
        <f t="shared" ca="1" si="64"/>
        <v>644</v>
      </c>
      <c r="J304" t="str">
        <f t="shared" si="65"/>
        <v>検索結果(list) マッチ文字列取得</v>
      </c>
    </row>
    <row r="305" spans="1:10" ht="11.25" customHeight="1" outlineLevel="1">
      <c r="A305" s="15"/>
      <c r="B305" s="15" t="s">
        <v>942</v>
      </c>
      <c r="C305" s="16" t="s">
        <v>936</v>
      </c>
      <c r="D305" s="47" t="s">
        <v>2122</v>
      </c>
      <c r="E305" s="47" t="s">
        <v>2122</v>
      </c>
      <c r="F305" s="17" t="s">
        <v>922</v>
      </c>
      <c r="G305" s="17" t="s">
        <v>2122</v>
      </c>
      <c r="H305" t="s">
        <v>122</v>
      </c>
      <c r="I305">
        <f t="shared" ca="1" si="64"/>
        <v>645</v>
      </c>
      <c r="J305" t="str">
        <f t="shared" si="65"/>
        <v>検索結果(list) サブマッチ文字列取得</v>
      </c>
    </row>
    <row r="306" spans="1:10" ht="11.25" customHeight="1" outlineLevel="1">
      <c r="A306" s="15"/>
      <c r="B306" s="83" t="s">
        <v>943</v>
      </c>
      <c r="C306" s="87" t="s">
        <v>951</v>
      </c>
      <c r="D306" s="88" t="s">
        <v>2122</v>
      </c>
      <c r="E306" s="88" t="s">
        <v>2122</v>
      </c>
      <c r="F306" s="86" t="s">
        <v>2122</v>
      </c>
      <c r="G306" s="86" t="s">
        <v>964</v>
      </c>
      <c r="H306" t="s">
        <v>122</v>
      </c>
      <c r="I306">
        <f t="shared" ca="1" si="64"/>
        <v>646</v>
      </c>
      <c r="J306" t="str">
        <f t="shared" si="65"/>
        <v>検索実行(obj) コンパイルあり時</v>
      </c>
    </row>
    <row r="307" spans="1:10" ht="11.25" customHeight="1" outlineLevel="1">
      <c r="A307" s="15"/>
      <c r="B307" s="34" t="s">
        <v>962</v>
      </c>
      <c r="C307" s="81" t="s">
        <v>949</v>
      </c>
      <c r="D307" s="82" t="s">
        <v>2122</v>
      </c>
      <c r="E307" s="82" t="s">
        <v>2122</v>
      </c>
      <c r="F307" s="80" t="s">
        <v>2122</v>
      </c>
      <c r="G307" s="80" t="s">
        <v>2122</v>
      </c>
      <c r="H307" t="s">
        <v>122</v>
      </c>
      <c r="I307">
        <f t="shared" ca="1" si="64"/>
        <v>647</v>
      </c>
      <c r="J307" t="str">
        <f t="shared" si="65"/>
        <v>検索実行(obj) コンパイルなし時</v>
      </c>
    </row>
    <row r="308" spans="1:10" ht="11.25" customHeight="1" outlineLevel="1">
      <c r="A308" s="15"/>
      <c r="B308" s="15" t="s">
        <v>944</v>
      </c>
      <c r="C308" s="24" t="s">
        <v>950</v>
      </c>
      <c r="D308" s="49" t="s">
        <v>2122</v>
      </c>
      <c r="E308" s="49" t="s">
        <v>2122</v>
      </c>
      <c r="F308" s="17" t="s">
        <v>2122</v>
      </c>
      <c r="G308" s="17" t="s">
        <v>2122</v>
      </c>
      <c r="H308" t="s">
        <v>122</v>
      </c>
      <c r="I308">
        <f t="shared" ca="1" si="64"/>
        <v>648</v>
      </c>
      <c r="J308" t="str">
        <f t="shared" si="65"/>
        <v>検索結果(obj) マッチ有無判定</v>
      </c>
    </row>
    <row r="309" spans="1:10" ht="11.25" customHeight="1" outlineLevel="1">
      <c r="A309" s="15"/>
      <c r="B309" s="15" t="s">
        <v>945</v>
      </c>
      <c r="C309" s="26" t="s">
        <v>2122</v>
      </c>
      <c r="D309" s="48" t="s">
        <v>2122</v>
      </c>
      <c r="E309" s="48" t="s">
        <v>2122</v>
      </c>
      <c r="F309" s="27" t="s">
        <v>2122</v>
      </c>
      <c r="G309" s="27" t="s">
        <v>2122</v>
      </c>
      <c r="H309" t="s">
        <v>122</v>
      </c>
      <c r="I309">
        <f t="shared" ca="1" si="64"/>
        <v>649</v>
      </c>
      <c r="J309" t="str">
        <f t="shared" si="65"/>
        <v>検索結果(obj) マッチ数取得</v>
      </c>
    </row>
    <row r="310" spans="1:10" ht="11.25" customHeight="1" outlineLevel="1">
      <c r="A310" s="15"/>
      <c r="B310" s="15" t="s">
        <v>946</v>
      </c>
      <c r="C310" s="26" t="s">
        <v>2122</v>
      </c>
      <c r="D310" s="48" t="s">
        <v>2122</v>
      </c>
      <c r="E310" s="48" t="s">
        <v>2122</v>
      </c>
      <c r="F310" s="27" t="s">
        <v>2122</v>
      </c>
      <c r="G310" s="27" t="s">
        <v>2122</v>
      </c>
      <c r="H310" t="s">
        <v>122</v>
      </c>
      <c r="I310">
        <f t="shared" ca="1" si="64"/>
        <v>650</v>
      </c>
      <c r="J310" t="str">
        <f t="shared" si="65"/>
        <v>検索結果(obj) サブマッチ数取得</v>
      </c>
    </row>
    <row r="311" spans="1:10" ht="11.25" customHeight="1" outlineLevel="1">
      <c r="A311" s="15"/>
      <c r="B311" s="15" t="s">
        <v>947</v>
      </c>
      <c r="C311" s="16" t="s">
        <v>952</v>
      </c>
      <c r="D311" s="47" t="s">
        <v>2122</v>
      </c>
      <c r="E311" s="47" t="s">
        <v>2122</v>
      </c>
      <c r="F311" s="17" t="s">
        <v>955</v>
      </c>
      <c r="G311" s="17" t="s">
        <v>2122</v>
      </c>
      <c r="H311" t="s">
        <v>122</v>
      </c>
      <c r="I311">
        <f t="shared" ca="1" si="64"/>
        <v>651</v>
      </c>
      <c r="J311" t="str">
        <f t="shared" si="65"/>
        <v>検索結果(obj) マッチ文字列取得</v>
      </c>
    </row>
    <row r="312" spans="1:10" ht="11.25" customHeight="1" outlineLevel="1">
      <c r="A312" s="15"/>
      <c r="B312" s="15" t="s">
        <v>947</v>
      </c>
      <c r="C312" s="16" t="s">
        <v>953</v>
      </c>
      <c r="D312" s="47" t="s">
        <v>2122</v>
      </c>
      <c r="E312" s="47" t="s">
        <v>2122</v>
      </c>
      <c r="F312" s="17" t="s">
        <v>954</v>
      </c>
      <c r="G312" s="17" t="s">
        <v>2122</v>
      </c>
      <c r="H312" t="s">
        <v>122</v>
      </c>
      <c r="I312">
        <f t="shared" ca="1" si="64"/>
        <v>652</v>
      </c>
      <c r="J312" t="str">
        <f t="shared" si="65"/>
        <v>検索結果(obj) マッチ文字列取得</v>
      </c>
    </row>
    <row r="313" spans="1:10" ht="11.25" customHeight="1" outlineLevel="1">
      <c r="A313" s="15"/>
      <c r="B313" s="15" t="s">
        <v>948</v>
      </c>
      <c r="C313" s="16" t="s">
        <v>958</v>
      </c>
      <c r="D313" s="47" t="s">
        <v>2122</v>
      </c>
      <c r="E313" s="47" t="s">
        <v>2122</v>
      </c>
      <c r="F313" s="17" t="s">
        <v>922</v>
      </c>
      <c r="G313" s="17" t="s">
        <v>2122</v>
      </c>
      <c r="H313" t="s">
        <v>122</v>
      </c>
      <c r="I313">
        <f t="shared" ca="1" si="64"/>
        <v>653</v>
      </c>
      <c r="J313" t="str">
        <f t="shared" si="65"/>
        <v>検索結果(obj) サブマッチ文字列取得</v>
      </c>
    </row>
    <row r="314" spans="1:10" ht="11.25" customHeight="1" outlineLevel="1">
      <c r="A314" s="15"/>
      <c r="B314" s="15" t="s">
        <v>960</v>
      </c>
      <c r="C314" s="16" t="s">
        <v>956</v>
      </c>
      <c r="D314" s="47" t="s">
        <v>2122</v>
      </c>
      <c r="E314" s="47" t="s">
        <v>2122</v>
      </c>
      <c r="F314" s="17" t="s">
        <v>885</v>
      </c>
      <c r="G314" s="17" t="s">
        <v>2119</v>
      </c>
      <c r="H314" t="s">
        <v>122</v>
      </c>
      <c r="I314">
        <f t="shared" ca="1" si="64"/>
        <v>654</v>
      </c>
      <c r="J314" t="str">
        <f t="shared" si="65"/>
        <v>検索結果(obj) マッチ開始位置取得</v>
      </c>
    </row>
    <row r="315" spans="1:10" ht="11.25" customHeight="1" outlineLevel="1">
      <c r="A315" s="15"/>
      <c r="B315" s="15" t="s">
        <v>961</v>
      </c>
      <c r="C315" s="16" t="s">
        <v>957</v>
      </c>
      <c r="D315" s="47" t="s">
        <v>2122</v>
      </c>
      <c r="E315" s="47" t="s">
        <v>2122</v>
      </c>
      <c r="F315" s="17" t="s">
        <v>2121</v>
      </c>
      <c r="G315" s="17" t="s">
        <v>2120</v>
      </c>
      <c r="H315" t="s">
        <v>122</v>
      </c>
      <c r="I315">
        <f t="shared" ca="1" si="64"/>
        <v>655</v>
      </c>
      <c r="J315" t="str">
        <f t="shared" si="65"/>
        <v>検索結果(obj) マッチ終了位置取得</v>
      </c>
    </row>
    <row r="316" spans="1:10" ht="11.25" customHeight="1" outlineLevel="1">
      <c r="A316" s="15"/>
      <c r="B316" s="15" t="s">
        <v>462</v>
      </c>
      <c r="C316" s="16" t="s">
        <v>2839</v>
      </c>
      <c r="D316" s="47" t="s">
        <v>2122</v>
      </c>
      <c r="E316" s="47" t="s">
        <v>2122</v>
      </c>
      <c r="F316" s="17" t="s">
        <v>2122</v>
      </c>
      <c r="G316" s="17" t="s">
        <v>2840</v>
      </c>
      <c r="H316" t="s">
        <v>122</v>
      </c>
      <c r="I316">
        <f t="shared" ca="1" si="64"/>
        <v>656</v>
      </c>
      <c r="J316" t="str">
        <f t="shared" si="65"/>
        <v>置換実行</v>
      </c>
    </row>
    <row r="317" spans="1:10" ht="11.25" customHeight="1">
      <c r="A317" s="12" t="s">
        <v>345</v>
      </c>
      <c r="B317" s="13"/>
      <c r="C317" s="13"/>
      <c r="D317" s="45"/>
      <c r="E317" s="45"/>
      <c r="F317" s="14"/>
      <c r="G317" s="14"/>
      <c r="H317" t="s">
        <v>122</v>
      </c>
      <c r="I317">
        <f t="shared" ca="1" si="64"/>
        <v>656</v>
      </c>
      <c r="J317" t="str">
        <f t="shared" si="65"/>
        <v/>
      </c>
    </row>
    <row r="318" spans="1:10" ht="11.25" customHeight="1" outlineLevel="1">
      <c r="A318" s="15"/>
      <c r="B318" s="15" t="s">
        <v>3021</v>
      </c>
      <c r="C318" s="53" t="s">
        <v>843</v>
      </c>
      <c r="D318" s="47" t="s">
        <v>1007</v>
      </c>
      <c r="E318" s="48" t="s">
        <v>2284</v>
      </c>
      <c r="F318" t="s">
        <v>122</v>
      </c>
      <c r="G318" t="s">
        <v>122</v>
      </c>
      <c r="H318" t="s">
        <v>122</v>
      </c>
      <c r="I318">
        <f t="shared" ref="I318" ca="1" si="68">IF(J318="",OFFSET(I318,-1,0),OFFSET(I318,-1,0)+1)</f>
        <v>657</v>
      </c>
      <c r="J318" t="str">
        <f t="shared" ref="J318" si="69">IF(B318="","",B318)</f>
        <v>インポート</v>
      </c>
    </row>
    <row r="319" spans="1:10" ht="11.25" customHeight="1" outlineLevel="1">
      <c r="A319" s="15"/>
      <c r="B319" s="15" t="s">
        <v>36</v>
      </c>
      <c r="C319" s="53" t="s">
        <v>2283</v>
      </c>
      <c r="D319" s="47" t="s">
        <v>1007</v>
      </c>
      <c r="E319" s="48" t="s">
        <v>2284</v>
      </c>
      <c r="F319" t="s">
        <v>2122</v>
      </c>
      <c r="G319" t="s">
        <v>2122</v>
      </c>
      <c r="H319" t="s">
        <v>122</v>
      </c>
      <c r="I319">
        <f t="shared" ca="1" si="64"/>
        <v>658</v>
      </c>
      <c r="J319" t="str">
        <f t="shared" si="65"/>
        <v>コマンド実行</v>
      </c>
    </row>
    <row r="320" spans="1:10" ht="11.25" customHeight="1" outlineLevel="1">
      <c r="A320" s="15"/>
      <c r="B320" s="15" t="s">
        <v>37</v>
      </c>
      <c r="C320" s="26" t="s">
        <v>2122</v>
      </c>
      <c r="D320" s="47" t="s">
        <v>1012</v>
      </c>
      <c r="E320" s="47" t="s">
        <v>1011</v>
      </c>
      <c r="F320" s="17" t="s">
        <v>2122</v>
      </c>
      <c r="G320" s="17" t="s">
        <v>2122</v>
      </c>
      <c r="H320" t="s">
        <v>122</v>
      </c>
      <c r="I320">
        <f t="shared" ref="I320:I438" ca="1" si="70">IF(J320="",OFFSET(I320,-1,0),OFFSET(I320,-1,0)+1)</f>
        <v>659</v>
      </c>
      <c r="J320" t="str">
        <f t="shared" si="65"/>
        <v>レジストリ読込</v>
      </c>
    </row>
    <row r="321" spans="1:10" ht="11.25" customHeight="1" outlineLevel="1">
      <c r="A321" s="15"/>
      <c r="B321" s="15" t="s">
        <v>38</v>
      </c>
      <c r="C321" s="26" t="s">
        <v>2122</v>
      </c>
      <c r="D321" s="47" t="s">
        <v>1012</v>
      </c>
      <c r="E321" s="47" t="s">
        <v>1011</v>
      </c>
      <c r="F321" s="17" t="s">
        <v>2122</v>
      </c>
      <c r="G321" s="17" t="s">
        <v>2122</v>
      </c>
      <c r="H321" t="s">
        <v>122</v>
      </c>
      <c r="I321">
        <f t="shared" ca="1" si="70"/>
        <v>660</v>
      </c>
      <c r="J321" t="str">
        <f t="shared" ref="J321:J336" si="71">IF(B321="","",B321)</f>
        <v>レジストリ書込</v>
      </c>
    </row>
    <row r="322" spans="1:10" ht="11.25" customHeight="1" outlineLevel="1">
      <c r="A322" s="15"/>
      <c r="B322" s="15" t="s">
        <v>1023</v>
      </c>
      <c r="C322" s="16" t="s">
        <v>1025</v>
      </c>
      <c r="D322" s="48" t="s">
        <v>2122</v>
      </c>
      <c r="E322" s="48" t="s">
        <v>2122</v>
      </c>
      <c r="F322" s="17" t="s">
        <v>2122</v>
      </c>
      <c r="G322" s="17" t="s">
        <v>2122</v>
      </c>
      <c r="H322" t="s">
        <v>122</v>
      </c>
      <c r="I322">
        <f t="shared" ca="1" si="70"/>
        <v>661</v>
      </c>
      <c r="J322" t="str">
        <f>IF(B322="","",B322)</f>
        <v>環境変数 値更新</v>
      </c>
    </row>
    <row r="323" spans="1:10" ht="11.25" customHeight="1" outlineLevel="1">
      <c r="A323" s="15"/>
      <c r="B323" s="15" t="s">
        <v>1024</v>
      </c>
      <c r="C323" s="16" t="s">
        <v>1026</v>
      </c>
      <c r="D323" s="48" t="s">
        <v>2122</v>
      </c>
      <c r="E323" s="48" t="s">
        <v>2122</v>
      </c>
      <c r="F323" s="17" t="s">
        <v>1027</v>
      </c>
      <c r="G323" s="17" t="s">
        <v>2122</v>
      </c>
      <c r="H323" t="s">
        <v>122</v>
      </c>
      <c r="I323">
        <f t="shared" ca="1" si="70"/>
        <v>662</v>
      </c>
      <c r="J323" t="str">
        <f>IF(B323="","",B323)</f>
        <v>環境変数 値取得</v>
      </c>
    </row>
    <row r="324" spans="1:10" ht="11.25" customHeight="1" outlineLevel="1">
      <c r="A324" s="15"/>
      <c r="B324" s="15" t="s">
        <v>376</v>
      </c>
      <c r="C324" s="16" t="s">
        <v>1032</v>
      </c>
      <c r="D324" s="48" t="s">
        <v>2122</v>
      </c>
      <c r="E324" s="48" t="s">
        <v>2122</v>
      </c>
      <c r="F324" s="17" t="s">
        <v>2122</v>
      </c>
      <c r="G324" s="17" t="s">
        <v>2122</v>
      </c>
      <c r="H324" t="s">
        <v>122</v>
      </c>
      <c r="I324">
        <f t="shared" ca="1" si="70"/>
        <v>663</v>
      </c>
      <c r="J324" t="str">
        <f t="shared" si="71"/>
        <v>環境変数 削除</v>
      </c>
    </row>
    <row r="325" spans="1:10" ht="11.25" customHeight="1" outlineLevel="1">
      <c r="A325" s="15"/>
      <c r="B325" s="15" t="s">
        <v>40</v>
      </c>
      <c r="C325" s="26" t="s">
        <v>2122</v>
      </c>
      <c r="D325" s="47" t="s">
        <v>1033</v>
      </c>
      <c r="E325" s="47" t="s">
        <v>1007</v>
      </c>
      <c r="F325" s="17" t="s">
        <v>2122</v>
      </c>
      <c r="G325" s="17" t="s">
        <v>2122</v>
      </c>
      <c r="H325" t="s">
        <v>122</v>
      </c>
      <c r="I325">
        <f t="shared" ca="1" si="70"/>
        <v>664</v>
      </c>
      <c r="J325" t="str">
        <f t="shared" si="71"/>
        <v>ショートカット 作成</v>
      </c>
    </row>
    <row r="326" spans="1:10" ht="11.25" customHeight="1" outlineLevel="1">
      <c r="A326" s="15"/>
      <c r="B326" s="15" t="s">
        <v>41</v>
      </c>
      <c r="C326" s="26" t="s">
        <v>2122</v>
      </c>
      <c r="D326" s="47" t="s">
        <v>1033</v>
      </c>
      <c r="E326" s="47" t="s">
        <v>1007</v>
      </c>
      <c r="F326" s="17" t="s">
        <v>2122</v>
      </c>
      <c r="G326" s="17" t="s">
        <v>2122</v>
      </c>
      <c r="H326" t="s">
        <v>122</v>
      </c>
      <c r="I326">
        <f t="shared" ca="1" si="70"/>
        <v>665</v>
      </c>
      <c r="J326" t="str">
        <f t="shared" si="71"/>
        <v>ショートカット 指示先パス取得</v>
      </c>
    </row>
    <row r="327" spans="1:10" ht="11.25" customHeight="1" outlineLevel="1">
      <c r="A327" s="15"/>
      <c r="B327" s="15" t="s">
        <v>42</v>
      </c>
      <c r="C327" s="26" t="s">
        <v>2122</v>
      </c>
      <c r="D327" s="47" t="s">
        <v>1033</v>
      </c>
      <c r="E327" s="47" t="s">
        <v>1007</v>
      </c>
      <c r="F327" s="17" t="s">
        <v>2122</v>
      </c>
      <c r="G327" s="17" t="s">
        <v>2122</v>
      </c>
      <c r="H327" t="s">
        <v>122</v>
      </c>
      <c r="I327">
        <f t="shared" ca="1" si="70"/>
        <v>666</v>
      </c>
      <c r="J327" t="str">
        <f t="shared" si="71"/>
        <v>ショートカット 指示先パス更新</v>
      </c>
    </row>
    <row r="328" spans="1:10" ht="11.25" customHeight="1" outlineLevel="1">
      <c r="A328" s="15"/>
      <c r="B328" s="15" t="s">
        <v>43</v>
      </c>
      <c r="C328" s="26" t="s">
        <v>2122</v>
      </c>
      <c r="D328" s="47" t="s">
        <v>1033</v>
      </c>
      <c r="E328" s="47" t="s">
        <v>1007</v>
      </c>
      <c r="F328" s="17" t="s">
        <v>2122</v>
      </c>
      <c r="G328" s="17" t="s">
        <v>2122</v>
      </c>
      <c r="H328" t="s">
        <v>122</v>
      </c>
      <c r="I328">
        <f t="shared" ca="1" si="70"/>
        <v>667</v>
      </c>
      <c r="J328" t="str">
        <f t="shared" si="71"/>
        <v>ショートカット コメント更新</v>
      </c>
    </row>
    <row r="329" spans="1:10" ht="11.25" customHeight="1" outlineLevel="1">
      <c r="A329" s="15"/>
      <c r="B329" s="15" t="s">
        <v>44</v>
      </c>
      <c r="C329" s="26" t="s">
        <v>2122</v>
      </c>
      <c r="D329" s="47" t="s">
        <v>1033</v>
      </c>
      <c r="E329" s="47" t="s">
        <v>1007</v>
      </c>
      <c r="F329" s="17" t="s">
        <v>2122</v>
      </c>
      <c r="G329" s="17" t="s">
        <v>2122</v>
      </c>
      <c r="H329" t="s">
        <v>122</v>
      </c>
      <c r="I329">
        <f t="shared" ca="1" si="70"/>
        <v>668</v>
      </c>
      <c r="J329" t="str">
        <f t="shared" si="71"/>
        <v>ショートカット 引数更新</v>
      </c>
    </row>
    <row r="330" spans="1:10" ht="11.25" customHeight="1" outlineLevel="1">
      <c r="A330" s="15"/>
      <c r="B330" s="15" t="s">
        <v>1029</v>
      </c>
      <c r="C330" s="16" t="s">
        <v>1028</v>
      </c>
      <c r="D330" s="47" t="s">
        <v>1007</v>
      </c>
      <c r="E330" s="48" t="s">
        <v>2284</v>
      </c>
      <c r="F330" s="17" t="s">
        <v>2122</v>
      </c>
      <c r="G330" s="17" t="s">
        <v>2122</v>
      </c>
      <c r="I330">
        <f t="shared" ca="1" si="70"/>
        <v>669</v>
      </c>
      <c r="J330" t="str">
        <f t="shared" si="71"/>
        <v>シンボリックリンク 作成</v>
      </c>
    </row>
    <row r="331" spans="1:10" ht="11.25" customHeight="1" outlineLevel="1">
      <c r="A331" s="15"/>
      <c r="B331" s="15" t="s">
        <v>1031</v>
      </c>
      <c r="C331" s="16" t="s">
        <v>1030</v>
      </c>
      <c r="D331" s="47" t="s">
        <v>1007</v>
      </c>
      <c r="E331" s="48" t="s">
        <v>2284</v>
      </c>
      <c r="F331" s="17" t="s">
        <v>2122</v>
      </c>
      <c r="G331" s="17" t="s">
        <v>2122</v>
      </c>
      <c r="I331">
        <f t="shared" ca="1" si="70"/>
        <v>669</v>
      </c>
      <c r="J331"/>
    </row>
    <row r="332" spans="1:10" ht="11.25" customHeight="1" outlineLevel="1">
      <c r="A332" s="15"/>
      <c r="B332" s="15" t="s">
        <v>45</v>
      </c>
      <c r="C332" s="26" t="s">
        <v>2122</v>
      </c>
      <c r="D332" s="47" t="s">
        <v>1012</v>
      </c>
      <c r="E332" s="47" t="s">
        <v>1011</v>
      </c>
      <c r="F332" s="17" t="s">
        <v>2122</v>
      </c>
      <c r="G332" s="17" t="s">
        <v>2122</v>
      </c>
      <c r="H332" t="s">
        <v>122</v>
      </c>
      <c r="I332">
        <f t="shared" ca="1" si="70"/>
        <v>670</v>
      </c>
      <c r="J332" t="str">
        <f t="shared" si="71"/>
        <v>ポップアップ出力</v>
      </c>
    </row>
    <row r="333" spans="1:10" ht="11.25" customHeight="1" outlineLevel="1">
      <c r="A333" s="15"/>
      <c r="B333" s="15" t="s">
        <v>138</v>
      </c>
      <c r="C333" s="26" t="s">
        <v>2122</v>
      </c>
      <c r="D333" s="47" t="s">
        <v>1006</v>
      </c>
      <c r="E333" s="47" t="s">
        <v>1007</v>
      </c>
      <c r="F333" s="17" t="s">
        <v>2122</v>
      </c>
      <c r="G333" s="17" t="s">
        <v>2122</v>
      </c>
      <c r="H333" t="s">
        <v>122</v>
      </c>
      <c r="I333">
        <f t="shared" ca="1" si="70"/>
        <v>671</v>
      </c>
      <c r="J333" t="str">
        <f t="shared" si="71"/>
        <v>クリップボード 書き込み</v>
      </c>
    </row>
    <row r="334" spans="1:10" ht="11.25" customHeight="1" outlineLevel="1">
      <c r="A334" s="15"/>
      <c r="B334" s="15" t="s">
        <v>139</v>
      </c>
      <c r="C334" s="26" t="s">
        <v>2122</v>
      </c>
      <c r="D334" s="47" t="s">
        <v>1006</v>
      </c>
      <c r="E334" s="47" t="s">
        <v>1007</v>
      </c>
      <c r="F334" s="17" t="s">
        <v>2122</v>
      </c>
      <c r="G334" s="17" t="s">
        <v>2122</v>
      </c>
      <c r="H334" t="s">
        <v>122</v>
      </c>
      <c r="I334">
        <f t="shared" ca="1" si="70"/>
        <v>672</v>
      </c>
      <c r="J334" t="str">
        <f t="shared" si="71"/>
        <v>クリップボード 取得</v>
      </c>
    </row>
    <row r="335" spans="1:10" ht="11.25" customHeight="1" outlineLevel="1">
      <c r="A335" s="15"/>
      <c r="B335" s="15" t="s">
        <v>987</v>
      </c>
      <c r="C335" s="53" t="s">
        <v>2285</v>
      </c>
      <c r="D335" s="47" t="s">
        <v>2122</v>
      </c>
      <c r="E335" s="47" t="s">
        <v>2122</v>
      </c>
      <c r="F335" s="17" t="s">
        <v>2122</v>
      </c>
      <c r="G335" s="17" t="s">
        <v>2122</v>
      </c>
      <c r="H335" t="s">
        <v>122</v>
      </c>
      <c r="I335">
        <f t="shared" ca="1" si="70"/>
        <v>673</v>
      </c>
      <c r="J335" t="str">
        <f t="shared" si="71"/>
        <v>ファイル コピー（ファイル内容）</v>
      </c>
    </row>
    <row r="336" spans="1:10" ht="11.25" customHeight="1" outlineLevel="1">
      <c r="A336" s="15"/>
      <c r="B336" s="15" t="s">
        <v>986</v>
      </c>
      <c r="C336" s="53" t="s">
        <v>2286</v>
      </c>
      <c r="D336" s="47" t="s">
        <v>2122</v>
      </c>
      <c r="E336" s="47" t="s">
        <v>2122</v>
      </c>
      <c r="F336" s="17" t="s">
        <v>2122</v>
      </c>
      <c r="G336" s="17" t="s">
        <v>2122</v>
      </c>
      <c r="H336" t="s">
        <v>122</v>
      </c>
      <c r="I336">
        <f t="shared" ca="1" si="70"/>
        <v>674</v>
      </c>
      <c r="J336" t="str">
        <f t="shared" si="71"/>
        <v>ファイル コピー（ファイル内容+Permission）</v>
      </c>
    </row>
    <row r="337" spans="1:10" ht="11.25" customHeight="1" outlineLevel="1">
      <c r="A337" s="15"/>
      <c r="B337" s="15" t="s">
        <v>985</v>
      </c>
      <c r="C337" s="53" t="s">
        <v>2286</v>
      </c>
      <c r="D337" s="47" t="s">
        <v>2122</v>
      </c>
      <c r="E337" s="47" t="s">
        <v>2122</v>
      </c>
      <c r="F337" s="17" t="s">
        <v>2122</v>
      </c>
      <c r="G337" s="17" t="s">
        <v>2122</v>
      </c>
      <c r="H337" t="s">
        <v>122</v>
      </c>
      <c r="I337">
        <f t="shared" ca="1" si="70"/>
        <v>675</v>
      </c>
      <c r="J337" t="str">
        <f>IF(B337="","",B337)</f>
        <v>ファイル コピー（ファイル内容+Permission+MetaData）</v>
      </c>
    </row>
    <row r="338" spans="1:10" ht="11.25" customHeight="1" outlineLevel="1">
      <c r="A338" s="15"/>
      <c r="B338" s="15" t="s">
        <v>48</v>
      </c>
      <c r="C338" s="16" t="s">
        <v>992</v>
      </c>
      <c r="D338" s="47" t="s">
        <v>2122</v>
      </c>
      <c r="E338" s="47" t="s">
        <v>2122</v>
      </c>
      <c r="F338" s="17" t="s">
        <v>2122</v>
      </c>
      <c r="G338" s="17" t="s">
        <v>2122</v>
      </c>
      <c r="H338" t="s">
        <v>122</v>
      </c>
      <c r="I338">
        <f t="shared" ca="1" si="70"/>
        <v>676</v>
      </c>
      <c r="J338" t="str">
        <f t="shared" ref="J338:J346" si="72">IF(B338="","",B338)</f>
        <v>ファイル 削除</v>
      </c>
    </row>
    <row r="339" spans="1:10" ht="11.25" customHeight="1" outlineLevel="1">
      <c r="A339" s="15"/>
      <c r="B339" s="15" t="s">
        <v>49</v>
      </c>
      <c r="C339" s="16" t="s">
        <v>990</v>
      </c>
      <c r="D339" s="47" t="s">
        <v>2122</v>
      </c>
      <c r="E339" s="47" t="s">
        <v>2122</v>
      </c>
      <c r="F339" s="17" t="s">
        <v>2122</v>
      </c>
      <c r="G339" s="17" t="s">
        <v>2122</v>
      </c>
      <c r="H339" t="s">
        <v>122</v>
      </c>
      <c r="I339">
        <f t="shared" ca="1" si="70"/>
        <v>677</v>
      </c>
      <c r="J339" t="str">
        <f t="shared" si="72"/>
        <v>ファイル 移動/リネーム</v>
      </c>
    </row>
    <row r="340" spans="1:10" ht="11.25" customHeight="1" outlineLevel="1">
      <c r="A340" s="15"/>
      <c r="B340" s="15" t="s">
        <v>1002</v>
      </c>
      <c r="C340" s="16" t="s">
        <v>996</v>
      </c>
      <c r="D340" s="47" t="s">
        <v>2122</v>
      </c>
      <c r="E340" s="47" t="s">
        <v>2122</v>
      </c>
      <c r="F340" s="17" t="s">
        <v>130</v>
      </c>
      <c r="G340" s="17" t="s">
        <v>2122</v>
      </c>
      <c r="H340" t="s">
        <v>122</v>
      </c>
      <c r="I340">
        <f t="shared" ca="1" si="70"/>
        <v>678</v>
      </c>
      <c r="J340" t="str">
        <f t="shared" si="72"/>
        <v>ファイル 存在確認</v>
      </c>
    </row>
    <row r="341" spans="1:10" ht="11.25" customHeight="1" outlineLevel="1">
      <c r="A341" s="15"/>
      <c r="B341" s="15" t="s">
        <v>51</v>
      </c>
      <c r="C341" s="26" t="s">
        <v>122</v>
      </c>
      <c r="D341" s="47" t="s">
        <v>1006</v>
      </c>
      <c r="E341" s="47" t="s">
        <v>1007</v>
      </c>
      <c r="F341" s="17" t="s">
        <v>2122</v>
      </c>
      <c r="G341" s="17" t="s">
        <v>2122</v>
      </c>
      <c r="H341" t="s">
        <v>122</v>
      </c>
      <c r="I341">
        <f t="shared" ca="1" si="70"/>
        <v>679</v>
      </c>
      <c r="J341" t="str">
        <f t="shared" si="72"/>
        <v>ファイル 隠しファイル化</v>
      </c>
    </row>
    <row r="342" spans="1:10" ht="11.25" customHeight="1" outlineLevel="1">
      <c r="A342" s="15"/>
      <c r="B342" s="15" t="s">
        <v>718</v>
      </c>
      <c r="C342" s="16" t="s">
        <v>912</v>
      </c>
      <c r="D342" s="47" t="s">
        <v>2122</v>
      </c>
      <c r="E342" s="47" t="s">
        <v>2122</v>
      </c>
      <c r="F342" s="19" t="s">
        <v>998</v>
      </c>
      <c r="G342" s="19" t="s">
        <v>2122</v>
      </c>
      <c r="H342" t="s">
        <v>122</v>
      </c>
      <c r="I342">
        <f t="shared" ca="1" si="70"/>
        <v>680</v>
      </c>
      <c r="J342" t="str">
        <f t="shared" si="72"/>
        <v>ファイル ファイル名/フォルダ名取得</v>
      </c>
    </row>
    <row r="343" spans="1:10" ht="11.25" customHeight="1" outlineLevel="1">
      <c r="A343" s="15"/>
      <c r="B343" s="15" t="s">
        <v>56</v>
      </c>
      <c r="C343" s="16" t="s">
        <v>980</v>
      </c>
      <c r="D343" s="47" t="s">
        <v>2122</v>
      </c>
      <c r="E343" s="47" t="s">
        <v>2122</v>
      </c>
      <c r="F343" s="19" t="s">
        <v>999</v>
      </c>
      <c r="G343" s="19" t="s">
        <v>2122</v>
      </c>
      <c r="H343" t="s">
        <v>122</v>
      </c>
      <c r="I343">
        <f t="shared" ca="1" si="70"/>
        <v>681</v>
      </c>
      <c r="J343" t="str">
        <f t="shared" si="72"/>
        <v>ファイル 親フォルダパス取得</v>
      </c>
    </row>
    <row r="344" spans="1:10" ht="11.25" customHeight="1" outlineLevel="1">
      <c r="A344" s="15"/>
      <c r="B344" s="15" t="s">
        <v>54</v>
      </c>
      <c r="C344" s="16" t="s">
        <v>981</v>
      </c>
      <c r="D344" s="47" t="s">
        <v>2122</v>
      </c>
      <c r="E344" s="47" t="s">
        <v>2122</v>
      </c>
      <c r="F344" s="17" t="s">
        <v>1000</v>
      </c>
      <c r="G344" s="17" t="s">
        <v>2122</v>
      </c>
      <c r="H344" t="s">
        <v>122</v>
      </c>
      <c r="I344">
        <f t="shared" ca="1" si="70"/>
        <v>682</v>
      </c>
      <c r="J344" t="str">
        <f t="shared" si="72"/>
        <v>ファイル ファイルベース名取得</v>
      </c>
    </row>
    <row r="345" spans="1:10" ht="11.25" customHeight="1" outlineLevel="1">
      <c r="A345" s="15"/>
      <c r="B345" s="15" t="s">
        <v>55</v>
      </c>
      <c r="C345" s="16" t="s">
        <v>982</v>
      </c>
      <c r="D345" s="47" t="s">
        <v>2122</v>
      </c>
      <c r="E345" s="47" t="s">
        <v>2122</v>
      </c>
      <c r="F345" s="17" t="s">
        <v>1001</v>
      </c>
      <c r="G345" s="17" t="s">
        <v>2122</v>
      </c>
      <c r="H345" t="s">
        <v>122</v>
      </c>
      <c r="I345">
        <f t="shared" ca="1" si="70"/>
        <v>683</v>
      </c>
      <c r="J345" t="str">
        <f t="shared" si="72"/>
        <v>ファイル 拡張子取得</v>
      </c>
    </row>
    <row r="346" spans="1:10" ht="11.25" customHeight="1" outlineLevel="1">
      <c r="A346" s="15"/>
      <c r="B346" s="15" t="s">
        <v>983</v>
      </c>
      <c r="C346" s="53" t="s">
        <v>2287</v>
      </c>
      <c r="D346" s="47" t="s">
        <v>2122</v>
      </c>
      <c r="E346" s="47" t="s">
        <v>2122</v>
      </c>
      <c r="F346" s="17" t="s">
        <v>2122</v>
      </c>
      <c r="G346" s="17" t="s">
        <v>2122</v>
      </c>
      <c r="H346" t="s">
        <v>122</v>
      </c>
      <c r="I346">
        <f t="shared" ca="1" si="70"/>
        <v>684</v>
      </c>
      <c r="J346" t="str">
        <f t="shared" si="72"/>
        <v>フォルダ コピー（配下全て）</v>
      </c>
    </row>
    <row r="347" spans="1:10" ht="11.25" customHeight="1" outlineLevel="1">
      <c r="A347" s="15"/>
      <c r="B347" s="15" t="s">
        <v>993</v>
      </c>
      <c r="C347" s="16" t="s">
        <v>994</v>
      </c>
      <c r="D347" s="47" t="s">
        <v>2122</v>
      </c>
      <c r="E347" s="47" t="s">
        <v>2122</v>
      </c>
      <c r="F347" s="17" t="s">
        <v>2122</v>
      </c>
      <c r="G347" s="17" t="s">
        <v>2122</v>
      </c>
      <c r="H347" t="s">
        <v>122</v>
      </c>
      <c r="I347">
        <f t="shared" ca="1" si="70"/>
        <v>685</v>
      </c>
      <c r="J347" t="str">
        <f>IF(B347="","",B347)</f>
        <v>フォルダ 削除（空ディレクトリのみ）</v>
      </c>
    </row>
    <row r="348" spans="1:10" ht="11.25" customHeight="1" outlineLevel="1">
      <c r="A348" s="15"/>
      <c r="B348" s="15" t="s">
        <v>984</v>
      </c>
      <c r="C348" s="53" t="s">
        <v>2288</v>
      </c>
      <c r="D348" s="47" t="s">
        <v>2122</v>
      </c>
      <c r="E348" s="47" t="s">
        <v>2122</v>
      </c>
      <c r="F348" s="17" t="s">
        <v>2122</v>
      </c>
      <c r="G348" s="17" t="s">
        <v>2122</v>
      </c>
      <c r="H348" t="s">
        <v>122</v>
      </c>
      <c r="I348">
        <f t="shared" ca="1" si="70"/>
        <v>686</v>
      </c>
      <c r="J348" t="str">
        <f t="shared" ref="J348:J355" si="73">IF(B348="","",B348)</f>
        <v>フォルダ 削除（配下全て）</v>
      </c>
    </row>
    <row r="349" spans="1:10" ht="11.25" customHeight="1" outlineLevel="1">
      <c r="A349" s="15"/>
      <c r="B349" s="15" t="s">
        <v>844</v>
      </c>
      <c r="C349" s="16" t="s">
        <v>846</v>
      </c>
      <c r="D349" s="47" t="s">
        <v>2122</v>
      </c>
      <c r="E349" s="47" t="s">
        <v>2122</v>
      </c>
      <c r="F349" s="17" t="s">
        <v>2122</v>
      </c>
      <c r="G349" s="17" t="s">
        <v>2122</v>
      </c>
      <c r="H349" t="s">
        <v>122</v>
      </c>
      <c r="I349">
        <f t="shared" ca="1" si="70"/>
        <v>687</v>
      </c>
      <c r="J349" t="str">
        <f t="shared" si="73"/>
        <v>フォルダ 作成（単層）</v>
      </c>
    </row>
    <row r="350" spans="1:10" ht="11.25" customHeight="1" outlineLevel="1">
      <c r="A350" s="15"/>
      <c r="B350" s="15" t="s">
        <v>845</v>
      </c>
      <c r="C350" s="16" t="s">
        <v>2766</v>
      </c>
      <c r="D350" s="47" t="s">
        <v>2122</v>
      </c>
      <c r="E350" s="47" t="s">
        <v>2122</v>
      </c>
      <c r="F350" s="17" t="s">
        <v>2122</v>
      </c>
      <c r="G350" s="17" t="s">
        <v>2767</v>
      </c>
      <c r="H350" t="s">
        <v>122</v>
      </c>
      <c r="I350">
        <f t="shared" ca="1" si="70"/>
        <v>688</v>
      </c>
      <c r="J350" t="str">
        <f t="shared" si="73"/>
        <v>フォルダ 作成（複層）</v>
      </c>
    </row>
    <row r="351" spans="1:10" ht="11.25" customHeight="1" outlineLevel="1">
      <c r="A351" s="15"/>
      <c r="B351" s="15" t="s">
        <v>60</v>
      </c>
      <c r="C351" s="16" t="s">
        <v>991</v>
      </c>
      <c r="D351" s="47" t="s">
        <v>2122</v>
      </c>
      <c r="E351" s="47" t="s">
        <v>2122</v>
      </c>
      <c r="F351" s="17" t="s">
        <v>2122</v>
      </c>
      <c r="G351" s="17" t="s">
        <v>2122</v>
      </c>
      <c r="H351" t="s">
        <v>122</v>
      </c>
      <c r="I351">
        <f t="shared" ca="1" si="70"/>
        <v>689</v>
      </c>
      <c r="J351" t="str">
        <f t="shared" si="73"/>
        <v>フォルダ 移動/リネーム</v>
      </c>
    </row>
    <row r="352" spans="1:10" ht="11.25" customHeight="1" outlineLevel="1">
      <c r="A352" s="15"/>
      <c r="B352" s="15" t="s">
        <v>61</v>
      </c>
      <c r="C352" s="26" t="s">
        <v>122</v>
      </c>
      <c r="D352" s="48" t="s">
        <v>2122</v>
      </c>
      <c r="E352" s="48" t="s">
        <v>2122</v>
      </c>
      <c r="F352" s="17" t="s">
        <v>2122</v>
      </c>
      <c r="G352" s="17" t="s">
        <v>2122</v>
      </c>
      <c r="H352" t="s">
        <v>122</v>
      </c>
      <c r="I352">
        <f t="shared" ca="1" si="70"/>
        <v>690</v>
      </c>
      <c r="J352" t="str">
        <f t="shared" si="73"/>
        <v>フォルダ 情報取得</v>
      </c>
    </row>
    <row r="353" spans="1:10" ht="11.25" customHeight="1" outlineLevel="1">
      <c r="A353" s="15"/>
      <c r="B353" s="15" t="s">
        <v>387</v>
      </c>
      <c r="C353" s="16" t="s">
        <v>997</v>
      </c>
      <c r="D353" s="47" t="s">
        <v>2122</v>
      </c>
      <c r="E353" s="47" t="s">
        <v>2122</v>
      </c>
      <c r="F353" s="17" t="s">
        <v>913</v>
      </c>
      <c r="G353" s="17" t="s">
        <v>2122</v>
      </c>
      <c r="H353" t="s">
        <v>122</v>
      </c>
      <c r="I353">
        <f t="shared" ca="1" si="70"/>
        <v>691</v>
      </c>
      <c r="J353" t="str">
        <f t="shared" si="73"/>
        <v>フォルダ 存在確認</v>
      </c>
    </row>
    <row r="354" spans="1:10" ht="11.25" customHeight="1" outlineLevel="1">
      <c r="A354" s="15"/>
      <c r="B354" s="15" t="s">
        <v>388</v>
      </c>
      <c r="C354" s="16" t="s">
        <v>995</v>
      </c>
      <c r="D354" s="47" t="s">
        <v>2122</v>
      </c>
      <c r="E354" s="47" t="s">
        <v>2122</v>
      </c>
      <c r="F354" s="17" t="s">
        <v>2122</v>
      </c>
      <c r="G354" s="17" t="s">
        <v>2122</v>
      </c>
      <c r="H354" t="s">
        <v>122</v>
      </c>
      <c r="I354">
        <f t="shared" ca="1" si="70"/>
        <v>692</v>
      </c>
      <c r="J354" t="str">
        <f t="shared" si="73"/>
        <v>フォルダ 親フォルダパス取得</v>
      </c>
    </row>
    <row r="355" spans="1:10" ht="11.25" customHeight="1" outlineLevel="1">
      <c r="B355" s="15" t="s">
        <v>339</v>
      </c>
      <c r="C355" s="16" t="s">
        <v>1013</v>
      </c>
      <c r="D355" s="47" t="s">
        <v>1011</v>
      </c>
      <c r="E355" s="47" t="s">
        <v>1011</v>
      </c>
      <c r="F355" s="17" t="s">
        <v>2122</v>
      </c>
      <c r="G355" s="17" t="s">
        <v>2122</v>
      </c>
      <c r="H355" t="s">
        <v>122</v>
      </c>
      <c r="I355">
        <f t="shared" ca="1" si="70"/>
        <v>693</v>
      </c>
      <c r="J355" t="str">
        <f t="shared" si="73"/>
        <v>フォルダ 特殊フォルダパス取得</v>
      </c>
    </row>
    <row r="356" spans="1:10" ht="11.25" customHeight="1" outlineLevel="1">
      <c r="B356" s="15" t="s">
        <v>988</v>
      </c>
      <c r="C356" s="16" t="s">
        <v>989</v>
      </c>
      <c r="D356" s="47" t="s">
        <v>1007</v>
      </c>
      <c r="E356" s="47" t="s">
        <v>1006</v>
      </c>
      <c r="F356" s="17" t="s">
        <v>2122</v>
      </c>
      <c r="G356" s="17" t="s">
        <v>2122</v>
      </c>
      <c r="H356" t="s">
        <v>122</v>
      </c>
      <c r="I356">
        <f t="shared" ca="1" si="70"/>
        <v>694</v>
      </c>
      <c r="J356" t="str">
        <f t="shared" ref="J356:J420" si="74">IF(B356="","",B356)</f>
        <v>フォルダ パーミッション変更</v>
      </c>
    </row>
    <row r="357" spans="1:10" ht="11.25" customHeight="1" outlineLevel="1">
      <c r="B357" s="15" t="s">
        <v>1008</v>
      </c>
      <c r="C357" s="16" t="s">
        <v>1009</v>
      </c>
      <c r="D357" s="47" t="s">
        <v>1007</v>
      </c>
      <c r="E357" s="47" t="s">
        <v>1006</v>
      </c>
      <c r="F357" s="17" t="s">
        <v>1010</v>
      </c>
      <c r="G357" s="17" t="s">
        <v>2122</v>
      </c>
      <c r="H357" t="s">
        <v>122</v>
      </c>
      <c r="I357">
        <f t="shared" ca="1" si="70"/>
        <v>695</v>
      </c>
      <c r="J357" t="str">
        <f t="shared" si="74"/>
        <v>フォルダ パーミッション確認</v>
      </c>
    </row>
    <row r="358" spans="1:10" ht="11.25" customHeight="1" outlineLevel="1">
      <c r="B358" s="15" t="s">
        <v>856</v>
      </c>
      <c r="C358" s="53" t="s">
        <v>2290</v>
      </c>
      <c r="D358" s="47" t="s">
        <v>2122</v>
      </c>
      <c r="E358" s="47" t="s">
        <v>2122</v>
      </c>
      <c r="F358" s="17" t="s">
        <v>913</v>
      </c>
      <c r="G358" s="17" t="s">
        <v>2289</v>
      </c>
      <c r="H358" t="s">
        <v>122</v>
      </c>
      <c r="I358">
        <f t="shared" ca="1" si="70"/>
        <v>696</v>
      </c>
      <c r="J358" t="str">
        <f t="shared" si="74"/>
        <v>ファイル/ディレクトリ判別</v>
      </c>
    </row>
    <row r="359" spans="1:10" ht="11.25" customHeight="1" outlineLevel="1">
      <c r="A359" s="15"/>
      <c r="B359" s="15" t="s">
        <v>848</v>
      </c>
      <c r="C359" s="16" t="s">
        <v>850</v>
      </c>
      <c r="D359" s="47" t="s">
        <v>2122</v>
      </c>
      <c r="E359" s="47" t="s">
        <v>2122</v>
      </c>
      <c r="F359" s="37" t="s">
        <v>2291</v>
      </c>
      <c r="G359" s="17" t="s">
        <v>2122</v>
      </c>
      <c r="H359" t="s">
        <v>122</v>
      </c>
      <c r="I359">
        <f t="shared" ca="1" si="70"/>
        <v>697</v>
      </c>
      <c r="J359" t="str">
        <f t="shared" si="74"/>
        <v>実行スクリプト ファイル絶対パス</v>
      </c>
    </row>
    <row r="360" spans="1:10" ht="11.25" customHeight="1" outlineLevel="1">
      <c r="A360" s="15"/>
      <c r="B360" s="15" t="s">
        <v>849</v>
      </c>
      <c r="C360" s="16" t="s">
        <v>851</v>
      </c>
      <c r="D360" s="47" t="s">
        <v>2122</v>
      </c>
      <c r="E360" s="47" t="s">
        <v>2122</v>
      </c>
      <c r="F360" s="37" t="s">
        <v>2292</v>
      </c>
      <c r="G360" s="17" t="s">
        <v>2122</v>
      </c>
      <c r="H360" t="s">
        <v>122</v>
      </c>
      <c r="I360">
        <f t="shared" ca="1" si="70"/>
        <v>698</v>
      </c>
      <c r="J360" t="str">
        <f t="shared" si="74"/>
        <v>実行スクリプト ファイル名</v>
      </c>
    </row>
    <row r="361" spans="1:10" ht="11.25" customHeight="1" outlineLevel="1">
      <c r="A361" s="15"/>
      <c r="B361" s="15" t="s">
        <v>1017</v>
      </c>
      <c r="C361" s="16" t="s">
        <v>847</v>
      </c>
      <c r="D361" s="47" t="s">
        <v>2122</v>
      </c>
      <c r="E361" s="47" t="s">
        <v>2122</v>
      </c>
      <c r="F361" s="17" t="s">
        <v>2122</v>
      </c>
      <c r="G361" s="17" t="s">
        <v>1019</v>
      </c>
      <c r="H361" t="s">
        <v>122</v>
      </c>
      <c r="I361">
        <f t="shared" ca="1" si="70"/>
        <v>699</v>
      </c>
      <c r="J361" t="str">
        <f t="shared" si="74"/>
        <v>実行スクリプト ファイルパス①</v>
      </c>
    </row>
    <row r="362" spans="1:10" ht="11.25" customHeight="1" outlineLevel="1">
      <c r="A362" s="15"/>
      <c r="B362" s="15" t="s">
        <v>1018</v>
      </c>
      <c r="C362" s="16" t="s">
        <v>852</v>
      </c>
      <c r="D362" s="47" t="s">
        <v>2122</v>
      </c>
      <c r="E362" s="47" t="s">
        <v>2122</v>
      </c>
      <c r="F362" s="17" t="s">
        <v>2122</v>
      </c>
      <c r="G362" s="17" t="s">
        <v>1019</v>
      </c>
      <c r="H362" t="s">
        <v>122</v>
      </c>
      <c r="I362">
        <f t="shared" ca="1" si="70"/>
        <v>700</v>
      </c>
      <c r="J362" t="str">
        <f t="shared" si="74"/>
        <v>実行スクリプト ファイルパス②</v>
      </c>
    </row>
    <row r="363" spans="1:10" ht="11.25" customHeight="1" outlineLevel="1">
      <c r="A363" s="15"/>
      <c r="B363" s="15" t="s">
        <v>117</v>
      </c>
      <c r="C363" s="16" t="s">
        <v>1016</v>
      </c>
      <c r="D363" s="47" t="s">
        <v>2122</v>
      </c>
      <c r="E363" s="47" t="s">
        <v>2122</v>
      </c>
      <c r="F363" s="17" t="s">
        <v>2122</v>
      </c>
      <c r="G363" s="17" t="s">
        <v>2122</v>
      </c>
      <c r="H363" t="s">
        <v>122</v>
      </c>
      <c r="I363">
        <f t="shared" ca="1" si="70"/>
        <v>701</v>
      </c>
      <c r="J363" t="str">
        <f t="shared" si="74"/>
        <v>実行スクリプト ファイルベース名①</v>
      </c>
    </row>
    <row r="364" spans="1:10" ht="11.25" customHeight="1" outlineLevel="1">
      <c r="A364" s="15"/>
      <c r="B364" s="15" t="s">
        <v>1022</v>
      </c>
      <c r="C364" s="16" t="s">
        <v>1021</v>
      </c>
      <c r="D364" s="47" t="s">
        <v>2122</v>
      </c>
      <c r="E364" s="47" t="s">
        <v>2122</v>
      </c>
      <c r="F364" s="17" t="s">
        <v>2122</v>
      </c>
      <c r="G364" s="17" t="s">
        <v>2122</v>
      </c>
      <c r="H364" t="s">
        <v>122</v>
      </c>
      <c r="I364">
        <f t="shared" ca="1" si="70"/>
        <v>702</v>
      </c>
      <c r="J364" t="str">
        <f t="shared" si="74"/>
        <v>実行スクリプト フォルダパス</v>
      </c>
    </row>
    <row r="365" spans="1:10" ht="11.25" customHeight="1" outlineLevel="1">
      <c r="A365" s="15"/>
      <c r="B365" s="15" t="s">
        <v>2300</v>
      </c>
      <c r="C365" s="16" t="s">
        <v>2301</v>
      </c>
      <c r="D365" s="47" t="s">
        <v>122</v>
      </c>
      <c r="E365" s="47" t="s">
        <v>122</v>
      </c>
      <c r="F365" s="17" t="s">
        <v>122</v>
      </c>
      <c r="G365" s="17" t="s">
        <v>2299</v>
      </c>
      <c r="H365" t="s">
        <v>122</v>
      </c>
      <c r="I365">
        <f ca="1">IF(J365="",OFFSET(I365,-1,0),OFFSET(I365,-1,0)+1)</f>
        <v>703</v>
      </c>
      <c r="J365" t="str">
        <f t="shared" si="74"/>
        <v>作業ディレクトリ フォルダパス</v>
      </c>
    </row>
    <row r="366" spans="1:10" ht="11.25" customHeight="1" outlineLevel="1">
      <c r="A366" s="15"/>
      <c r="B366" s="31" t="s">
        <v>13</v>
      </c>
      <c r="C366" s="16" t="s">
        <v>892</v>
      </c>
      <c r="D366" s="47" t="s">
        <v>2122</v>
      </c>
      <c r="E366" s="47" t="s">
        <v>2122</v>
      </c>
      <c r="F366" s="17" t="s">
        <v>2122</v>
      </c>
      <c r="G366" s="17" t="s">
        <v>2122</v>
      </c>
      <c r="H366" t="s">
        <v>122</v>
      </c>
      <c r="I366">
        <f t="shared" ca="1" si="70"/>
        <v>704</v>
      </c>
      <c r="J366" t="str">
        <f t="shared" si="74"/>
        <v>プログラム終了</v>
      </c>
    </row>
    <row r="367" spans="1:10" ht="11.25" customHeight="1" outlineLevel="1">
      <c r="A367" s="15"/>
      <c r="B367" s="15" t="s">
        <v>714</v>
      </c>
      <c r="C367" s="16" t="s">
        <v>1014</v>
      </c>
      <c r="D367" s="47" t="s">
        <v>2122</v>
      </c>
      <c r="E367" s="47" t="s">
        <v>2122</v>
      </c>
      <c r="F367" s="17" t="s">
        <v>3366</v>
      </c>
      <c r="G367" s="17" t="s">
        <v>2122</v>
      </c>
      <c r="H367" t="s">
        <v>122</v>
      </c>
      <c r="I367">
        <f t="shared" ca="1" si="70"/>
        <v>705</v>
      </c>
      <c r="J367" t="str">
        <f t="shared" si="74"/>
        <v>スクリプト引数 取得</v>
      </c>
    </row>
    <row r="368" spans="1:10" ht="11.25" customHeight="1" outlineLevel="1">
      <c r="A368" s="15"/>
      <c r="B368" s="15" t="s">
        <v>713</v>
      </c>
      <c r="C368" s="16" t="s">
        <v>1015</v>
      </c>
      <c r="D368" s="47" t="s">
        <v>2122</v>
      </c>
      <c r="E368" s="47" t="s">
        <v>2122</v>
      </c>
      <c r="F368" s="17" t="s">
        <v>2122</v>
      </c>
      <c r="G368" s="17" t="s">
        <v>1020</v>
      </c>
      <c r="H368" t="s">
        <v>122</v>
      </c>
      <c r="I368">
        <f t="shared" ca="1" si="70"/>
        <v>706</v>
      </c>
      <c r="J368" t="str">
        <f t="shared" si="74"/>
        <v>スクリプト引数の数 取得</v>
      </c>
    </row>
    <row r="369" spans="1:10" ht="11.25" customHeight="1" outlineLevel="1">
      <c r="A369" s="15"/>
      <c r="B369" s="15" t="s">
        <v>2304</v>
      </c>
      <c r="C369" s="16" t="s">
        <v>2303</v>
      </c>
      <c r="D369" s="47" t="s">
        <v>122</v>
      </c>
      <c r="E369" s="47" t="s">
        <v>122</v>
      </c>
      <c r="F369" s="17" t="s">
        <v>122</v>
      </c>
      <c r="G369" s="17" t="s">
        <v>2305</v>
      </c>
      <c r="H369" t="s">
        <v>122</v>
      </c>
      <c r="I369">
        <f t="shared" ref="I369:I420" ca="1" si="75">IF(J369="",OFFSET(I369,-1,0),OFFSET(I369,-1,0)+1)</f>
        <v>707</v>
      </c>
      <c r="J369" t="str">
        <f t="shared" si="74"/>
        <v>モジュール名 取得</v>
      </c>
    </row>
    <row r="370" spans="1:10" ht="11.25" customHeight="1">
      <c r="A370" s="96" t="s">
        <v>3017</v>
      </c>
      <c r="B370" s="13"/>
      <c r="C370" s="12"/>
      <c r="D370" s="45"/>
      <c r="E370" s="45"/>
      <c r="F370" s="14"/>
      <c r="G370" s="14"/>
      <c r="H370" t="s">
        <v>122</v>
      </c>
      <c r="I370">
        <f ca="1">IF(J370="",OFFSET(I370,-1,0),OFFSET(I370,-1,0)+1)</f>
        <v>707</v>
      </c>
      <c r="J370" t="str">
        <f>IF(B370="","",B370)</f>
        <v/>
      </c>
    </row>
    <row r="371" spans="1:10" ht="11.25" customHeight="1" outlineLevel="1">
      <c r="A371" s="15"/>
      <c r="B371" s="15" t="s">
        <v>3021</v>
      </c>
      <c r="C371" s="53" t="s">
        <v>3016</v>
      </c>
      <c r="D371" s="47" t="s">
        <v>122</v>
      </c>
      <c r="E371" s="47" t="s">
        <v>122</v>
      </c>
      <c r="F371" s="17" t="s">
        <v>122</v>
      </c>
      <c r="G371" s="17" t="s">
        <v>122</v>
      </c>
      <c r="H371" t="s">
        <v>122</v>
      </c>
      <c r="I371">
        <f ca="1">IF(J371="",OFFSET(I371,-1,0),OFFSET(I371,-1,0)+1)</f>
        <v>708</v>
      </c>
      <c r="J371" t="str">
        <f>IF(B371="","",B371)</f>
        <v>インポート</v>
      </c>
    </row>
    <row r="372" spans="1:10" ht="11.25" customHeight="1" outlineLevel="1">
      <c r="A372" s="15"/>
      <c r="B372" s="15" t="s">
        <v>3025</v>
      </c>
      <c r="C372" s="53" t="s">
        <v>3055</v>
      </c>
      <c r="D372" s="47" t="s">
        <v>122</v>
      </c>
      <c r="E372" s="47" t="s">
        <v>122</v>
      </c>
      <c r="F372" s="17" t="s">
        <v>122</v>
      </c>
      <c r="G372" s="17" t="s">
        <v>122</v>
      </c>
      <c r="H372" t="s">
        <v>122</v>
      </c>
      <c r="I372">
        <f t="shared" ref="I372:I394" ca="1" si="76">IF(J372="",OFFSET(I372,-1,0),OFFSET(I372,-1,0)+1)</f>
        <v>709</v>
      </c>
      <c r="J372" t="str">
        <f t="shared" ref="J372:J394" si="77">IF(B372="","",B372)</f>
        <v>文字列型→パス型変換</v>
      </c>
    </row>
    <row r="373" spans="1:10" ht="11.25" customHeight="1" outlineLevel="1">
      <c r="A373" s="15"/>
      <c r="B373" s="15" t="s">
        <v>3024</v>
      </c>
      <c r="C373" s="53" t="s">
        <v>3047</v>
      </c>
      <c r="D373" s="47" t="s">
        <v>122</v>
      </c>
      <c r="E373" s="47" t="s">
        <v>122</v>
      </c>
      <c r="F373" s="17" t="s">
        <v>3051</v>
      </c>
      <c r="G373" s="17" t="s">
        <v>122</v>
      </c>
      <c r="H373" t="s">
        <v>122</v>
      </c>
      <c r="I373">
        <f ca="1">IF(J373="",OFFSET(I373,-1,0),OFFSET(I373,-1,0)+1)</f>
        <v>710</v>
      </c>
      <c r="J373" t="str">
        <f>IF(B373="","",B373)</f>
        <v>パス型→文字列型変換</v>
      </c>
    </row>
    <row r="374" spans="1:10" ht="11.25" customHeight="1" outlineLevel="1">
      <c r="A374" s="15"/>
      <c r="B374" s="15" t="s">
        <v>3019</v>
      </c>
      <c r="C374" s="53" t="s">
        <v>3048</v>
      </c>
      <c r="D374" s="47" t="s">
        <v>122</v>
      </c>
      <c r="E374" s="47" t="s">
        <v>122</v>
      </c>
      <c r="F374" s="17" t="s">
        <v>3052</v>
      </c>
      <c r="G374" s="17" t="s">
        <v>122</v>
      </c>
      <c r="H374" t="s">
        <v>122</v>
      </c>
      <c r="I374">
        <f t="shared" ca="1" si="76"/>
        <v>711</v>
      </c>
      <c r="J374" t="str">
        <f t="shared" si="77"/>
        <v>相対パス→絶対パス変換（..除去あり）</v>
      </c>
    </row>
    <row r="375" spans="1:10" ht="11.25" customHeight="1" outlineLevel="1">
      <c r="A375" s="15"/>
      <c r="B375" s="15" t="s">
        <v>3018</v>
      </c>
      <c r="C375" s="53" t="s">
        <v>3049</v>
      </c>
      <c r="D375" s="47" t="s">
        <v>122</v>
      </c>
      <c r="E375" s="47" t="s">
        <v>122</v>
      </c>
      <c r="F375" s="17" t="s">
        <v>3053</v>
      </c>
      <c r="G375" s="17" t="s">
        <v>122</v>
      </c>
      <c r="H375" t="s">
        <v>122</v>
      </c>
      <c r="I375">
        <f ca="1">IF(J375="",OFFSET(I375,-1,0),OFFSET(I375,-1,0)+1)</f>
        <v>712</v>
      </c>
      <c r="J375" t="str">
        <f>IF(B375="","",B375)</f>
        <v>相対パス→絶対パス変換（..除去なし）</v>
      </c>
    </row>
    <row r="376" spans="1:10" ht="11.25" customHeight="1" outlineLevel="1">
      <c r="A376" s="15"/>
      <c r="B376" s="15" t="s">
        <v>3020</v>
      </c>
      <c r="C376" s="53" t="s">
        <v>3050</v>
      </c>
      <c r="D376" s="47" t="s">
        <v>122</v>
      </c>
      <c r="E376" s="47" t="s">
        <v>122</v>
      </c>
      <c r="F376" s="17" t="s">
        <v>3054</v>
      </c>
      <c r="G376" s="17" t="s">
        <v>122</v>
      </c>
      <c r="H376" t="s">
        <v>122</v>
      </c>
      <c r="I376">
        <f t="shared" ref="I376" ca="1" si="78">IF(J376="",OFFSET(I376,-1,0),OFFSET(I376,-1,0)+1)</f>
        <v>713</v>
      </c>
      <c r="J376" t="str">
        <f t="shared" ref="J376" si="79">IF(B376="","",B376)</f>
        <v>絶対パス→相対パス変換</v>
      </c>
    </row>
    <row r="377" spans="1:10" ht="11.25" customHeight="1" outlineLevel="1">
      <c r="A377" s="15"/>
      <c r="B377" s="15" t="s">
        <v>3022</v>
      </c>
      <c r="C377" s="53" t="s">
        <v>3023</v>
      </c>
      <c r="D377" s="47" t="s">
        <v>122</v>
      </c>
      <c r="E377" s="47" t="s">
        <v>122</v>
      </c>
      <c r="F377" s="17" t="s">
        <v>130</v>
      </c>
      <c r="G377" s="17" t="s">
        <v>122</v>
      </c>
      <c r="H377" t="s">
        <v>122</v>
      </c>
      <c r="I377">
        <f t="shared" ref="I377:I390" ca="1" si="80">IF(J377="",OFFSET(I377,-1,0),OFFSET(I377,-1,0)+1)</f>
        <v>714</v>
      </c>
      <c r="J377" t="str">
        <f t="shared" ref="J377:J390" si="81">IF(B377="","",B377)</f>
        <v>絶対パス判定</v>
      </c>
    </row>
    <row r="378" spans="1:10" ht="11.25" customHeight="1" outlineLevel="1">
      <c r="A378" s="15"/>
      <c r="B378" s="15" t="s">
        <v>3057</v>
      </c>
      <c r="C378" s="53" t="s">
        <v>3056</v>
      </c>
      <c r="D378" s="47" t="s">
        <v>122</v>
      </c>
      <c r="E378" s="47" t="s">
        <v>122</v>
      </c>
      <c r="F378" s="17" t="s">
        <v>130</v>
      </c>
      <c r="G378" s="17" t="s">
        <v>122</v>
      </c>
      <c r="H378" t="s">
        <v>122</v>
      </c>
      <c r="I378">
        <f t="shared" ca="1" si="80"/>
        <v>715</v>
      </c>
      <c r="J378" t="str">
        <f t="shared" si="81"/>
        <v>ファイル存在確認</v>
      </c>
    </row>
    <row r="379" spans="1:10" ht="11.25" customHeight="1" outlineLevel="1">
      <c r="A379" s="15"/>
      <c r="B379" s="15" t="s">
        <v>3066</v>
      </c>
      <c r="C379" s="53" t="s">
        <v>3058</v>
      </c>
      <c r="D379" s="47" t="s">
        <v>122</v>
      </c>
      <c r="E379" s="47" t="s">
        <v>122</v>
      </c>
      <c r="F379" s="17" t="s">
        <v>3074</v>
      </c>
      <c r="G379" s="17" t="s">
        <v>3085</v>
      </c>
      <c r="H379" t="s">
        <v>122</v>
      </c>
      <c r="I379">
        <f t="shared" ca="1" si="80"/>
        <v>716</v>
      </c>
      <c r="J379" t="str">
        <f t="shared" si="81"/>
        <v>親ディレクトリパス取得</v>
      </c>
    </row>
    <row r="380" spans="1:10" ht="11.25" customHeight="1" outlineLevel="1">
      <c r="A380" s="15"/>
      <c r="B380" s="15" t="s">
        <v>3067</v>
      </c>
      <c r="C380" s="53" t="s">
        <v>3059</v>
      </c>
      <c r="D380" s="47" t="s">
        <v>122</v>
      </c>
      <c r="E380" s="47" t="s">
        <v>122</v>
      </c>
      <c r="F380" s="17" t="s">
        <v>3074</v>
      </c>
      <c r="G380" s="17" t="s">
        <v>3086</v>
      </c>
      <c r="H380" t="s">
        <v>122</v>
      </c>
      <c r="I380">
        <f t="shared" ca="1" si="80"/>
        <v>717</v>
      </c>
      <c r="J380" t="str">
        <f t="shared" si="81"/>
        <v>親ディレクトリパス取得(１階層以上)</v>
      </c>
    </row>
    <row r="381" spans="1:10" ht="11.25" customHeight="1" outlineLevel="1">
      <c r="A381" s="15"/>
      <c r="B381" s="15" t="s">
        <v>3068</v>
      </c>
      <c r="C381" s="53" t="s">
        <v>3060</v>
      </c>
      <c r="D381" s="47" t="s">
        <v>122</v>
      </c>
      <c r="E381" s="47" t="s">
        <v>122</v>
      </c>
      <c r="F381" s="17" t="s">
        <v>3075</v>
      </c>
      <c r="G381" s="17" t="s">
        <v>3086</v>
      </c>
      <c r="H381" t="s">
        <v>122</v>
      </c>
      <c r="I381">
        <f t="shared" ca="1" si="80"/>
        <v>718</v>
      </c>
      <c r="J381" t="str">
        <f t="shared" si="81"/>
        <v>親ディレクトリパス取得(２階層以上)</v>
      </c>
    </row>
    <row r="382" spans="1:10" ht="11.25" customHeight="1" outlineLevel="1">
      <c r="A382" s="15"/>
      <c r="B382" s="15" t="s">
        <v>3069</v>
      </c>
      <c r="C382" s="53" t="s">
        <v>3061</v>
      </c>
      <c r="D382" s="47" t="s">
        <v>122</v>
      </c>
      <c r="E382" s="47" t="s">
        <v>122</v>
      </c>
      <c r="F382" s="17" t="s">
        <v>2374</v>
      </c>
      <c r="G382" s="17" t="s">
        <v>3086</v>
      </c>
      <c r="H382" t="s">
        <v>122</v>
      </c>
      <c r="I382">
        <f t="shared" ca="1" si="80"/>
        <v>719</v>
      </c>
      <c r="J382" t="str">
        <f t="shared" si="81"/>
        <v>親ディレクトリパス取得(３階層以上)</v>
      </c>
    </row>
    <row r="383" spans="1:10" ht="11.25" customHeight="1" outlineLevel="1">
      <c r="A383" s="15"/>
      <c r="B383" s="15" t="s">
        <v>3080</v>
      </c>
      <c r="C383" s="53" t="s">
        <v>3082</v>
      </c>
      <c r="D383" s="47" t="s">
        <v>122</v>
      </c>
      <c r="E383" s="47" t="s">
        <v>122</v>
      </c>
      <c r="F383" s="17" t="s">
        <v>2828</v>
      </c>
      <c r="G383" s="17" t="s">
        <v>3086</v>
      </c>
      <c r="H383" t="s">
        <v>122</v>
      </c>
      <c r="I383">
        <f t="shared" ref="I383:I384" ca="1" si="82">IF(J383="",OFFSET(I383,-1,0),OFFSET(I383,-1,0)+1)</f>
        <v>720</v>
      </c>
      <c r="J383" t="str">
        <f t="shared" ref="J383:J384" si="83">IF(B383="","",B383)</f>
        <v>親ディレクトリパス取得(トップから1階層以下)</v>
      </c>
    </row>
    <row r="384" spans="1:10" ht="11.25" customHeight="1" outlineLevel="1">
      <c r="A384" s="15"/>
      <c r="B384" s="15" t="s">
        <v>3081</v>
      </c>
      <c r="C384" s="53" t="s">
        <v>3083</v>
      </c>
      <c r="D384" s="47" t="s">
        <v>122</v>
      </c>
      <c r="E384" s="47" t="s">
        <v>122</v>
      </c>
      <c r="F384" s="17" t="s">
        <v>3084</v>
      </c>
      <c r="G384" s="17" t="s">
        <v>3086</v>
      </c>
      <c r="H384" t="s">
        <v>122</v>
      </c>
      <c r="I384">
        <f t="shared" ca="1" si="82"/>
        <v>721</v>
      </c>
      <c r="J384" t="str">
        <f t="shared" si="83"/>
        <v>親ディレクトリパス取得(トップから2階層以下)</v>
      </c>
    </row>
    <row r="385" spans="1:10" ht="11.25" customHeight="1" outlineLevel="1">
      <c r="A385" s="15"/>
      <c r="B385" s="15" t="s">
        <v>3076</v>
      </c>
      <c r="C385" s="53" t="s">
        <v>3062</v>
      </c>
      <c r="D385" s="47" t="s">
        <v>122</v>
      </c>
      <c r="E385" s="47" t="s">
        <v>122</v>
      </c>
      <c r="F385" s="17" t="s">
        <v>3070</v>
      </c>
      <c r="G385" s="17" t="s">
        <v>122</v>
      </c>
      <c r="H385" t="s">
        <v>122</v>
      </c>
      <c r="I385">
        <f t="shared" ref="I385:I387" ca="1" si="84">IF(J385="",OFFSET(I385,-1,0),OFFSET(I385,-1,0)+1)</f>
        <v>722</v>
      </c>
      <c r="J385" t="str">
        <f t="shared" ref="J385:J387" si="85">IF(B385="","",B385)</f>
        <v>ファイル名取得</v>
      </c>
    </row>
    <row r="386" spans="1:10" ht="11.25" customHeight="1" outlineLevel="1">
      <c r="A386" s="15"/>
      <c r="B386" s="15" t="s">
        <v>3077</v>
      </c>
      <c r="C386" s="53" t="s">
        <v>3063</v>
      </c>
      <c r="D386" s="47" t="s">
        <v>122</v>
      </c>
      <c r="E386" s="47" t="s">
        <v>122</v>
      </c>
      <c r="F386" s="17" t="s">
        <v>3071</v>
      </c>
      <c r="G386" s="17" t="s">
        <v>122</v>
      </c>
      <c r="H386" t="s">
        <v>122</v>
      </c>
      <c r="I386">
        <f t="shared" ca="1" si="84"/>
        <v>723</v>
      </c>
      <c r="J386" t="str">
        <f t="shared" si="85"/>
        <v>ファイルベース名取得</v>
      </c>
    </row>
    <row r="387" spans="1:10" ht="11.25" customHeight="1" outlineLevel="1">
      <c r="A387" s="15"/>
      <c r="B387" s="15" t="s">
        <v>3078</v>
      </c>
      <c r="C387" s="53" t="s">
        <v>3064</v>
      </c>
      <c r="D387" s="47" t="s">
        <v>122</v>
      </c>
      <c r="E387" s="47" t="s">
        <v>122</v>
      </c>
      <c r="F387" s="17" t="s">
        <v>3072</v>
      </c>
      <c r="G387" s="17" t="s">
        <v>122</v>
      </c>
      <c r="H387" t="s">
        <v>122</v>
      </c>
      <c r="I387">
        <f t="shared" ca="1" si="84"/>
        <v>724</v>
      </c>
      <c r="J387" t="str">
        <f t="shared" si="85"/>
        <v>拡張子取得</v>
      </c>
    </row>
    <row r="388" spans="1:10" ht="11.25" customHeight="1" outlineLevel="1">
      <c r="A388" s="15"/>
      <c r="B388" s="15" t="s">
        <v>3079</v>
      </c>
      <c r="C388" s="53" t="s">
        <v>3065</v>
      </c>
      <c r="D388" s="47" t="s">
        <v>122</v>
      </c>
      <c r="E388" s="47" t="s">
        <v>122</v>
      </c>
      <c r="F388" s="17" t="s">
        <v>3073</v>
      </c>
      <c r="G388" s="17" t="s">
        <v>122</v>
      </c>
      <c r="H388" t="s">
        <v>122</v>
      </c>
      <c r="I388">
        <f t="shared" ca="1" si="80"/>
        <v>725</v>
      </c>
      <c r="J388" t="str">
        <f t="shared" si="81"/>
        <v>拡張子取得（複数ピリオド時）</v>
      </c>
    </row>
    <row r="389" spans="1:10" ht="11.25" customHeight="1" outlineLevel="1">
      <c r="A389" s="15"/>
      <c r="B389" s="15" t="s">
        <v>646</v>
      </c>
      <c r="C389" s="53" t="s">
        <v>3087</v>
      </c>
      <c r="D389" s="47" t="s">
        <v>122</v>
      </c>
      <c r="E389" s="47" t="s">
        <v>122</v>
      </c>
      <c r="F389" s="17" t="s">
        <v>3088</v>
      </c>
      <c r="G389" s="17" t="s">
        <v>122</v>
      </c>
      <c r="H389" t="s">
        <v>122</v>
      </c>
      <c r="I389">
        <f t="shared" ca="1" si="80"/>
        <v>726</v>
      </c>
      <c r="J389" t="str">
        <f t="shared" si="81"/>
        <v>カレントディレクトリ取得</v>
      </c>
    </row>
    <row r="390" spans="1:10" ht="11.25" customHeight="1" outlineLevel="1">
      <c r="A390" s="15"/>
      <c r="B390" s="15" t="s">
        <v>3097</v>
      </c>
      <c r="C390" s="53" t="s">
        <v>3091</v>
      </c>
      <c r="D390" s="47" t="s">
        <v>122</v>
      </c>
      <c r="E390" s="47" t="s">
        <v>122</v>
      </c>
      <c r="F390" s="17" t="s">
        <v>3092</v>
      </c>
      <c r="G390" s="17" t="s">
        <v>122</v>
      </c>
      <c r="H390" t="s">
        <v>122</v>
      </c>
      <c r="I390">
        <f t="shared" ca="1" si="80"/>
        <v>727</v>
      </c>
      <c r="J390" t="str">
        <f t="shared" si="81"/>
        <v>パス結合</v>
      </c>
    </row>
    <row r="391" spans="1:10" ht="11.25" customHeight="1" outlineLevel="1">
      <c r="A391" s="15"/>
      <c r="B391" s="15" t="s">
        <v>3090</v>
      </c>
      <c r="C391" s="53" t="s">
        <v>3093</v>
      </c>
      <c r="D391" s="47" t="s">
        <v>122</v>
      </c>
      <c r="E391" s="47" t="s">
        <v>122</v>
      </c>
      <c r="F391" s="17" t="s">
        <v>122</v>
      </c>
      <c r="G391" s="17" t="s">
        <v>3095</v>
      </c>
      <c r="H391" t="s">
        <v>122</v>
      </c>
      <c r="I391">
        <f t="shared" ref="I391:I392" ca="1" si="86">IF(J391="",OFFSET(I391,-1,0),OFFSET(I391,-1,0)+1)</f>
        <v>728</v>
      </c>
      <c r="J391" t="str">
        <f t="shared" ref="J391:J392" si="87">IF(B391="","",B391)</f>
        <v>ディレクトリ作成</v>
      </c>
    </row>
    <row r="392" spans="1:10" ht="11.25" customHeight="1" outlineLevel="1">
      <c r="A392" s="15"/>
      <c r="B392" s="15" t="s">
        <v>3089</v>
      </c>
      <c r="C392" s="53" t="s">
        <v>3094</v>
      </c>
      <c r="D392" s="47" t="s">
        <v>122</v>
      </c>
      <c r="E392" s="47" t="s">
        <v>122</v>
      </c>
      <c r="F392" s="17" t="s">
        <v>122</v>
      </c>
      <c r="G392" s="17" t="s">
        <v>3096</v>
      </c>
      <c r="H392" t="s">
        <v>122</v>
      </c>
      <c r="I392">
        <f t="shared" ca="1" si="86"/>
        <v>729</v>
      </c>
      <c r="J392" t="str">
        <f t="shared" si="87"/>
        <v>ファイル作成</v>
      </c>
    </row>
    <row r="393" spans="1:10" ht="11.25" customHeight="1">
      <c r="A393" s="13" t="s">
        <v>3026</v>
      </c>
      <c r="B393" s="13"/>
      <c r="C393" s="12"/>
      <c r="D393" s="45"/>
      <c r="E393" s="45"/>
      <c r="F393" s="14"/>
      <c r="G393" s="14"/>
      <c r="H393" t="s">
        <v>122</v>
      </c>
      <c r="I393">
        <f t="shared" ca="1" si="76"/>
        <v>729</v>
      </c>
      <c r="J393" t="str">
        <f t="shared" si="77"/>
        <v/>
      </c>
    </row>
    <row r="394" spans="1:10" ht="11.25" customHeight="1" outlineLevel="1">
      <c r="A394" s="15"/>
      <c r="B394" s="15" t="s">
        <v>3021</v>
      </c>
      <c r="C394" s="53" t="s">
        <v>3027</v>
      </c>
      <c r="D394" s="47" t="s">
        <v>122</v>
      </c>
      <c r="E394" s="47" t="s">
        <v>122</v>
      </c>
      <c r="F394" s="17" t="s">
        <v>122</v>
      </c>
      <c r="G394" s="17" t="s">
        <v>122</v>
      </c>
      <c r="H394" t="s">
        <v>122</v>
      </c>
      <c r="I394">
        <f t="shared" ca="1" si="76"/>
        <v>730</v>
      </c>
      <c r="J394" t="str">
        <f t="shared" si="77"/>
        <v>インポート</v>
      </c>
    </row>
    <row r="395" spans="1:10" ht="11.25" customHeight="1" outlineLevel="1">
      <c r="A395" s="15"/>
      <c r="B395" s="15" t="s">
        <v>3028</v>
      </c>
      <c r="C395" s="53" t="str">
        <f>"logging.basicConfig(
    level=logging.WARNING,
    format=""%(asctime)s - %(levelname)s - %(name)s - %(message)s"",
    datefmt=""%Y-%m-%d %H:%M:%S"","&amp;"
    handlers=[
        logging.FileHandler(LOG_FILE_PATH, encoding=""utf-8""),  # Output to log file
        logging.StreamHandler()  # Output to console
    ]
)"</f>
        <v>logging.basicConfig(
    level=logging.WARNING,
    format="%(asctime)s - %(levelname)s - %(name)s - %(message)s",
    datefmt="%Y-%m-%d %H:%M:%S",
    handlers=[
        logging.FileHandler(LOG_FILE_PATH, encoding="utf-8"),  # Output to log file
        logging.StreamHandler()  # Output to console
    ]
)</v>
      </c>
      <c r="D395" s="47" t="s">
        <v>122</v>
      </c>
      <c r="E395" s="47" t="s">
        <v>122</v>
      </c>
      <c r="F395" s="17" t="s">
        <v>122</v>
      </c>
      <c r="G395" s="17" t="s">
        <v>3034</v>
      </c>
      <c r="H395" t="s">
        <v>122</v>
      </c>
      <c r="I395">
        <f t="shared" ref="I395:I397" ca="1" si="88">IF(J395="",OFFSET(I395,-1,0),OFFSET(I395,-1,0)+1)</f>
        <v>731</v>
      </c>
      <c r="J395" t="str">
        <f t="shared" ref="J395:J397" si="89">IF(B395="","",B395)</f>
        <v>基礎設定</v>
      </c>
    </row>
    <row r="396" spans="1:10" ht="11.25" customHeight="1" outlineLevel="1">
      <c r="A396" s="15"/>
      <c r="B396" s="15" t="s">
        <v>3035</v>
      </c>
      <c r="C396" s="53" t="s">
        <v>3041</v>
      </c>
      <c r="D396" s="47" t="s">
        <v>122</v>
      </c>
      <c r="E396" s="47" t="s">
        <v>122</v>
      </c>
      <c r="F396" s="17" t="s">
        <v>122</v>
      </c>
      <c r="G396" s="17" t="s">
        <v>122</v>
      </c>
      <c r="H396" t="s">
        <v>122</v>
      </c>
      <c r="I396">
        <f t="shared" ref="I396" ca="1" si="90">IF(J396="",OFFSET(I396,-1,0),OFFSET(I396,-1,0)+1)</f>
        <v>732</v>
      </c>
      <c r="J396" t="str">
        <f t="shared" ref="J396" si="91">IF(B396="","",B396)</f>
        <v>ロガー設定</v>
      </c>
    </row>
    <row r="397" spans="1:10" ht="11.25" customHeight="1" outlineLevel="1">
      <c r="A397" s="15"/>
      <c r="B397" s="15" t="s">
        <v>3029</v>
      </c>
      <c r="C397" s="53" t="s">
        <v>3042</v>
      </c>
      <c r="D397" s="47" t="s">
        <v>122</v>
      </c>
      <c r="E397" s="47" t="s">
        <v>122</v>
      </c>
      <c r="F397" s="17" t="s">
        <v>3036</v>
      </c>
      <c r="G397" s="17" t="s">
        <v>122</v>
      </c>
      <c r="H397" t="s">
        <v>122</v>
      </c>
      <c r="I397">
        <f t="shared" ca="1" si="88"/>
        <v>733</v>
      </c>
      <c r="J397" t="str">
        <f t="shared" si="89"/>
        <v>ログ出力(DEBUG)</v>
      </c>
    </row>
    <row r="398" spans="1:10" ht="11.25" customHeight="1" outlineLevel="1">
      <c r="A398" s="15"/>
      <c r="B398" s="15" t="s">
        <v>3030</v>
      </c>
      <c r="C398" s="53" t="s">
        <v>3043</v>
      </c>
      <c r="D398" s="47" t="s">
        <v>122</v>
      </c>
      <c r="E398" s="47" t="s">
        <v>122</v>
      </c>
      <c r="F398" s="17" t="s">
        <v>3037</v>
      </c>
      <c r="G398" s="17" t="s">
        <v>122</v>
      </c>
      <c r="H398" t="s">
        <v>122</v>
      </c>
      <c r="I398">
        <f t="shared" ref="I398:I401" ca="1" si="92">IF(J398="",OFFSET(I398,-1,0),OFFSET(I398,-1,0)+1)</f>
        <v>734</v>
      </c>
      <c r="J398" t="str">
        <f t="shared" ref="J398:J401" si="93">IF(B398="","",B398)</f>
        <v>ログ出力(INFO)</v>
      </c>
    </row>
    <row r="399" spans="1:10" ht="11.25" customHeight="1" outlineLevel="1">
      <c r="A399" s="15"/>
      <c r="B399" s="15" t="s">
        <v>3031</v>
      </c>
      <c r="C399" s="53" t="s">
        <v>3044</v>
      </c>
      <c r="D399" s="47" t="s">
        <v>122</v>
      </c>
      <c r="E399" s="47" t="s">
        <v>122</v>
      </c>
      <c r="F399" s="17" t="s">
        <v>3038</v>
      </c>
      <c r="G399" s="17" t="s">
        <v>122</v>
      </c>
      <c r="H399" t="s">
        <v>122</v>
      </c>
      <c r="I399">
        <f t="shared" ca="1" si="92"/>
        <v>735</v>
      </c>
      <c r="J399" t="str">
        <f t="shared" si="93"/>
        <v>ログ出力(WARNING)</v>
      </c>
    </row>
    <row r="400" spans="1:10" ht="11.25" customHeight="1" outlineLevel="1">
      <c r="A400" s="15"/>
      <c r="B400" s="15" t="s">
        <v>3032</v>
      </c>
      <c r="C400" s="53" t="s">
        <v>3045</v>
      </c>
      <c r="D400" s="47" t="s">
        <v>122</v>
      </c>
      <c r="E400" s="47" t="s">
        <v>122</v>
      </c>
      <c r="F400" s="17" t="s">
        <v>3039</v>
      </c>
      <c r="G400" s="17" t="s">
        <v>122</v>
      </c>
      <c r="H400" t="s">
        <v>122</v>
      </c>
      <c r="I400">
        <f t="shared" ca="1" si="92"/>
        <v>736</v>
      </c>
      <c r="J400" t="str">
        <f t="shared" si="93"/>
        <v>ログ出力(ERROR)</v>
      </c>
    </row>
    <row r="401" spans="1:10" ht="11.25" customHeight="1" outlineLevel="1">
      <c r="A401" s="15"/>
      <c r="B401" s="15" t="s">
        <v>3033</v>
      </c>
      <c r="C401" s="53" t="s">
        <v>3046</v>
      </c>
      <c r="D401" s="47" t="s">
        <v>122</v>
      </c>
      <c r="E401" s="47" t="s">
        <v>122</v>
      </c>
      <c r="F401" s="17" t="s">
        <v>3040</v>
      </c>
      <c r="G401" s="17" t="s">
        <v>122</v>
      </c>
      <c r="H401" t="s">
        <v>122</v>
      </c>
      <c r="I401">
        <f t="shared" ca="1" si="92"/>
        <v>737</v>
      </c>
      <c r="J401" t="str">
        <f t="shared" si="93"/>
        <v>ログ出力(CRITICAL)</v>
      </c>
    </row>
    <row r="402" spans="1:10" ht="11.25" customHeight="1">
      <c r="A402" s="13" t="s">
        <v>2352</v>
      </c>
      <c r="B402" s="13"/>
      <c r="C402" s="12"/>
      <c r="D402" s="45"/>
      <c r="E402" s="45"/>
      <c r="F402" s="14" t="s">
        <v>122</v>
      </c>
      <c r="G402" s="14"/>
      <c r="H402" t="s">
        <v>122</v>
      </c>
      <c r="I402">
        <f t="shared" ca="1" si="75"/>
        <v>737</v>
      </c>
      <c r="J402" t="str">
        <f t="shared" si="74"/>
        <v/>
      </c>
    </row>
    <row r="403" spans="1:10" ht="11.25" customHeight="1" outlineLevel="1">
      <c r="A403" s="15"/>
      <c r="B403" s="15" t="s">
        <v>3021</v>
      </c>
      <c r="C403" s="53" t="s">
        <v>2351</v>
      </c>
      <c r="D403" s="47" t="s">
        <v>1007</v>
      </c>
      <c r="E403" s="47" t="s">
        <v>2284</v>
      </c>
      <c r="F403" s="17" t="s">
        <v>122</v>
      </c>
      <c r="G403" s="17" t="s">
        <v>122</v>
      </c>
      <c r="H403" t="s">
        <v>122</v>
      </c>
      <c r="I403">
        <f t="shared" ca="1" si="75"/>
        <v>738</v>
      </c>
      <c r="J403" t="str">
        <f t="shared" si="74"/>
        <v>インポート</v>
      </c>
    </row>
    <row r="404" spans="1:10" ht="11.25" customHeight="1" outlineLevel="1">
      <c r="A404" s="15"/>
      <c r="B404" s="15" t="s">
        <v>2334</v>
      </c>
      <c r="C404" s="53" t="str">
        <f>"# for float range check with argparse
class Range(object):
    def __init__(self, start, end):
        self.start = start
        self.end = end
    def __eq__(self, other):
        return self.start &lt;= other &lt;= self.end"&amp;"
    def __contains__(self, item):
        return self.__eq__(item)
    def __iter__(self):
        yield self
    def __str__(self):
        return '[{0},{1}]'.format(self.start, self.end)"&amp;"
# for convert string to boolean with argparse
def str2bool(in_str: str) -&gt; bool:
     return in_str.lower() == ""true""
"</f>
        <v xml:space="preserve"># for float range check with argparse
class Range(object):
    def __init__(self, start, end):
        self.start = start
        self.end = end
    def __eq__(self, other):
        return self.start &lt;= other &lt;= self.end
    def __contains__(self, item):
        return self.__eq__(item)
    def __iter__(self):
        yield self
    def __str__(self):
        return '[{0},{1}]'.format(self.start, self.end)
# for convert string to boolean with argparse
def str2bool(in_str: str) -&gt; bool:
     return in_str.lower() == "true"
</v>
      </c>
      <c r="D404" s="47" t="s">
        <v>1007</v>
      </c>
      <c r="E404" s="47" t="s">
        <v>2284</v>
      </c>
      <c r="F404" s="17" t="s">
        <v>122</v>
      </c>
      <c r="G404" s="17" t="s">
        <v>122</v>
      </c>
      <c r="H404" t="s">
        <v>122</v>
      </c>
      <c r="I404">
        <f t="shared" ca="1" si="75"/>
        <v>739</v>
      </c>
      <c r="J404" t="str">
        <f t="shared" si="74"/>
        <v>パーサー用関数定義</v>
      </c>
    </row>
    <row r="405" spans="1:10" ht="11.25" customHeight="1" outlineLevel="1">
      <c r="A405" s="15"/>
      <c r="B405" s="15" t="s">
        <v>2335</v>
      </c>
      <c r="C405" s="53" t="str">
        <f>"parser = argparse.ArgumentParser(
    prog='gen_world.py',
    usage='gen_world.py [options...]',
    description='Generate world files.',
    epilog='',
    add_help=True,
)"</f>
        <v>parser = argparse.ArgumentParser(
    prog='gen_world.py',
    usage='gen_world.py [options...]',
    description='Generate world files.',
    epilog='',
    add_help=True,
)</v>
      </c>
      <c r="D405" s="47" t="s">
        <v>1007</v>
      </c>
      <c r="E405" s="47" t="s">
        <v>2284</v>
      </c>
      <c r="F405" s="17" t="s">
        <v>122</v>
      </c>
      <c r="G405" s="17" t="s">
        <v>122</v>
      </c>
      <c r="H405" t="s">
        <v>122</v>
      </c>
      <c r="I405">
        <f t="shared" ca="1" si="75"/>
        <v>740</v>
      </c>
      <c r="J405" t="str">
        <f t="shared" si="74"/>
        <v>パーサー定義</v>
      </c>
    </row>
    <row r="406" spans="1:10" ht="11.25" customHeight="1" outlineLevel="1">
      <c r="A406" s="15"/>
      <c r="B406" s="15" t="s">
        <v>2336</v>
      </c>
      <c r="C406" s="53" t="s">
        <v>2863</v>
      </c>
      <c r="D406" s="47" t="s">
        <v>1007</v>
      </c>
      <c r="E406" s="47" t="s">
        <v>2284</v>
      </c>
      <c r="F406" s="17" t="s">
        <v>122</v>
      </c>
      <c r="G406" s="17" t="s">
        <v>122</v>
      </c>
      <c r="H406" t="s">
        <v>122</v>
      </c>
      <c r="I406">
        <f t="shared" ca="1" si="75"/>
        <v>741</v>
      </c>
      <c r="J406" t="str">
        <f t="shared" si="74"/>
        <v>引数定義（短縮オプションあり）</v>
      </c>
    </row>
    <row r="407" spans="1:10" ht="11.25" customHeight="1" outlineLevel="1">
      <c r="A407" s="15"/>
      <c r="B407" s="15" t="s">
        <v>2348</v>
      </c>
      <c r="C407" s="53" t="s">
        <v>2864</v>
      </c>
      <c r="D407" s="47" t="s">
        <v>1007</v>
      </c>
      <c r="E407" s="47" t="s">
        <v>2284</v>
      </c>
      <c r="F407" s="17" t="s">
        <v>122</v>
      </c>
      <c r="G407" s="17" t="s">
        <v>122</v>
      </c>
      <c r="H407" t="s">
        <v>122</v>
      </c>
      <c r="I407">
        <f t="shared" ca="1" si="75"/>
        <v>742</v>
      </c>
      <c r="J407" t="str">
        <f t="shared" si="74"/>
        <v>引数定義（短縮オプションなし）（str）</v>
      </c>
    </row>
    <row r="408" spans="1:10" ht="11.25" customHeight="1" outlineLevel="1">
      <c r="A408" s="15"/>
      <c r="B408" s="15" t="s">
        <v>2338</v>
      </c>
      <c r="C408" s="53" t="s">
        <v>2865</v>
      </c>
      <c r="D408" s="47" t="s">
        <v>1007</v>
      </c>
      <c r="E408" s="47" t="s">
        <v>2284</v>
      </c>
      <c r="F408" s="17" t="s">
        <v>122</v>
      </c>
      <c r="G408" s="17" t="s">
        <v>122</v>
      </c>
      <c r="H408" t="s">
        <v>122</v>
      </c>
      <c r="I408">
        <f t="shared" ca="1" si="75"/>
        <v>743</v>
      </c>
      <c r="J408" t="str">
        <f t="shared" si="74"/>
        <v>引数定義（短縮オプションなし）（float）</v>
      </c>
    </row>
    <row r="409" spans="1:10" ht="11.25" customHeight="1" outlineLevel="1">
      <c r="A409" s="15"/>
      <c r="B409" s="15" t="s">
        <v>2339</v>
      </c>
      <c r="C409" s="53" t="s">
        <v>2866</v>
      </c>
      <c r="D409" s="47" t="s">
        <v>1007</v>
      </c>
      <c r="E409" s="47" t="s">
        <v>2284</v>
      </c>
      <c r="F409" s="17" t="s">
        <v>122</v>
      </c>
      <c r="G409" s="17" t="s">
        <v>122</v>
      </c>
      <c r="H409" t="s">
        <v>122</v>
      </c>
      <c r="I409">
        <f t="shared" ca="1" si="75"/>
        <v>744</v>
      </c>
      <c r="J409" t="str">
        <f t="shared" si="74"/>
        <v>引数定義（短縮オプションなし）（int）</v>
      </c>
    </row>
    <row r="410" spans="1:10" ht="11.25" customHeight="1" outlineLevel="1">
      <c r="A410" s="15"/>
      <c r="B410" s="15" t="s">
        <v>2923</v>
      </c>
      <c r="C410" s="53" t="s">
        <v>2867</v>
      </c>
      <c r="D410" s="47" t="s">
        <v>1007</v>
      </c>
      <c r="E410" s="47" t="s">
        <v>2284</v>
      </c>
      <c r="F410" s="17" t="s">
        <v>122</v>
      </c>
      <c r="G410" s="17" t="s">
        <v>122</v>
      </c>
      <c r="H410" t="s">
        <v>122</v>
      </c>
      <c r="I410">
        <f t="shared" ca="1" si="75"/>
        <v>745</v>
      </c>
      <c r="J410" t="str">
        <f t="shared" si="74"/>
        <v>引数定義（短縮オプションなし）（bool (--flag true形式)）</v>
      </c>
    </row>
    <row r="411" spans="1:10" ht="11.25" customHeight="1" outlineLevel="1">
      <c r="A411" s="15"/>
      <c r="B411" s="15" t="s">
        <v>2924</v>
      </c>
      <c r="C411" s="53" t="s">
        <v>2922</v>
      </c>
      <c r="D411" s="47" t="s">
        <v>1007</v>
      </c>
      <c r="E411" s="47" t="s">
        <v>2284</v>
      </c>
      <c r="F411" s="17" t="s">
        <v>122</v>
      </c>
      <c r="G411" s="17" t="s">
        <v>2925</v>
      </c>
      <c r="H411" t="s">
        <v>122</v>
      </c>
      <c r="I411">
        <f t="shared" ca="1" si="75"/>
        <v>746</v>
      </c>
      <c r="J411" t="str">
        <f t="shared" si="74"/>
        <v>引数定義（短縮オプションなし）（bool (--flag 形式)）</v>
      </c>
    </row>
    <row r="412" spans="1:10" ht="11.25" customHeight="1" outlineLevel="1">
      <c r="A412" s="15"/>
      <c r="B412" s="15" t="s">
        <v>2337</v>
      </c>
      <c r="C412" s="53" t="s">
        <v>2868</v>
      </c>
      <c r="D412" s="47" t="s">
        <v>1007</v>
      </c>
      <c r="E412" s="47" t="s">
        <v>2284</v>
      </c>
      <c r="F412" s="17" t="s">
        <v>122</v>
      </c>
      <c r="G412" s="17" t="s">
        <v>122</v>
      </c>
      <c r="H412" t="s">
        <v>122</v>
      </c>
      <c r="I412">
        <f t="shared" ca="1" si="75"/>
        <v>747</v>
      </c>
      <c r="J412" t="str">
        <f t="shared" si="74"/>
        <v>引数定義（短縮オプションなし）（enum）</v>
      </c>
    </row>
    <row r="413" spans="1:10" ht="11.25" customHeight="1" outlineLevel="1">
      <c r="A413" s="15"/>
      <c r="B413" s="15" t="s">
        <v>2862</v>
      </c>
      <c r="C413" s="53" t="s">
        <v>2861</v>
      </c>
      <c r="D413" s="47" t="s">
        <v>1007</v>
      </c>
      <c r="E413" s="47" t="s">
        <v>2284</v>
      </c>
      <c r="F413" s="17" t="s">
        <v>122</v>
      </c>
      <c r="G413" s="17" t="s">
        <v>122</v>
      </c>
      <c r="H413" t="s">
        <v>122</v>
      </c>
      <c r="I413">
        <f t="shared" ca="1" si="75"/>
        <v>748</v>
      </c>
      <c r="J413" t="str">
        <f t="shared" si="74"/>
        <v>引数取得用変数定義</v>
      </c>
    </row>
    <row r="414" spans="1:10" ht="11.25" customHeight="1" outlineLevel="1">
      <c r="A414" s="15"/>
      <c r="B414" s="15" t="s">
        <v>2349</v>
      </c>
      <c r="C414" s="53" t="s">
        <v>2350</v>
      </c>
      <c r="D414" s="47" t="s">
        <v>1007</v>
      </c>
      <c r="E414" s="47" t="s">
        <v>2284</v>
      </c>
      <c r="F414" s="17" t="s">
        <v>122</v>
      </c>
      <c r="G414" s="17" t="s">
        <v>122</v>
      </c>
      <c r="H414" t="s">
        <v>122</v>
      </c>
      <c r="I414">
        <f t="shared" ca="1" si="75"/>
        <v>749</v>
      </c>
      <c r="J414" t="str">
        <f t="shared" si="74"/>
        <v>引数代入（str）</v>
      </c>
    </row>
    <row r="415" spans="1:10" ht="11.25" customHeight="1" outlineLevel="1">
      <c r="A415" s="15"/>
      <c r="B415" s="15" t="s">
        <v>2344</v>
      </c>
      <c r="C415" s="53" t="s">
        <v>2346</v>
      </c>
      <c r="D415" s="47" t="s">
        <v>1007</v>
      </c>
      <c r="E415" s="47" t="s">
        <v>2284</v>
      </c>
      <c r="F415" s="17" t="s">
        <v>122</v>
      </c>
      <c r="G415" s="17" t="s">
        <v>122</v>
      </c>
      <c r="H415" t="s">
        <v>122</v>
      </c>
      <c r="I415">
        <f t="shared" ca="1" si="75"/>
        <v>750</v>
      </c>
      <c r="J415" t="str">
        <f t="shared" si="74"/>
        <v>引数代入（float）</v>
      </c>
    </row>
    <row r="416" spans="1:10" ht="11.25" customHeight="1" outlineLevel="1">
      <c r="A416" s="15"/>
      <c r="B416" s="15" t="s">
        <v>2345</v>
      </c>
      <c r="C416" s="53" t="s">
        <v>2347</v>
      </c>
      <c r="D416" s="47" t="s">
        <v>1007</v>
      </c>
      <c r="E416" s="47" t="s">
        <v>2284</v>
      </c>
      <c r="F416" s="17" t="s">
        <v>122</v>
      </c>
      <c r="G416" s="17" t="s">
        <v>122</v>
      </c>
      <c r="H416" t="s">
        <v>122</v>
      </c>
      <c r="I416">
        <f t="shared" ca="1" si="75"/>
        <v>751</v>
      </c>
      <c r="J416" t="str">
        <f t="shared" si="74"/>
        <v>引数代入（int）</v>
      </c>
    </row>
    <row r="417" spans="1:10" ht="11.25" customHeight="1" outlineLevel="1">
      <c r="A417" s="15"/>
      <c r="B417" s="15" t="s">
        <v>2340</v>
      </c>
      <c r="C417" s="53" t="s">
        <v>2341</v>
      </c>
      <c r="D417" s="47" t="s">
        <v>1007</v>
      </c>
      <c r="E417" s="47" t="s">
        <v>2284</v>
      </c>
      <c r="F417" s="17" t="s">
        <v>122</v>
      </c>
      <c r="G417" s="17" t="s">
        <v>122</v>
      </c>
      <c r="H417" t="s">
        <v>122</v>
      </c>
      <c r="I417">
        <f t="shared" ca="1" si="75"/>
        <v>752</v>
      </c>
      <c r="J417" t="str">
        <f t="shared" si="74"/>
        <v>引数代入（bool）</v>
      </c>
    </row>
    <row r="418" spans="1:10" ht="11.25" customHeight="1" outlineLevel="1">
      <c r="A418" s="15"/>
      <c r="B418" s="15" t="s">
        <v>2343</v>
      </c>
      <c r="C418" s="53" t="s">
        <v>2342</v>
      </c>
      <c r="D418" s="47" t="s">
        <v>1007</v>
      </c>
      <c r="E418" s="47" t="s">
        <v>2284</v>
      </c>
      <c r="F418" s="17" t="s">
        <v>122</v>
      </c>
      <c r="G418" s="17" t="s">
        <v>122</v>
      </c>
      <c r="H418" t="s">
        <v>122</v>
      </c>
      <c r="I418">
        <f t="shared" ca="1" si="75"/>
        <v>753</v>
      </c>
      <c r="J418" t="str">
        <f t="shared" si="74"/>
        <v>引数代入（enum）</v>
      </c>
    </row>
    <row r="419" spans="1:10" ht="11.25" customHeight="1">
      <c r="A419" s="13" t="s">
        <v>2903</v>
      </c>
      <c r="B419" s="13"/>
      <c r="C419" s="12"/>
      <c r="D419" s="45"/>
      <c r="E419" s="45"/>
      <c r="F419" s="14"/>
      <c r="G419" s="14"/>
      <c r="H419" t="s">
        <v>122</v>
      </c>
      <c r="I419">
        <f t="shared" ca="1" si="75"/>
        <v>753</v>
      </c>
      <c r="J419" t="str">
        <f t="shared" si="74"/>
        <v/>
      </c>
    </row>
    <row r="420" spans="1:10" ht="11.25" customHeight="1" outlineLevel="1">
      <c r="A420" s="15"/>
      <c r="B420" s="15" t="s">
        <v>3021</v>
      </c>
      <c r="C420" s="53" t="s">
        <v>2904</v>
      </c>
      <c r="D420" s="47" t="s">
        <v>122</v>
      </c>
      <c r="E420" s="47" t="s">
        <v>122</v>
      </c>
      <c r="F420" s="17" t="s">
        <v>122</v>
      </c>
      <c r="G420" s="17" t="s">
        <v>122</v>
      </c>
      <c r="H420" t="s">
        <v>122</v>
      </c>
      <c r="I420">
        <f t="shared" ca="1" si="75"/>
        <v>754</v>
      </c>
      <c r="J420" t="str">
        <f t="shared" si="74"/>
        <v>インポート</v>
      </c>
    </row>
    <row r="421" spans="1:10" ht="11.25" customHeight="1" outlineLevel="1">
      <c r="A421" s="15"/>
      <c r="B421" s="92" t="s">
        <v>2905</v>
      </c>
      <c r="C421" s="53" t="str">
        <f>"def get_attrib(
    elem: object,
    attrib_name: str,
    required: bool = True,
) -&gt; str:
    attrib_value = """"
    if attrib_name in elem.attrib:
        attrib_value = elem.attrib[attrib_name]"&amp;"
    else:
        if required:
            print(""[error] tag \""{0}\"" has not attribute \""{1}\""."".format(elem.tag, attrib_name))
            sys.exit()
    return attrib_value"</f>
        <v>def get_attrib(
    elem: object,
    attrib_name: str,
    required: bool = True,
) -&gt; str:
    attrib_value = ""
    if attrib_name in elem.attrib:
        attrib_value = elem.attrib[attrib_name]
    else:
        if required:
            print("[error] tag \"{0}\" has not attribute \"{1}\".".format(elem.tag, attrib_name))
            sys.exit()
    return attrib_value</v>
      </c>
      <c r="D421" s="47" t="s">
        <v>122</v>
      </c>
      <c r="E421" s="47" t="s">
        <v>122</v>
      </c>
      <c r="F421" s="17" t="s">
        <v>122</v>
      </c>
      <c r="G421" s="17" t="s">
        <v>122</v>
      </c>
      <c r="H421" t="s">
        <v>122</v>
      </c>
      <c r="I421">
        <f t="shared" ref="I421:I428" ca="1" si="94">IF(J421="",OFFSET(I421,-1,0),OFFSET(I421,-1,0)+1)</f>
        <v>755</v>
      </c>
      <c r="J421" t="str">
        <f t="shared" ref="J421:J428" si="95">IF(B421="","",B421)</f>
        <v>属性取得関数定義</v>
      </c>
    </row>
    <row r="422" spans="1:10" ht="11.25" customHeight="1" outlineLevel="1">
      <c r="A422" s="15"/>
      <c r="B422" s="92" t="s">
        <v>2907</v>
      </c>
      <c r="C422" s="53" t="s">
        <v>2906</v>
      </c>
      <c r="D422" s="47" t="s">
        <v>122</v>
      </c>
      <c r="E422" s="47" t="s">
        <v>122</v>
      </c>
      <c r="F422" s="17" t="s">
        <v>122</v>
      </c>
      <c r="G422" s="17" t="s">
        <v>122</v>
      </c>
      <c r="H422" t="s">
        <v>122</v>
      </c>
      <c r="I422">
        <f t="shared" ca="1" si="94"/>
        <v>756</v>
      </c>
      <c r="J422" t="str">
        <f t="shared" si="95"/>
        <v>ファイルオープン</v>
      </c>
    </row>
    <row r="423" spans="1:10" ht="11.25" customHeight="1" outlineLevel="1">
      <c r="A423" s="15"/>
      <c r="B423" s="92" t="s">
        <v>2920</v>
      </c>
      <c r="C423" s="53" t="s">
        <v>2910</v>
      </c>
      <c r="D423" s="47" t="s">
        <v>122</v>
      </c>
      <c r="E423" s="47" t="s">
        <v>122</v>
      </c>
      <c r="F423" s="17" t="s">
        <v>122</v>
      </c>
      <c r="G423" s="17" t="s">
        <v>122</v>
      </c>
      <c r="H423" t="s">
        <v>122</v>
      </c>
      <c r="I423">
        <f t="shared" ca="1" si="94"/>
        <v>757</v>
      </c>
      <c r="J423" t="str">
        <f t="shared" si="95"/>
        <v>ルートのタグ要素取得</v>
      </c>
    </row>
    <row r="424" spans="1:10" ht="11.25" customHeight="1" outlineLevel="1">
      <c r="A424" s="15"/>
      <c r="B424" s="92" t="s">
        <v>2919</v>
      </c>
      <c r="C424" s="53" t="s">
        <v>2911</v>
      </c>
      <c r="D424" s="47" t="s">
        <v>122</v>
      </c>
      <c r="E424" s="47" t="s">
        <v>122</v>
      </c>
      <c r="F424" s="17" t="s">
        <v>122</v>
      </c>
      <c r="G424" s="17" t="s">
        <v>122</v>
      </c>
      <c r="H424" t="s">
        <v>122</v>
      </c>
      <c r="I424">
        <f t="shared" ca="1" si="94"/>
        <v>758</v>
      </c>
      <c r="J424" t="str">
        <f t="shared" si="95"/>
        <v>タグ要素取得（ループ）</v>
      </c>
    </row>
    <row r="425" spans="1:10" ht="11.25" customHeight="1" outlineLevel="1">
      <c r="A425" s="15"/>
      <c r="B425" s="92" t="s">
        <v>2909</v>
      </c>
      <c r="C425" s="53" t="s">
        <v>2914</v>
      </c>
      <c r="D425" s="47" t="s">
        <v>122</v>
      </c>
      <c r="E425" s="47" t="s">
        <v>122</v>
      </c>
      <c r="F425" s="17" t="s">
        <v>122</v>
      </c>
      <c r="G425" s="17" t="s">
        <v>2917</v>
      </c>
      <c r="H425" t="s">
        <v>122</v>
      </c>
      <c r="I425">
        <f ca="1">IF(J425="",OFFSET(I425,-1,0),OFFSET(I425,-1,0)+1)</f>
        <v>759</v>
      </c>
      <c r="J425" t="str">
        <f>IF(B425="","",B425)</f>
        <v>タグ名取得</v>
      </c>
    </row>
    <row r="426" spans="1:10" ht="11.25" customHeight="1" outlineLevel="1">
      <c r="A426" s="15"/>
      <c r="B426" s="92" t="s">
        <v>2908</v>
      </c>
      <c r="C426" s="53" t="s">
        <v>2912</v>
      </c>
      <c r="D426" s="47" t="s">
        <v>122</v>
      </c>
      <c r="E426" s="47" t="s">
        <v>122</v>
      </c>
      <c r="F426" s="17" t="s">
        <v>122</v>
      </c>
      <c r="G426" s="17" t="s">
        <v>2918</v>
      </c>
      <c r="H426" t="s">
        <v>122</v>
      </c>
      <c r="I426">
        <f t="shared" ca="1" si="94"/>
        <v>760</v>
      </c>
      <c r="J426" t="str">
        <f t="shared" si="95"/>
        <v>属性取得</v>
      </c>
    </row>
    <row r="427" spans="1:10" ht="11.25" customHeight="1" outlineLevel="1">
      <c r="A427" s="15"/>
      <c r="B427" s="92" t="s">
        <v>2913</v>
      </c>
      <c r="C427" s="53" t="s">
        <v>2915</v>
      </c>
      <c r="D427" s="47" t="s">
        <v>122</v>
      </c>
      <c r="E427" s="47" t="s">
        <v>122</v>
      </c>
      <c r="F427" s="17" t="s">
        <v>122</v>
      </c>
      <c r="G427" s="17" t="s">
        <v>2916</v>
      </c>
      <c r="H427" t="s">
        <v>122</v>
      </c>
      <c r="I427">
        <f t="shared" ca="1" si="94"/>
        <v>761</v>
      </c>
      <c r="J427" t="str">
        <f t="shared" si="95"/>
        <v>コンテキスト取得</v>
      </c>
    </row>
    <row r="428" spans="1:10" ht="11.25" customHeight="1" outlineLevel="1">
      <c r="A428" s="15"/>
      <c r="B428" s="92" t="s">
        <v>122</v>
      </c>
      <c r="C428" s="53" t="s">
        <v>122</v>
      </c>
      <c r="D428" s="47" t="s">
        <v>122</v>
      </c>
      <c r="E428" s="47" t="s">
        <v>122</v>
      </c>
      <c r="F428" s="17" t="s">
        <v>122</v>
      </c>
      <c r="G428" s="17" t="s">
        <v>122</v>
      </c>
      <c r="H428" t="s">
        <v>122</v>
      </c>
      <c r="I428">
        <f t="shared" ca="1" si="94"/>
        <v>762</v>
      </c>
      <c r="J428" t="str">
        <f t="shared" si="95"/>
        <v xml:space="preserve"> </v>
      </c>
    </row>
    <row r="429" spans="1:10" ht="11.25" customHeight="1">
      <c r="A429" s="13" t="s">
        <v>392</v>
      </c>
      <c r="B429" s="13"/>
      <c r="C429" s="12"/>
      <c r="D429" s="45"/>
      <c r="E429" s="45"/>
      <c r="F429" s="14"/>
      <c r="G429" s="14"/>
      <c r="H429" t="s">
        <v>122</v>
      </c>
      <c r="I429">
        <f t="shared" ca="1" si="70"/>
        <v>762</v>
      </c>
      <c r="J429" t="str">
        <f>IF(B429="","",B429)</f>
        <v/>
      </c>
    </row>
    <row r="430" spans="1:10" ht="11.25" customHeight="1" outlineLevel="1">
      <c r="A430" s="15"/>
      <c r="B430" s="15" t="s">
        <v>386</v>
      </c>
      <c r="C430" s="53" t="s">
        <v>2293</v>
      </c>
      <c r="D430" s="47" t="s">
        <v>1007</v>
      </c>
      <c r="E430" s="47" t="s">
        <v>1006</v>
      </c>
      <c r="F430" s="17" t="s">
        <v>2122</v>
      </c>
      <c r="G430" s="17" t="s">
        <v>2122</v>
      </c>
      <c r="H430" t="s">
        <v>122</v>
      </c>
      <c r="I430">
        <f t="shared" ca="1" si="70"/>
        <v>763</v>
      </c>
      <c r="J430" t="str">
        <f>IF(B430="","",B430)</f>
        <v>ユーザフォルダパス</v>
      </c>
    </row>
    <row r="431" spans="1:10" ht="11.25" customHeight="1">
      <c r="A431" s="13" t="s">
        <v>853</v>
      </c>
      <c r="B431" s="13"/>
      <c r="C431" s="12"/>
      <c r="D431" s="45"/>
      <c r="E431" s="45"/>
      <c r="F431" s="14"/>
      <c r="G431" s="14"/>
      <c r="I431">
        <f t="shared" ca="1" si="70"/>
        <v>763</v>
      </c>
      <c r="J431" t="str">
        <f t="shared" ref="J431:J439" si="96">IF(B431="","",B431)</f>
        <v/>
      </c>
    </row>
    <row r="432" spans="1:10" ht="11.25" customHeight="1" outlineLevel="1">
      <c r="A432" s="15"/>
      <c r="B432" s="15" t="s">
        <v>855</v>
      </c>
      <c r="C432" s="53" t="str">
        <f>"import glob
files = glob.glob(""/home/draemon_ash3/testdir/*.*"")"</f>
        <v>import glob
files = glob.glob("/home/draemon_ash3/testdir/*.*")</v>
      </c>
      <c r="D432" s="47" t="s">
        <v>2122</v>
      </c>
      <c r="E432" s="47" t="s">
        <v>2122</v>
      </c>
      <c r="F432" s="17" t="s">
        <v>2122</v>
      </c>
      <c r="G432" s="17" t="s">
        <v>854</v>
      </c>
      <c r="I432">
        <f t="shared" ca="1" si="70"/>
        <v>764</v>
      </c>
      <c r="J432" t="str">
        <f t="shared" si="96"/>
        <v>フォルダ内ファイルリスト取得</v>
      </c>
    </row>
    <row r="433" spans="1:10" ht="11.25" customHeight="1" outlineLevel="1">
      <c r="A433" s="15"/>
      <c r="B433" s="15" t="s">
        <v>857</v>
      </c>
      <c r="C433" s="53" t="str">
        <f>"import os
# Create object(file or directory) list.
#   arg2: object_type       object type as follows"&amp;"
#                               0:both, 1:files,
#                               2:directorys, other:none
def create_file_list(root_dir_path, object_type = 0):"&amp;"
    object_list = []
    if not os.path.exists(root_dir_path):
        print(""[error] create_file_list() root_dir_path does not exist."")
        return object_list"&amp;"
    for root, dirs, files in os.walk(root_dir_path):
        if object_type == 0 or object_type == 2:
            if not root == root_dir_path:
                path = root"&amp;"
                object_list.append(path)
        if object_type == 0 or object_type == 1:
            for file in files:
                path = os.path.join(root, file)"&amp;"
                object_list.append(path)
    return object_list
create_file_list(trgt_dir_path)
"</f>
        <v xml:space="preserve">import os
# Create object(file or directory) list.
#   arg2: object_type       object type as follows
#                               0:both, 1:files,
#                               2:directorys, other:none
def create_file_list(root_dir_path, object_type = 0):
    object_list = []
    if not os.path.exists(root_dir_path):
        print("[error] create_file_list() root_dir_path does not exist.")
        return object_list
    for root, dirs, files in os.walk(root_dir_path):
        if object_type == 0 or object_type == 2:
            if not root == root_dir_path:
                path = root
                object_list.append(path)
        if object_type == 0 or object_type == 1:
            for file in files:
                path = os.path.join(root, file)
                object_list.append(path)
    return object_list
create_file_list(trgt_dir_path)
</v>
      </c>
      <c r="D433" s="47" t="s">
        <v>2122</v>
      </c>
      <c r="E433" s="47" t="s">
        <v>2122</v>
      </c>
      <c r="F433" s="17" t="s">
        <v>2122</v>
      </c>
      <c r="G433" s="17" t="s">
        <v>122</v>
      </c>
      <c r="I433">
        <f t="shared" ca="1" si="70"/>
        <v>765</v>
      </c>
      <c r="J433" t="str">
        <f t="shared" si="96"/>
        <v>フォルダ配下ファイル/フォルダリスト取得</v>
      </c>
    </row>
    <row r="434" spans="1:10" ht="11.25" customHeight="1" outlineLevel="1">
      <c r="A434" s="15"/>
      <c r="B434" s="15" t="s">
        <v>917</v>
      </c>
      <c r="C434" s="16" t="s">
        <v>918</v>
      </c>
      <c r="D434" s="47" t="s">
        <v>2122</v>
      </c>
      <c r="E434" s="47" t="s">
        <v>2122</v>
      </c>
      <c r="F434" s="17" t="s">
        <v>2122</v>
      </c>
      <c r="G434" s="25" t="s">
        <v>2302</v>
      </c>
      <c r="I434">
        <f t="shared" ca="1" si="70"/>
        <v>766</v>
      </c>
      <c r="J434" t="str">
        <f t="shared" si="96"/>
        <v>メインプログラム実行時にのみ処理実行</v>
      </c>
    </row>
    <row r="435" spans="1:10" ht="11.25" customHeight="1" outlineLevel="1">
      <c r="A435" s="15"/>
      <c r="B435" s="15"/>
      <c r="C435" s="16" t="s">
        <v>2122</v>
      </c>
      <c r="D435" s="47" t="s">
        <v>2122</v>
      </c>
      <c r="E435" s="47" t="s">
        <v>2122</v>
      </c>
      <c r="F435" s="17" t="s">
        <v>2122</v>
      </c>
      <c r="G435" s="17" t="s">
        <v>2122</v>
      </c>
      <c r="I435">
        <f t="shared" ca="1" si="70"/>
        <v>766</v>
      </c>
      <c r="J435" t="str">
        <f t="shared" si="96"/>
        <v/>
      </c>
    </row>
    <row r="436" spans="1:10" ht="11.25" customHeight="1" outlineLevel="1">
      <c r="A436" s="15"/>
      <c r="B436" s="15"/>
      <c r="C436" s="16" t="s">
        <v>2122</v>
      </c>
      <c r="D436" s="47" t="s">
        <v>2122</v>
      </c>
      <c r="E436" s="47" t="s">
        <v>2122</v>
      </c>
      <c r="F436" s="17" t="s">
        <v>2122</v>
      </c>
      <c r="G436" s="17" t="s">
        <v>2122</v>
      </c>
      <c r="I436">
        <f t="shared" ca="1" si="70"/>
        <v>766</v>
      </c>
      <c r="J436" t="str">
        <f t="shared" si="96"/>
        <v/>
      </c>
    </row>
    <row r="437" spans="1:10" ht="11.25" customHeight="1" outlineLevel="1">
      <c r="A437" s="15"/>
      <c r="B437" s="15"/>
      <c r="C437" s="16" t="s">
        <v>2122</v>
      </c>
      <c r="D437" s="47" t="s">
        <v>2122</v>
      </c>
      <c r="E437" s="47" t="s">
        <v>2122</v>
      </c>
      <c r="F437" s="17" t="s">
        <v>2122</v>
      </c>
      <c r="G437" s="17" t="s">
        <v>2122</v>
      </c>
      <c r="I437">
        <f t="shared" ca="1" si="70"/>
        <v>766</v>
      </c>
      <c r="J437" t="str">
        <f t="shared" si="96"/>
        <v/>
      </c>
    </row>
    <row r="438" spans="1:10" ht="11.25" customHeight="1" outlineLevel="1">
      <c r="A438" s="15"/>
      <c r="B438" s="15"/>
      <c r="C438" s="16" t="s">
        <v>2122</v>
      </c>
      <c r="D438" s="47" t="s">
        <v>2122</v>
      </c>
      <c r="E438" s="47" t="s">
        <v>2122</v>
      </c>
      <c r="F438" s="17" t="s">
        <v>2122</v>
      </c>
      <c r="G438" s="17" t="s">
        <v>2122</v>
      </c>
      <c r="I438">
        <f t="shared" ca="1" si="70"/>
        <v>766</v>
      </c>
      <c r="J438" t="str">
        <f t="shared" si="96"/>
        <v/>
      </c>
    </row>
    <row r="439" spans="1:10" ht="11.25" customHeight="1" outlineLevel="1">
      <c r="A439" s="15"/>
      <c r="B439" s="15"/>
      <c r="C439" s="16" t="s">
        <v>2122</v>
      </c>
      <c r="D439" s="47" t="s">
        <v>2122</v>
      </c>
      <c r="E439" s="47" t="s">
        <v>2122</v>
      </c>
      <c r="F439" s="17" t="s">
        <v>2122</v>
      </c>
      <c r="G439" s="17" t="s">
        <v>2122</v>
      </c>
      <c r="I439">
        <f ca="1">IF(J439="",OFFSET(I439,-1,0),OFFSET(I439,-1,0)+1)</f>
        <v>766</v>
      </c>
      <c r="J439" t="str">
        <f t="shared" si="96"/>
        <v/>
      </c>
    </row>
    <row r="440" spans="1:10" ht="11.25" customHeight="1">
      <c r="A440" t="s">
        <v>122</v>
      </c>
      <c r="B440" t="s">
        <v>122</v>
      </c>
      <c r="I440">
        <f ca="1">IF(J440="",OFFSET(I440,-1,0),OFFSET(I440,-1,0)+1)</f>
        <v>766</v>
      </c>
    </row>
  </sheetData>
  <phoneticPr fontId="4"/>
  <hyperlinks>
    <hyperlink ref="B146" r:id="rId1" display="少数 正数 切り捨て（第一位以下）" xr:uid="{2C13E5AC-A2A8-44F9-9746-ED21080A3EF7}"/>
    <hyperlink ref="B145" r:id="rId2" display="少数 正数 切り捨て（第一位以下）" xr:uid="{E4CE6324-6121-45C3-806A-E5A66484FFF4}"/>
    <hyperlink ref="G170" r:id="rId3" display="エラーの内容はこちら" xr:uid="{5FB60747-DA43-4395-9E35-5D21F15A6548}"/>
    <hyperlink ref="G434" r:id="rId4" xr:uid="{3440E2BD-7F27-4E29-A342-FE80F0E18178}"/>
    <hyperlink ref="G137" r:id="rId5" xr:uid="{B897349F-6E08-423D-9C39-622D0E4562B3}"/>
    <hyperlink ref="B25" r:id="rId6" xr:uid="{0AD4DF23-21F4-465A-BA1E-9A3FE904284F}"/>
    <hyperlink ref="A370" r:id="rId7" location="basename-name-stem" xr:uid="{6970A5C3-E104-4BE5-AA1B-290FF7867BF9}"/>
    <hyperlink ref="B6" r:id="rId8" xr:uid="{61018CAC-A7AD-435A-AA3D-B864A3B18B83}"/>
    <hyperlink ref="B7" r:id="rId9" xr:uid="{0C4FB506-CB96-4C67-A51A-7FA564510F3D}"/>
    <hyperlink ref="B8" r:id="rId10" xr:uid="{0AE3F437-3DF4-46A8-A354-8BB8C5328F60}"/>
    <hyperlink ref="B9" r:id="rId11" xr:uid="{7C679182-7FAE-4064-B8DC-8E906F72B652}"/>
  </hyperlinks>
  <pageMargins left="0.7" right="0.7" top="0.75" bottom="0.75" header="0.3" footer="0.3"/>
  <pageSetup paperSize="9" scale="33" orientation="portrait" r:id="rId12"/>
  <legacy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C15CB-1C64-456D-B739-3705AD56A98C}">
  <sheetPr codeName="Sheet9">
    <outlinePr summaryBelow="0" summaryRight="0"/>
  </sheetPr>
  <dimension ref="A1:H314"/>
  <sheetViews>
    <sheetView showGridLines="0" view="pageBreakPreview" zoomScaleNormal="100" zoomScaleSheetLayoutView="100" workbookViewId="0">
      <pane xSplit="2" ySplit="2" topLeftCell="C123" activePane="bottomRight" state="frozen"/>
      <selection pane="topRight" activeCell="L1" sqref="L1"/>
      <selection pane="bottomLeft" activeCell="A2" sqref="A2"/>
      <selection pane="bottomRight" activeCell="C166" sqref="C166"/>
    </sheetView>
  </sheetViews>
  <sheetFormatPr defaultColWidth="9.33203125" defaultRowHeight="11.25" customHeight="1" outlineLevelRow="1"/>
  <cols>
    <col min="1" max="1" width="3.83203125" customWidth="1"/>
    <col min="2" max="2" width="60.33203125" bestFit="1" customWidth="1"/>
    <col min="3" max="3" width="83.6640625" customWidth="1"/>
    <col min="4" max="4" width="38.6640625" customWidth="1"/>
    <col min="5" max="5" width="72.83203125" customWidth="1"/>
    <col min="8" max="8" width="10" style="11" bestFit="1" customWidth="1"/>
  </cols>
  <sheetData>
    <row r="1" spans="1:8" ht="11.25" customHeight="1">
      <c r="A1" s="4"/>
      <c r="B1" s="4"/>
      <c r="C1" s="6"/>
      <c r="D1" s="6"/>
      <c r="E1" s="6"/>
      <c r="F1" t="s">
        <v>122</v>
      </c>
    </row>
    <row r="2" spans="1:8" ht="22.5">
      <c r="A2" s="7" t="s">
        <v>342</v>
      </c>
      <c r="B2" s="8"/>
      <c r="C2" s="10" t="s">
        <v>125</v>
      </c>
      <c r="D2" s="10" t="s">
        <v>2118</v>
      </c>
      <c r="E2" s="10" t="s">
        <v>126</v>
      </c>
      <c r="F2" t="s">
        <v>122</v>
      </c>
      <c r="G2">
        <f ca="1">MAX('vbs,vba'!G:G)</f>
        <v>354</v>
      </c>
    </row>
    <row r="3" spans="1:8" ht="11.25" customHeight="1">
      <c r="A3" s="12" t="s">
        <v>354</v>
      </c>
      <c r="B3" s="13"/>
      <c r="C3" s="13"/>
      <c r="D3" s="14"/>
      <c r="E3" s="14"/>
      <c r="F3" t="s">
        <v>122</v>
      </c>
      <c r="G3">
        <f t="shared" ref="G3:G65" ca="1" si="0">IF(H3="",OFFSET(G3,-1,0),OFFSET(G3,-1,0)+1)</f>
        <v>354</v>
      </c>
      <c r="H3" t="str">
        <f t="shared" ref="H3:H66" si="1">IF(B3="","",B3)</f>
        <v/>
      </c>
    </row>
    <row r="4" spans="1:8" ht="11.25" customHeight="1" outlineLevel="1">
      <c r="A4" s="15"/>
      <c r="B4" s="15" t="s">
        <v>817</v>
      </c>
      <c r="C4" s="16" t="s">
        <v>3201</v>
      </c>
      <c r="D4" s="17" t="s">
        <v>122</v>
      </c>
      <c r="E4" s="17" t="s">
        <v>122</v>
      </c>
      <c r="F4" t="s">
        <v>122</v>
      </c>
      <c r="G4">
        <f t="shared" ca="1" si="0"/>
        <v>355</v>
      </c>
      <c r="H4" t="str">
        <f t="shared" si="1"/>
        <v>変数定義</v>
      </c>
    </row>
    <row r="5" spans="1:8" ht="11.25" customHeight="1" outlineLevel="1">
      <c r="A5" s="15"/>
      <c r="B5" s="18" t="s">
        <v>3193</v>
      </c>
      <c r="C5" s="26"/>
      <c r="D5" s="17" t="s">
        <v>122</v>
      </c>
      <c r="E5" s="17" t="s">
        <v>122</v>
      </c>
      <c r="F5" t="s">
        <v>122</v>
      </c>
      <c r="G5">
        <f t="shared" ca="1" si="0"/>
        <v>356</v>
      </c>
      <c r="H5" t="str">
        <f t="shared" si="1"/>
        <v>変数定義（リスト）</v>
      </c>
    </row>
    <row r="6" spans="1:8" ht="11.25" customHeight="1" outlineLevel="1">
      <c r="A6" s="15"/>
      <c r="B6" s="18" t="s">
        <v>3196</v>
      </c>
      <c r="C6" s="26"/>
      <c r="D6" s="17" t="s">
        <v>122</v>
      </c>
      <c r="E6" s="17" t="s">
        <v>122</v>
      </c>
      <c r="F6" t="s">
        <v>122</v>
      </c>
      <c r="G6">
        <f t="shared" ca="1" si="0"/>
        <v>357</v>
      </c>
      <c r="H6" t="str">
        <f t="shared" si="1"/>
        <v>変数定義（タプル）</v>
      </c>
    </row>
    <row r="7" spans="1:8" ht="11.25" customHeight="1" outlineLevel="1">
      <c r="A7" s="15"/>
      <c r="B7" s="18" t="s">
        <v>3194</v>
      </c>
      <c r="C7" s="26"/>
      <c r="D7" s="17" t="s">
        <v>122</v>
      </c>
      <c r="E7" s="17" t="s">
        <v>122</v>
      </c>
      <c r="F7" t="s">
        <v>122</v>
      </c>
      <c r="G7">
        <f t="shared" ca="1" si="0"/>
        <v>358</v>
      </c>
      <c r="H7" t="str">
        <f t="shared" si="1"/>
        <v>変数定義（辞書）</v>
      </c>
    </row>
    <row r="8" spans="1:8" ht="11.25" customHeight="1" outlineLevel="1">
      <c r="A8" s="15"/>
      <c r="B8" s="18" t="s">
        <v>3195</v>
      </c>
      <c r="C8" s="26"/>
      <c r="D8" s="17" t="s">
        <v>122</v>
      </c>
      <c r="E8" s="17" t="s">
        <v>122</v>
      </c>
      <c r="F8" t="s">
        <v>122</v>
      </c>
      <c r="G8">
        <f t="shared" ca="1" si="0"/>
        <v>359</v>
      </c>
      <c r="H8" t="str">
        <f t="shared" si="1"/>
        <v>変数定義（集合）</v>
      </c>
    </row>
    <row r="9" spans="1:8" ht="11.25" customHeight="1" outlineLevel="1">
      <c r="A9" s="15"/>
      <c r="B9" s="15" t="s">
        <v>5</v>
      </c>
      <c r="C9" s="26"/>
      <c r="D9" s="17" t="s">
        <v>122</v>
      </c>
      <c r="E9" s="17" t="s">
        <v>122</v>
      </c>
      <c r="F9" t="s">
        <v>122</v>
      </c>
      <c r="G9">
        <f t="shared" ca="1" si="0"/>
        <v>360</v>
      </c>
      <c r="H9" t="str">
        <f t="shared" si="1"/>
        <v>配列定義</v>
      </c>
    </row>
    <row r="10" spans="1:8" ht="11.25" customHeight="1" outlineLevel="1">
      <c r="A10" s="15"/>
      <c r="B10" s="15" t="s">
        <v>6</v>
      </c>
      <c r="C10" s="26"/>
      <c r="D10" s="17" t="s">
        <v>122</v>
      </c>
      <c r="E10" s="17" t="s">
        <v>122</v>
      </c>
      <c r="F10" t="s">
        <v>122</v>
      </c>
      <c r="G10">
        <f t="shared" ca="1" si="0"/>
        <v>361</v>
      </c>
      <c r="H10" t="str">
        <f t="shared" si="1"/>
        <v>定数定義</v>
      </c>
    </row>
    <row r="11" spans="1:8" ht="11.25" customHeight="1" outlineLevel="1">
      <c r="A11" s="15"/>
      <c r="B11" s="15" t="s">
        <v>140</v>
      </c>
      <c r="C11" s="26"/>
      <c r="D11" s="17" t="s">
        <v>122</v>
      </c>
      <c r="E11" s="17" t="s">
        <v>122</v>
      </c>
      <c r="F11" t="s">
        <v>122</v>
      </c>
      <c r="G11">
        <f t="shared" ca="1" si="0"/>
        <v>362</v>
      </c>
      <c r="H11" t="str">
        <f t="shared" si="1"/>
        <v>構造体定義</v>
      </c>
    </row>
    <row r="12" spans="1:8" ht="11.25" customHeight="1" outlineLevel="1">
      <c r="A12" s="15"/>
      <c r="B12" s="15" t="s">
        <v>142</v>
      </c>
      <c r="C12" s="26"/>
      <c r="D12" s="16" t="s">
        <v>122</v>
      </c>
      <c r="E12" s="16" t="s">
        <v>122</v>
      </c>
      <c r="F12" t="s">
        <v>122</v>
      </c>
      <c r="G12">
        <f t="shared" ca="1" si="0"/>
        <v>363</v>
      </c>
      <c r="H12" t="str">
        <f t="shared" si="1"/>
        <v>列挙型定義</v>
      </c>
    </row>
    <row r="13" spans="1:8" ht="11.25" customHeight="1" outlineLevel="1">
      <c r="A13" s="15"/>
      <c r="B13" s="15" t="s">
        <v>141</v>
      </c>
      <c r="C13" s="26"/>
      <c r="D13" s="17" t="s">
        <v>122</v>
      </c>
      <c r="E13" s="17" t="s">
        <v>122</v>
      </c>
      <c r="F13" t="s">
        <v>122</v>
      </c>
      <c r="G13">
        <f t="shared" ca="1" si="0"/>
        <v>364</v>
      </c>
      <c r="H13" t="str">
        <f t="shared" si="1"/>
        <v>マクロ定義</v>
      </c>
    </row>
    <row r="14" spans="1:8" ht="11.25" customHeight="1" outlineLevel="1">
      <c r="A14" s="15"/>
      <c r="B14" s="15" t="s">
        <v>7</v>
      </c>
      <c r="C14" s="24" t="str">
        <f>"int Func01(void) {
    return 1;
}"</f>
        <v>int Func01(void) {
    return 1;
}</v>
      </c>
      <c r="D14" s="17" t="s">
        <v>122</v>
      </c>
      <c r="E14" s="17" t="s">
        <v>122</v>
      </c>
      <c r="F14" t="s">
        <v>122</v>
      </c>
      <c r="G14">
        <f t="shared" ca="1" si="0"/>
        <v>365</v>
      </c>
      <c r="H14" t="str">
        <f t="shared" si="1"/>
        <v>関数定義</v>
      </c>
    </row>
    <row r="15" spans="1:8" ht="11.25" customHeight="1" outlineLevel="1">
      <c r="A15" s="15"/>
      <c r="B15" s="15" t="s">
        <v>8</v>
      </c>
      <c r="C15" s="16" t="s">
        <v>3217</v>
      </c>
      <c r="D15" s="17" t="s">
        <v>122</v>
      </c>
      <c r="E15" s="17" t="s">
        <v>122</v>
      </c>
      <c r="F15" t="s">
        <v>122</v>
      </c>
      <c r="G15">
        <f t="shared" ca="1" si="0"/>
        <v>366</v>
      </c>
      <c r="H15" t="str">
        <f t="shared" si="1"/>
        <v>関数呼出</v>
      </c>
    </row>
    <row r="16" spans="1:8" ht="11.25" customHeight="1" outlineLevel="1">
      <c r="A16" s="15"/>
      <c r="B16" s="15" t="s">
        <v>15</v>
      </c>
      <c r="C16" s="16" t="s">
        <v>3216</v>
      </c>
      <c r="D16" s="17" t="s">
        <v>122</v>
      </c>
      <c r="E16" s="17" t="s">
        <v>122</v>
      </c>
      <c r="F16" t="s">
        <v>122</v>
      </c>
      <c r="G16">
        <f t="shared" ca="1" si="0"/>
        <v>367</v>
      </c>
      <c r="H16" t="str">
        <f t="shared" si="1"/>
        <v>コメント</v>
      </c>
    </row>
    <row r="17" spans="1:8" ht="11.25" customHeight="1" outlineLevel="1">
      <c r="A17" s="15"/>
      <c r="B17" s="15" t="s">
        <v>15</v>
      </c>
      <c r="C17" s="16" t="s">
        <v>3215</v>
      </c>
      <c r="D17" s="17" t="s">
        <v>122</v>
      </c>
      <c r="E17" s="17" t="s">
        <v>122</v>
      </c>
      <c r="F17" t="s">
        <v>122</v>
      </c>
      <c r="G17">
        <f t="shared" ref="G17" ca="1" si="2">IF(H17="",OFFSET(G17,-1,0),OFFSET(G17,-1,0)+1)</f>
        <v>368</v>
      </c>
      <c r="H17" t="str">
        <f t="shared" si="1"/>
        <v>コメント</v>
      </c>
    </row>
    <row r="18" spans="1:8" ht="11.25" customHeight="1" outlineLevel="1">
      <c r="A18" s="15"/>
      <c r="B18" s="31" t="s">
        <v>2294</v>
      </c>
      <c r="C18" s="16"/>
      <c r="D18" s="17" t="s">
        <v>122</v>
      </c>
      <c r="E18" s="17" t="s">
        <v>122</v>
      </c>
      <c r="F18" t="s">
        <v>122</v>
      </c>
      <c r="G18">
        <f ca="1">IF(H18="",OFFSET(G18,-1,0),OFFSET(G18,-1,0)+1)</f>
        <v>369</v>
      </c>
      <c r="H18" t="str">
        <f t="shared" si="1"/>
        <v>文中の改行</v>
      </c>
    </row>
    <row r="19" spans="1:8" ht="11.25" customHeight="1" outlineLevel="1">
      <c r="A19" s="15"/>
      <c r="B19" s="31" t="s">
        <v>368</v>
      </c>
      <c r="C19" s="16" t="str">
        <f>"if (x == 5) {
    ...
} else if (x == 6) {
    ...
} else {
    ...
}"</f>
        <v>if (x == 5) {
    ...
} else if (x == 6) {
    ...
} else {
    ...
}</v>
      </c>
      <c r="D19" s="17" t="s">
        <v>122</v>
      </c>
      <c r="E19" s="17" t="s">
        <v>122</v>
      </c>
      <c r="F19" t="s">
        <v>122</v>
      </c>
      <c r="G19">
        <f t="shared" ca="1" si="0"/>
        <v>370</v>
      </c>
      <c r="H19" t="str">
        <f t="shared" si="1"/>
        <v>分岐 if</v>
      </c>
    </row>
    <row r="20" spans="1:8" ht="11.25" customHeight="1" outlineLevel="1">
      <c r="A20" s="15"/>
      <c r="B20" s="91" t="s">
        <v>370</v>
      </c>
      <c r="C20" s="16" t="str">
        <f>"switch (x) {
    case 0:
        // x == 0 のときの処理
        break;
    case 1:
        // x == 1 のときの処理
        break;
    default:
        // x がそれ以外のときの処理
        break;
}"</f>
        <v>switch (x) {
    case 0:
        // x == 0 のときの処理
        break;
    case 1:
        // x == 1 のときの処理
        break;
    default:
        // x がそれ以外のときの処理
        break;
}</v>
      </c>
      <c r="D20" s="17" t="s">
        <v>122</v>
      </c>
      <c r="E20" s="17" t="s">
        <v>122</v>
      </c>
      <c r="F20" t="s">
        <v>122</v>
      </c>
      <c r="G20">
        <f t="shared" ca="1" si="0"/>
        <v>371</v>
      </c>
      <c r="H20" t="str">
        <f t="shared" si="1"/>
        <v>分岐 switch</v>
      </c>
    </row>
    <row r="21" spans="1:8" ht="11.25" customHeight="1" outlineLevel="1">
      <c r="A21" s="15"/>
      <c r="B21" s="31" t="s">
        <v>371</v>
      </c>
      <c r="C21" s="16" t="str">
        <f>"for (int i = 0; i &lt; 10; ++i) {
    ...
}"</f>
        <v>for (int i = 0; i &lt; 10; ++i) {
    ...
}</v>
      </c>
      <c r="D21" s="17" t="s">
        <v>122</v>
      </c>
      <c r="E21" s="17" t="s">
        <v>122</v>
      </c>
      <c r="F21" t="s">
        <v>122</v>
      </c>
      <c r="G21">
        <f t="shared" ca="1" si="0"/>
        <v>372</v>
      </c>
      <c r="H21" t="str">
        <f t="shared" si="1"/>
        <v>繰返し for</v>
      </c>
    </row>
    <row r="22" spans="1:8" ht="11.25" customHeight="1" outlineLevel="1">
      <c r="A22" s="15"/>
      <c r="B22" s="31" t="s">
        <v>372</v>
      </c>
      <c r="C22" s="16" t="str">
        <f>"for (const auto &amp; space : spaces) {
    ...
}"</f>
        <v>for (const auto &amp; space : spaces) {
    ...
}</v>
      </c>
      <c r="D22" s="17" t="s">
        <v>122</v>
      </c>
      <c r="E22" s="17" t="s">
        <v>122</v>
      </c>
      <c r="F22" t="s">
        <v>122</v>
      </c>
      <c r="G22">
        <f t="shared" ca="1" si="0"/>
        <v>373</v>
      </c>
      <c r="H22" t="str">
        <f t="shared" si="1"/>
        <v>繰返し for each</v>
      </c>
    </row>
    <row r="23" spans="1:8" ht="11.25" customHeight="1" outlineLevel="1">
      <c r="A23" s="15"/>
      <c r="B23" s="31" t="s">
        <v>373</v>
      </c>
      <c r="C23" s="16" t="str">
        <f>"while (!done) {
    ...
}"</f>
        <v>while (!done) {
    ...
}</v>
      </c>
      <c r="D23" s="17" t="s">
        <v>122</v>
      </c>
      <c r="E23" s="17" t="s">
        <v>122</v>
      </c>
      <c r="F23" t="s">
        <v>122</v>
      </c>
      <c r="G23">
        <f t="shared" ca="1" si="0"/>
        <v>374</v>
      </c>
      <c r="H23" t="str">
        <f t="shared" si="1"/>
        <v>繰返し while</v>
      </c>
    </row>
    <row r="24" spans="1:8" ht="11.25" customHeight="1" outlineLevel="1">
      <c r="A24" s="15"/>
      <c r="B24" s="31" t="s">
        <v>374</v>
      </c>
      <c r="C24" s="16" t="str">
        <f>"do {
    ...
} while (!done);"</f>
        <v>do {
    ...
} while (!done);</v>
      </c>
      <c r="D24" s="17" t="s">
        <v>122</v>
      </c>
      <c r="E24" s="17" t="s">
        <v>122</v>
      </c>
      <c r="F24" t="s">
        <v>122</v>
      </c>
      <c r="G24">
        <f t="shared" ca="1" si="0"/>
        <v>375</v>
      </c>
      <c r="H24" t="str">
        <f t="shared" si="1"/>
        <v>繰返し do while</v>
      </c>
    </row>
    <row r="25" spans="1:8" ht="11.25" customHeight="1" outlineLevel="1">
      <c r="A25" s="15"/>
      <c r="B25" s="31" t="s">
        <v>818</v>
      </c>
      <c r="C25" s="16" t="s">
        <v>3204</v>
      </c>
      <c r="D25" s="17" t="s">
        <v>122</v>
      </c>
      <c r="E25" s="17" t="s">
        <v>122</v>
      </c>
      <c r="F25" t="s">
        <v>122</v>
      </c>
      <c r="G25">
        <f t="shared" ca="1" si="0"/>
        <v>376</v>
      </c>
      <c r="H25" t="str">
        <f t="shared" si="1"/>
        <v>繰返し continue</v>
      </c>
    </row>
    <row r="26" spans="1:8" ht="11.25" customHeight="1" outlineLevel="1">
      <c r="A26" s="15"/>
      <c r="B26" s="31" t="s">
        <v>886</v>
      </c>
      <c r="C26" s="26"/>
      <c r="D26" s="17" t="s">
        <v>122</v>
      </c>
      <c r="E26" s="17" t="s">
        <v>122</v>
      </c>
      <c r="F26" t="s">
        <v>122</v>
      </c>
      <c r="G26">
        <f t="shared" ca="1" si="0"/>
        <v>377</v>
      </c>
      <c r="H26" t="str">
        <f t="shared" si="1"/>
        <v>入力（数値入力のみ）</v>
      </c>
    </row>
    <row r="27" spans="1:8" ht="11.25" customHeight="1" outlineLevel="1">
      <c r="A27" s="15"/>
      <c r="B27" s="31" t="s">
        <v>891</v>
      </c>
      <c r="C27" s="26"/>
      <c r="D27" s="17" t="s">
        <v>122</v>
      </c>
      <c r="E27" s="17" t="s">
        <v>122</v>
      </c>
      <c r="F27" t="s">
        <v>122</v>
      </c>
      <c r="G27">
        <f t="shared" ca="1" si="0"/>
        <v>378</v>
      </c>
      <c r="H27" t="str">
        <f t="shared" si="1"/>
        <v>入力（数値/文字列入力）</v>
      </c>
    </row>
    <row r="28" spans="1:8" ht="11.25" customHeight="1" outlineLevel="1">
      <c r="A28" s="15"/>
      <c r="B28" s="31" t="s">
        <v>2082</v>
      </c>
      <c r="C28" s="16" t="s">
        <v>3202</v>
      </c>
      <c r="D28" s="17" t="s">
        <v>122</v>
      </c>
      <c r="E28" s="17" t="s">
        <v>122</v>
      </c>
      <c r="F28" t="s">
        <v>122</v>
      </c>
      <c r="G28">
        <f t="shared" ca="1" si="0"/>
        <v>379</v>
      </c>
      <c r="H28" t="str">
        <f t="shared" si="1"/>
        <v>出力（改行付与）</v>
      </c>
    </row>
    <row r="29" spans="1:8" ht="11.25" customHeight="1" outlineLevel="1">
      <c r="A29" s="15"/>
      <c r="B29" s="31" t="s">
        <v>2081</v>
      </c>
      <c r="C29" s="16" t="s">
        <v>3203</v>
      </c>
      <c r="D29" s="17" t="s">
        <v>122</v>
      </c>
      <c r="E29" s="17" t="s">
        <v>122</v>
      </c>
      <c r="F29" t="s">
        <v>122</v>
      </c>
      <c r="G29">
        <f ca="1">IF(H29="",OFFSET(G29,-1,0),OFFSET(G29,-1,0)+1)</f>
        <v>380</v>
      </c>
      <c r="H29" t="str">
        <f t="shared" si="1"/>
        <v>出力（改行付与なし）</v>
      </c>
    </row>
    <row r="30" spans="1:8" ht="11.25" customHeight="1" outlineLevel="1">
      <c r="A30" s="15"/>
      <c r="B30" s="31" t="s">
        <v>2084</v>
      </c>
      <c r="C30" s="26"/>
      <c r="D30" s="17" t="s">
        <v>122</v>
      </c>
      <c r="E30" s="17" t="s">
        <v>122</v>
      </c>
      <c r="F30" t="s">
        <v>122</v>
      </c>
      <c r="G30">
        <f t="shared" ca="1" si="0"/>
        <v>381</v>
      </c>
      <c r="H30" t="str">
        <f t="shared" si="1"/>
        <v>出力（printf形式）</v>
      </c>
    </row>
    <row r="31" spans="1:8" ht="11.25" customHeight="1" outlineLevel="1">
      <c r="A31" s="15"/>
      <c r="B31" s="31" t="s">
        <v>2185</v>
      </c>
      <c r="C31" s="16"/>
      <c r="D31" s="17" t="s">
        <v>122</v>
      </c>
      <c r="E31" s="17" t="s">
        <v>122</v>
      </c>
      <c r="F31" t="s">
        <v>122</v>
      </c>
      <c r="G31">
        <f ca="1">IF(H31="",OFFSET(G31,-1,0),OFFSET(G31,-1,0)+1)</f>
        <v>382</v>
      </c>
      <c r="H31" t="str">
        <f t="shared" si="1"/>
        <v>クラス 定義</v>
      </c>
    </row>
    <row r="32" spans="1:8" ht="11.25" customHeight="1" outlineLevel="1">
      <c r="A32" s="15"/>
      <c r="B32" s="31" t="s">
        <v>2186</v>
      </c>
      <c r="C32" s="16"/>
      <c r="D32" s="17" t="s">
        <v>122</v>
      </c>
      <c r="E32" s="17" t="s">
        <v>122</v>
      </c>
      <c r="F32" t="s">
        <v>122</v>
      </c>
      <c r="G32">
        <f t="shared" ca="1" si="0"/>
        <v>383</v>
      </c>
      <c r="H32" t="str">
        <f t="shared" si="1"/>
        <v>クラス インスタンス生成</v>
      </c>
    </row>
    <row r="33" spans="1:8" ht="11.25" customHeight="1" outlineLevel="1">
      <c r="A33" s="15"/>
      <c r="B33" s="31" t="s">
        <v>2187</v>
      </c>
      <c r="C33" s="16"/>
      <c r="D33" s="17" t="s">
        <v>122</v>
      </c>
      <c r="E33" s="17" t="s">
        <v>122</v>
      </c>
      <c r="F33" t="s">
        <v>122</v>
      </c>
      <c r="G33">
        <f t="shared" ca="1" si="0"/>
        <v>384</v>
      </c>
      <c r="H33" t="str">
        <f t="shared" si="1"/>
        <v>クラス インスタンス破棄</v>
      </c>
    </row>
    <row r="34" spans="1:8" ht="11.25" customHeight="1" outlineLevel="1">
      <c r="A34" s="15"/>
      <c r="B34" s="31" t="s">
        <v>745</v>
      </c>
      <c r="C34" s="16" t="s">
        <v>3212</v>
      </c>
      <c r="D34" s="17" t="s">
        <v>122</v>
      </c>
      <c r="E34" s="17" t="s">
        <v>122</v>
      </c>
      <c r="F34" t="s">
        <v>122</v>
      </c>
      <c r="G34">
        <f t="shared" ca="1" si="0"/>
        <v>385</v>
      </c>
      <c r="H34" t="str">
        <f t="shared" si="1"/>
        <v>条件式 and</v>
      </c>
    </row>
    <row r="35" spans="1:8" ht="11.25" customHeight="1" outlineLevel="1">
      <c r="A35" s="15"/>
      <c r="B35" s="31" t="s">
        <v>746</v>
      </c>
      <c r="C35" s="16" t="s">
        <v>3213</v>
      </c>
      <c r="D35" s="17" t="s">
        <v>122</v>
      </c>
      <c r="E35" s="17" t="s">
        <v>122</v>
      </c>
      <c r="F35" t="s">
        <v>122</v>
      </c>
      <c r="G35">
        <f t="shared" ca="1" si="0"/>
        <v>386</v>
      </c>
      <c r="H35" t="str">
        <f t="shared" si="1"/>
        <v>条件式 or</v>
      </c>
    </row>
    <row r="36" spans="1:8" ht="11.25" customHeight="1" outlineLevel="1">
      <c r="A36" s="15"/>
      <c r="B36" s="15" t="s">
        <v>747</v>
      </c>
      <c r="C36" s="16" t="s">
        <v>3214</v>
      </c>
      <c r="D36" s="17" t="s">
        <v>122</v>
      </c>
      <c r="E36" s="17" t="s">
        <v>122</v>
      </c>
      <c r="F36" t="s">
        <v>122</v>
      </c>
      <c r="G36">
        <f t="shared" ca="1" si="0"/>
        <v>387</v>
      </c>
      <c r="H36" t="str">
        <f t="shared" si="1"/>
        <v>条件式 not</v>
      </c>
    </row>
    <row r="37" spans="1:8" ht="11.25" customHeight="1" outlineLevel="1">
      <c r="A37" s="15"/>
      <c r="B37" s="31" t="s">
        <v>748</v>
      </c>
      <c r="C37" s="16" t="s">
        <v>3205</v>
      </c>
      <c r="D37" s="17" t="s">
        <v>122</v>
      </c>
      <c r="E37" s="17" t="s">
        <v>122</v>
      </c>
      <c r="F37" t="s">
        <v>122</v>
      </c>
      <c r="G37">
        <f t="shared" ca="1" si="0"/>
        <v>388</v>
      </c>
      <c r="H37" t="str">
        <f t="shared" si="1"/>
        <v>四則演算（加算）</v>
      </c>
    </row>
    <row r="38" spans="1:8" ht="11.25" customHeight="1" outlineLevel="1">
      <c r="A38" s="15"/>
      <c r="B38" s="31" t="s">
        <v>750</v>
      </c>
      <c r="C38" s="20" t="s">
        <v>3206</v>
      </c>
      <c r="D38" s="17" t="s">
        <v>122</v>
      </c>
      <c r="E38" s="17" t="s">
        <v>122</v>
      </c>
      <c r="F38" t="s">
        <v>122</v>
      </c>
      <c r="G38">
        <f t="shared" ca="1" si="0"/>
        <v>389</v>
      </c>
      <c r="H38" t="str">
        <f t="shared" si="1"/>
        <v>四則演算（減算）</v>
      </c>
    </row>
    <row r="39" spans="1:8" ht="11.25" customHeight="1" outlineLevel="1">
      <c r="A39" s="15"/>
      <c r="B39" s="15" t="s">
        <v>751</v>
      </c>
      <c r="C39" s="16" t="s">
        <v>3207</v>
      </c>
      <c r="D39" s="17" t="s">
        <v>122</v>
      </c>
      <c r="E39" s="17" t="s">
        <v>122</v>
      </c>
      <c r="F39" t="s">
        <v>122</v>
      </c>
      <c r="G39">
        <f t="shared" ca="1" si="0"/>
        <v>390</v>
      </c>
      <c r="H39" t="str">
        <f t="shared" si="1"/>
        <v>四則演算（乗算）</v>
      </c>
    </row>
    <row r="40" spans="1:8" ht="11.25" customHeight="1" outlineLevel="1">
      <c r="A40" s="15"/>
      <c r="B40" s="15" t="s">
        <v>752</v>
      </c>
      <c r="C40" s="20" t="s">
        <v>3208</v>
      </c>
      <c r="D40" s="17" t="s">
        <v>122</v>
      </c>
      <c r="E40" s="17" t="s">
        <v>122</v>
      </c>
      <c r="F40" t="s">
        <v>122</v>
      </c>
      <c r="G40">
        <f t="shared" ca="1" si="0"/>
        <v>391</v>
      </c>
      <c r="H40" t="str">
        <f t="shared" si="1"/>
        <v>四則演算（除算）</v>
      </c>
    </row>
    <row r="41" spans="1:8" ht="11.25" customHeight="1" outlineLevel="1">
      <c r="A41" s="15"/>
      <c r="B41" s="15" t="s">
        <v>3190</v>
      </c>
      <c r="C41" s="20" t="s">
        <v>3209</v>
      </c>
      <c r="D41" s="17" t="s">
        <v>122</v>
      </c>
      <c r="E41" s="17" t="s">
        <v>122</v>
      </c>
      <c r="F41" t="s">
        <v>122</v>
      </c>
      <c r="G41">
        <f t="shared" ca="1" si="0"/>
        <v>392</v>
      </c>
      <c r="H41" t="str">
        <f t="shared" si="1"/>
        <v>四則演算（余り計算）</v>
      </c>
    </row>
    <row r="42" spans="1:8" ht="11.25" customHeight="1" outlineLevel="1">
      <c r="A42" s="15"/>
      <c r="B42" s="15" t="s">
        <v>3191</v>
      </c>
      <c r="C42" s="98"/>
      <c r="D42" s="40" t="s">
        <v>122</v>
      </c>
      <c r="E42" s="17" t="s">
        <v>122</v>
      </c>
      <c r="F42" t="s">
        <v>122</v>
      </c>
      <c r="G42">
        <f t="shared" ca="1" si="0"/>
        <v>393</v>
      </c>
      <c r="H42" t="str">
        <f t="shared" si="1"/>
        <v>四則演算（a の b 乗）</v>
      </c>
    </row>
    <row r="43" spans="1:8" ht="11.25" customHeight="1" outlineLevel="1">
      <c r="A43" s="15"/>
      <c r="B43" s="15" t="s">
        <v>753</v>
      </c>
      <c r="C43" s="16" t="s">
        <v>3210</v>
      </c>
      <c r="D43" s="17" t="s">
        <v>122</v>
      </c>
      <c r="E43" s="17" t="s">
        <v>122</v>
      </c>
      <c r="F43" t="s">
        <v>122</v>
      </c>
      <c r="G43">
        <f t="shared" ca="1" si="0"/>
        <v>394</v>
      </c>
      <c r="H43" t="str">
        <f t="shared" si="1"/>
        <v>インクリメント</v>
      </c>
    </row>
    <row r="44" spans="1:8" ht="11.25" customHeight="1" outlineLevel="1">
      <c r="A44" s="15"/>
      <c r="B44" s="15" t="s">
        <v>754</v>
      </c>
      <c r="C44" s="16" t="s">
        <v>3211</v>
      </c>
      <c r="D44" s="17" t="s">
        <v>122</v>
      </c>
      <c r="E44" s="17" t="s">
        <v>122</v>
      </c>
      <c r="F44" t="s">
        <v>122</v>
      </c>
      <c r="G44">
        <f t="shared" ca="1" si="0"/>
        <v>395</v>
      </c>
      <c r="H44" t="str">
        <f t="shared" si="1"/>
        <v>デクリメント</v>
      </c>
    </row>
    <row r="45" spans="1:8" ht="11.25" customHeight="1">
      <c r="A45" s="12" t="s">
        <v>353</v>
      </c>
      <c r="B45" s="13"/>
      <c r="C45" s="13"/>
      <c r="D45" s="14"/>
      <c r="E45" s="14"/>
      <c r="F45" t="s">
        <v>122</v>
      </c>
      <c r="G45">
        <f t="shared" ca="1" si="0"/>
        <v>395</v>
      </c>
      <c r="H45" t="str">
        <f t="shared" si="1"/>
        <v/>
      </c>
    </row>
    <row r="46" spans="1:8" ht="11.25" customHeight="1" outlineLevel="1">
      <c r="A46" s="15"/>
      <c r="B46" s="15" t="s">
        <v>860</v>
      </c>
      <c r="C46" s="26"/>
      <c r="D46" s="17" t="s">
        <v>122</v>
      </c>
      <c r="E46" s="17" t="s">
        <v>122</v>
      </c>
      <c r="F46" t="s">
        <v>122</v>
      </c>
      <c r="G46">
        <f t="shared" ca="1" si="0"/>
        <v>396</v>
      </c>
      <c r="H46" t="str">
        <f t="shared" si="1"/>
        <v>文字列表現(単一行)</v>
      </c>
    </row>
    <row r="47" spans="1:8" ht="11.25" customHeight="1" outlineLevel="1">
      <c r="A47" s="15"/>
      <c r="B47" s="15" t="s">
        <v>859</v>
      </c>
      <c r="C47" s="26"/>
      <c r="D47" s="17" t="s">
        <v>122</v>
      </c>
      <c r="E47" s="17" t="s">
        <v>122</v>
      </c>
      <c r="F47" t="s">
        <v>122</v>
      </c>
      <c r="G47">
        <f t="shared" ca="1" si="0"/>
        <v>397</v>
      </c>
      <c r="H47" t="str">
        <f t="shared" si="1"/>
        <v>文字列表現(複数行)</v>
      </c>
    </row>
    <row r="48" spans="1:8" ht="11.25" customHeight="1" outlineLevel="1">
      <c r="A48" s="15"/>
      <c r="B48" s="15" t="s">
        <v>861</v>
      </c>
      <c r="C48" s="97"/>
      <c r="D48" s="17" t="s">
        <v>122</v>
      </c>
      <c r="E48" s="17" t="s">
        <v>122</v>
      </c>
      <c r="F48" t="s">
        <v>122</v>
      </c>
      <c r="G48">
        <f t="shared" ca="1" si="0"/>
        <v>398</v>
      </c>
      <c r="H48" t="str">
        <f t="shared" si="1"/>
        <v>文字列表現(エスケープ無視)</v>
      </c>
    </row>
    <row r="49" spans="1:8" ht="11.25" customHeight="1" outlineLevel="1">
      <c r="A49" s="15"/>
      <c r="B49" s="15" t="s">
        <v>820</v>
      </c>
      <c r="C49" s="26"/>
      <c r="D49" s="17" t="s">
        <v>122</v>
      </c>
      <c r="E49" s="17" t="s">
        <v>122</v>
      </c>
      <c r="F49" t="s">
        <v>122</v>
      </c>
      <c r="G49">
        <f t="shared" ca="1" si="0"/>
        <v>399</v>
      </c>
      <c r="H49" t="str">
        <f t="shared" si="1"/>
        <v>文字列 置換</v>
      </c>
    </row>
    <row r="50" spans="1:8" ht="11.25" customHeight="1" outlineLevel="1">
      <c r="A50" s="15"/>
      <c r="B50" s="15" t="s">
        <v>863</v>
      </c>
      <c r="C50" s="26"/>
      <c r="D50" s="17" t="s">
        <v>122</v>
      </c>
      <c r="E50" s="17" t="s">
        <v>122</v>
      </c>
      <c r="F50" t="s">
        <v>122</v>
      </c>
      <c r="G50">
        <f t="shared" ca="1" si="0"/>
        <v>400</v>
      </c>
      <c r="H50" t="str">
        <f t="shared" si="1"/>
        <v>文字列 位置検索（前方）</v>
      </c>
    </row>
    <row r="51" spans="1:8" ht="11.25" customHeight="1" outlineLevel="1">
      <c r="A51" s="15"/>
      <c r="B51" s="15" t="s">
        <v>870</v>
      </c>
      <c r="C51" s="26"/>
      <c r="D51" s="17" t="s">
        <v>122</v>
      </c>
      <c r="E51" s="17" t="s">
        <v>122</v>
      </c>
      <c r="F51" t="s">
        <v>122</v>
      </c>
      <c r="G51">
        <f t="shared" ca="1" si="0"/>
        <v>401</v>
      </c>
      <c r="H51" t="str">
        <f t="shared" si="1"/>
        <v>文字列 位置検索（後方）</v>
      </c>
    </row>
    <row r="52" spans="1:8" ht="11.25" customHeight="1" outlineLevel="1">
      <c r="A52" s="15"/>
      <c r="B52" s="15" t="s">
        <v>862</v>
      </c>
      <c r="C52" s="26"/>
      <c r="D52" s="17" t="s">
        <v>122</v>
      </c>
      <c r="E52" s="17" t="s">
        <v>122</v>
      </c>
      <c r="F52" t="s">
        <v>122</v>
      </c>
      <c r="G52">
        <f t="shared" ca="1" si="0"/>
        <v>402</v>
      </c>
      <c r="H52" t="str">
        <f t="shared" si="1"/>
        <v>文字列 検索</v>
      </c>
    </row>
    <row r="53" spans="1:8" ht="11.25" customHeight="1" outlineLevel="1">
      <c r="A53" s="15"/>
      <c r="B53" s="15" t="s">
        <v>65</v>
      </c>
      <c r="C53" s="26"/>
      <c r="D53" s="17" t="s">
        <v>122</v>
      </c>
      <c r="E53" s="17" t="s">
        <v>122</v>
      </c>
      <c r="F53" t="s">
        <v>122</v>
      </c>
      <c r="G53">
        <f t="shared" ca="1" si="0"/>
        <v>403</v>
      </c>
      <c r="H53" t="str">
        <f t="shared" si="1"/>
        <v>文字列 長さ（文字数）</v>
      </c>
    </row>
    <row r="54" spans="1:8" ht="11.25" customHeight="1" outlineLevel="1">
      <c r="A54" s="15"/>
      <c r="B54" s="15" t="s">
        <v>66</v>
      </c>
      <c r="C54" s="26"/>
      <c r="D54" s="17" t="s">
        <v>122</v>
      </c>
      <c r="E54" s="17" t="s">
        <v>122</v>
      </c>
      <c r="F54" t="s">
        <v>122</v>
      </c>
      <c r="G54">
        <f t="shared" ca="1" si="0"/>
        <v>404</v>
      </c>
      <c r="H54" t="str">
        <f t="shared" si="1"/>
        <v>文字列 長さ（バイト数）</v>
      </c>
    </row>
    <row r="55" spans="1:8" ht="11.25" customHeight="1" outlineLevel="1">
      <c r="A55" s="15"/>
      <c r="B55" s="15" t="s">
        <v>899</v>
      </c>
      <c r="C55" s="26"/>
      <c r="D55" s="17" t="s">
        <v>122</v>
      </c>
      <c r="E55" s="17" t="s">
        <v>122</v>
      </c>
      <c r="F55" t="s">
        <v>122</v>
      </c>
      <c r="G55">
        <f t="shared" ca="1" si="0"/>
        <v>405</v>
      </c>
      <c r="H55" t="str">
        <f t="shared" si="1"/>
        <v>文字列 分割</v>
      </c>
    </row>
    <row r="56" spans="1:8" ht="11.25" customHeight="1" outlineLevel="1">
      <c r="A56" s="15"/>
      <c r="B56" s="15" t="s">
        <v>898</v>
      </c>
      <c r="C56" s="26"/>
      <c r="D56" s="17" t="s">
        <v>122</v>
      </c>
      <c r="E56" s="17" t="s">
        <v>122</v>
      </c>
      <c r="F56" t="s">
        <v>122</v>
      </c>
      <c r="G56">
        <f t="shared" ca="1" si="0"/>
        <v>406</v>
      </c>
      <c r="H56" t="str">
        <f t="shared" si="1"/>
        <v>文字列 結合</v>
      </c>
    </row>
    <row r="57" spans="1:8" ht="11.25" customHeight="1" outlineLevel="1">
      <c r="A57" s="15"/>
      <c r="B57" s="15" t="s">
        <v>897</v>
      </c>
      <c r="C57" s="26"/>
      <c r="D57" s="17" t="s">
        <v>122</v>
      </c>
      <c r="E57" s="17" t="s">
        <v>122</v>
      </c>
      <c r="F57" t="s">
        <v>122</v>
      </c>
      <c r="G57">
        <f t="shared" ca="1" si="0"/>
        <v>407</v>
      </c>
      <c r="H57" t="str">
        <f t="shared" si="1"/>
        <v>文字列 抽出</v>
      </c>
    </row>
    <row r="58" spans="1:8" ht="11.25" customHeight="1" outlineLevel="1">
      <c r="A58" s="15"/>
      <c r="B58" s="15" t="s">
        <v>896</v>
      </c>
      <c r="C58" s="26"/>
      <c r="D58" s="17" t="s">
        <v>122</v>
      </c>
      <c r="E58" s="17" t="s">
        <v>122</v>
      </c>
      <c r="F58" t="s">
        <v>122</v>
      </c>
      <c r="G58">
        <f t="shared" ca="1" si="0"/>
        <v>408</v>
      </c>
      <c r="H58" t="str">
        <f t="shared" si="1"/>
        <v>文字列 抽出 左</v>
      </c>
    </row>
    <row r="59" spans="1:8" ht="11.25" customHeight="1" outlineLevel="1">
      <c r="A59" s="15"/>
      <c r="B59" s="15" t="s">
        <v>895</v>
      </c>
      <c r="C59" s="26"/>
      <c r="D59" s="17" t="s">
        <v>122</v>
      </c>
      <c r="E59" s="17" t="s">
        <v>122</v>
      </c>
      <c r="F59" t="s">
        <v>122</v>
      </c>
      <c r="G59">
        <f t="shared" ca="1" si="0"/>
        <v>409</v>
      </c>
      <c r="H59" t="str">
        <f t="shared" si="1"/>
        <v>文字列 抽出 中</v>
      </c>
    </row>
    <row r="60" spans="1:8" ht="11.25" customHeight="1" outlineLevel="1">
      <c r="A60" s="15"/>
      <c r="B60" s="15" t="s">
        <v>894</v>
      </c>
      <c r="C60" s="26"/>
      <c r="D60" s="17" t="s">
        <v>122</v>
      </c>
      <c r="E60" s="17" t="s">
        <v>122</v>
      </c>
      <c r="F60" t="s">
        <v>122</v>
      </c>
      <c r="G60">
        <f t="shared" ca="1" si="0"/>
        <v>410</v>
      </c>
      <c r="H60" t="str">
        <f t="shared" si="1"/>
        <v>文字列 抽出 右</v>
      </c>
    </row>
    <row r="61" spans="1:8" ht="11.25" customHeight="1" outlineLevel="1">
      <c r="A61" s="15"/>
      <c r="B61" s="15" t="s">
        <v>893</v>
      </c>
      <c r="C61" s="26"/>
      <c r="D61" s="17" t="s">
        <v>122</v>
      </c>
      <c r="E61" s="17" t="s">
        <v>122</v>
      </c>
      <c r="F61" t="s">
        <v>122</v>
      </c>
      <c r="G61">
        <f t="shared" ca="1" si="0"/>
        <v>411</v>
      </c>
      <c r="H61" t="str">
        <f t="shared" si="1"/>
        <v>文字列 数値判定</v>
      </c>
    </row>
    <row r="62" spans="1:8" ht="11.25" customHeight="1" outlineLevel="1">
      <c r="A62" s="15"/>
      <c r="B62" s="15" t="s">
        <v>71</v>
      </c>
      <c r="C62" s="26"/>
      <c r="D62" s="17" t="s">
        <v>122</v>
      </c>
      <c r="E62" s="17" t="s">
        <v>122</v>
      </c>
      <c r="F62" t="s">
        <v>122</v>
      </c>
      <c r="G62">
        <f t="shared" ca="1" si="0"/>
        <v>412</v>
      </c>
      <c r="H62" t="str">
        <f t="shared" si="1"/>
        <v>文字列⇒ASCII 変換</v>
      </c>
    </row>
    <row r="63" spans="1:8" ht="11.25" customHeight="1" outlineLevel="1">
      <c r="A63" s="15"/>
      <c r="B63" s="15" t="s">
        <v>73</v>
      </c>
      <c r="C63" s="26"/>
      <c r="D63" s="17" t="s">
        <v>122</v>
      </c>
      <c r="E63" s="17" t="s">
        <v>122</v>
      </c>
      <c r="F63" t="s">
        <v>122</v>
      </c>
      <c r="G63">
        <f t="shared" ca="1" si="0"/>
        <v>413</v>
      </c>
      <c r="H63" t="str">
        <f t="shared" si="1"/>
        <v>ASCII⇒文字列 変換</v>
      </c>
    </row>
    <row r="64" spans="1:8" ht="11.25" customHeight="1" outlineLevel="1">
      <c r="A64" s="15"/>
      <c r="B64" s="15" t="s">
        <v>900</v>
      </c>
      <c r="C64" s="26"/>
      <c r="D64" s="19" t="s">
        <v>122</v>
      </c>
      <c r="E64" s="19" t="s">
        <v>122</v>
      </c>
      <c r="F64" t="s">
        <v>122</v>
      </c>
      <c r="G64">
        <f t="shared" ca="1" si="0"/>
        <v>414</v>
      </c>
      <c r="H64" t="str">
        <f t="shared" si="1"/>
        <v>文字列 繰り返し</v>
      </c>
    </row>
    <row r="65" spans="1:8" ht="11.25" customHeight="1" outlineLevel="1">
      <c r="A65" s="15"/>
      <c r="B65" s="15" t="s">
        <v>823</v>
      </c>
      <c r="C65" s="26"/>
      <c r="D65" s="17" t="s">
        <v>122</v>
      </c>
      <c r="E65" s="17" t="s">
        <v>122</v>
      </c>
      <c r="F65" t="s">
        <v>122</v>
      </c>
      <c r="G65">
        <f t="shared" ca="1" si="0"/>
        <v>415</v>
      </c>
      <c r="H65" t="str">
        <f t="shared" si="1"/>
        <v>文字列 大文字化</v>
      </c>
    </row>
    <row r="66" spans="1:8" ht="11.25" customHeight="1" outlineLevel="1">
      <c r="A66" s="15"/>
      <c r="B66" s="15" t="s">
        <v>822</v>
      </c>
      <c r="C66" s="26"/>
      <c r="D66" s="17" t="s">
        <v>122</v>
      </c>
      <c r="E66" s="17" t="s">
        <v>122</v>
      </c>
      <c r="F66" t="s">
        <v>122</v>
      </c>
      <c r="G66">
        <f t="shared" ref="G66:G129" ca="1" si="3">IF(H66="",OFFSET(G66,-1,0),OFFSET(G66,-1,0)+1)</f>
        <v>416</v>
      </c>
      <c r="H66" t="str">
        <f t="shared" si="1"/>
        <v>文字列 小文字化</v>
      </c>
    </row>
    <row r="67" spans="1:8" ht="11.25" customHeight="1" outlineLevel="1">
      <c r="A67" s="15"/>
      <c r="B67" s="15" t="s">
        <v>821</v>
      </c>
      <c r="C67" s="26"/>
      <c r="D67" s="17" t="s">
        <v>122</v>
      </c>
      <c r="E67" s="17" t="s">
        <v>122</v>
      </c>
      <c r="F67" t="s">
        <v>122</v>
      </c>
      <c r="G67">
        <f t="shared" ca="1" si="3"/>
        <v>417</v>
      </c>
      <c r="H67" t="str">
        <f t="shared" ref="H67:H130" si="4">IF(B67="","",B67)</f>
        <v>文字列 文字埋込</v>
      </c>
    </row>
    <row r="68" spans="1:8" ht="11.25" customHeight="1" outlineLevel="1">
      <c r="A68" s="15"/>
      <c r="B68" s="15" t="s">
        <v>755</v>
      </c>
      <c r="C68" s="26"/>
      <c r="D68" s="17" t="s">
        <v>122</v>
      </c>
      <c r="E68" s="17" t="s">
        <v>122</v>
      </c>
      <c r="F68" t="s">
        <v>122</v>
      </c>
      <c r="G68">
        <f t="shared" ca="1" si="3"/>
        <v>418</v>
      </c>
      <c r="H68" t="str">
        <f t="shared" si="4"/>
        <v>文字列 ０埋込</v>
      </c>
    </row>
    <row r="69" spans="1:8" ht="11.25" customHeight="1" outlineLevel="1">
      <c r="A69" s="15"/>
      <c r="B69" s="15" t="s">
        <v>83</v>
      </c>
      <c r="C69" s="26"/>
      <c r="D69" s="17" t="s">
        <v>122</v>
      </c>
      <c r="E69" s="17" t="s">
        <v>122</v>
      </c>
      <c r="F69" t="s">
        <v>122</v>
      </c>
      <c r="G69">
        <f t="shared" ca="1" si="3"/>
        <v>419</v>
      </c>
      <c r="H69" t="str">
        <f t="shared" si="4"/>
        <v>型取得（値）</v>
      </c>
    </row>
    <row r="70" spans="1:8" ht="11.25" customHeight="1" outlineLevel="1">
      <c r="A70" s="15"/>
      <c r="B70" s="15" t="s">
        <v>82</v>
      </c>
      <c r="C70" s="26"/>
      <c r="D70" s="17" t="s">
        <v>122</v>
      </c>
      <c r="E70" s="17" t="s">
        <v>122</v>
      </c>
      <c r="F70" t="s">
        <v>122</v>
      </c>
      <c r="G70">
        <f t="shared" ca="1" si="3"/>
        <v>420</v>
      </c>
      <c r="H70" t="str">
        <f t="shared" si="4"/>
        <v>型取得（文字列）</v>
      </c>
    </row>
    <row r="71" spans="1:8" ht="11.25" customHeight="1" outlineLevel="1">
      <c r="A71" s="15"/>
      <c r="B71" s="15" t="s">
        <v>84</v>
      </c>
      <c r="C71" s="26"/>
      <c r="D71" s="17" t="s">
        <v>122</v>
      </c>
      <c r="E71" s="17" t="s">
        <v>122</v>
      </c>
      <c r="F71" t="s">
        <v>122</v>
      </c>
      <c r="G71">
        <f t="shared" ca="1" si="3"/>
        <v>421</v>
      </c>
      <c r="H71" t="str">
        <f t="shared" si="4"/>
        <v>10⇒16進数変換</v>
      </c>
    </row>
    <row r="72" spans="1:8" ht="11.25" customHeight="1" outlineLevel="1">
      <c r="A72" s="15"/>
      <c r="B72" s="15" t="s">
        <v>85</v>
      </c>
      <c r="C72" s="26"/>
      <c r="D72" s="17" t="s">
        <v>122</v>
      </c>
      <c r="E72" s="17" t="s">
        <v>122</v>
      </c>
      <c r="F72" t="s">
        <v>122</v>
      </c>
      <c r="G72">
        <f t="shared" ca="1" si="3"/>
        <v>422</v>
      </c>
      <c r="H72" t="str">
        <f t="shared" si="4"/>
        <v>16⇒10進数変換</v>
      </c>
    </row>
    <row r="73" spans="1:8" ht="11.25" customHeight="1" outlineLevel="1">
      <c r="A73" s="15"/>
      <c r="B73" s="15" t="s">
        <v>2198</v>
      </c>
      <c r="C73" s="26"/>
      <c r="D73" s="17" t="s">
        <v>122</v>
      </c>
      <c r="E73" s="17" t="s">
        <v>122</v>
      </c>
      <c r="F73" t="s">
        <v>122</v>
      </c>
      <c r="G73">
        <f t="shared" ca="1" si="3"/>
        <v>423</v>
      </c>
      <c r="H73" t="str">
        <f t="shared" si="4"/>
        <v>数値リテラル(16進数)</v>
      </c>
    </row>
    <row r="74" spans="1:8" ht="11.25" customHeight="1" outlineLevel="1">
      <c r="A74" s="15"/>
      <c r="B74" s="15" t="s">
        <v>2199</v>
      </c>
      <c r="C74" s="26"/>
      <c r="D74" s="17" t="s">
        <v>122</v>
      </c>
      <c r="E74" s="17" t="s">
        <v>122</v>
      </c>
      <c r="F74" t="s">
        <v>122</v>
      </c>
      <c r="G74">
        <f t="shared" ca="1" si="3"/>
        <v>424</v>
      </c>
      <c r="H74" t="str">
        <f t="shared" si="4"/>
        <v>数値リテラル(2進数)</v>
      </c>
    </row>
    <row r="75" spans="1:8" ht="11.25" customHeight="1" outlineLevel="1">
      <c r="A75" s="15"/>
      <c r="B75" s="15" t="s">
        <v>88</v>
      </c>
      <c r="C75" s="26"/>
      <c r="D75" s="17" t="s">
        <v>122</v>
      </c>
      <c r="E75" s="17" t="s">
        <v>122</v>
      </c>
      <c r="F75" t="s">
        <v>122</v>
      </c>
      <c r="G75">
        <f t="shared" ca="1" si="3"/>
        <v>425</v>
      </c>
      <c r="H75" t="str">
        <f t="shared" si="4"/>
        <v>数値⇒文字列 変換</v>
      </c>
    </row>
    <row r="76" spans="1:8" ht="11.25" customHeight="1" outlineLevel="1">
      <c r="A76" s="15"/>
      <c r="B76" s="15" t="s">
        <v>824</v>
      </c>
      <c r="C76" s="26"/>
      <c r="D76" s="17" t="s">
        <v>122</v>
      </c>
      <c r="E76" s="17" t="s">
        <v>122</v>
      </c>
      <c r="F76" t="s">
        <v>122</v>
      </c>
      <c r="G76">
        <f t="shared" ca="1" si="3"/>
        <v>426</v>
      </c>
      <c r="H76" t="str">
        <f t="shared" si="4"/>
        <v>文字列⇒数値 変換</v>
      </c>
    </row>
    <row r="77" spans="1:8" ht="11.25" customHeight="1" outlineLevel="1">
      <c r="A77" s="15"/>
      <c r="B77" s="15" t="s">
        <v>91</v>
      </c>
      <c r="C77" s="98"/>
      <c r="D77" s="17" t="s">
        <v>122</v>
      </c>
      <c r="E77" s="17" t="s">
        <v>122</v>
      </c>
      <c r="F77" t="s">
        <v>122</v>
      </c>
      <c r="G77">
        <f t="shared" ca="1" si="3"/>
        <v>427</v>
      </c>
      <c r="H77" t="str">
        <f t="shared" si="4"/>
        <v>改行</v>
      </c>
    </row>
    <row r="78" spans="1:8" ht="11.25" customHeight="1" outlineLevel="1">
      <c r="A78" s="15"/>
      <c r="B78" s="15" t="s">
        <v>2109</v>
      </c>
      <c r="C78" s="26"/>
      <c r="D78" s="17" t="s">
        <v>122</v>
      </c>
      <c r="E78" s="17" t="s">
        <v>122</v>
      </c>
      <c r="F78" t="s">
        <v>122</v>
      </c>
      <c r="G78">
        <f t="shared" ca="1" si="3"/>
        <v>428</v>
      </c>
      <c r="H78" t="str">
        <f t="shared" si="4"/>
        <v>import math</v>
      </c>
    </row>
    <row r="79" spans="1:8" ht="11.25" customHeight="1" outlineLevel="1">
      <c r="A79" s="15"/>
      <c r="B79" s="15" t="s">
        <v>2306</v>
      </c>
      <c r="C79" s="26"/>
      <c r="D79" s="17" t="s">
        <v>122</v>
      </c>
      <c r="E79" s="54" t="s">
        <v>122</v>
      </c>
      <c r="F79" t="s">
        <v>122</v>
      </c>
      <c r="G79">
        <f t="shared" ca="1" si="3"/>
        <v>429</v>
      </c>
      <c r="H79" t="str">
        <f t="shared" si="4"/>
        <v>少数 四捨五入用関数定義</v>
      </c>
    </row>
    <row r="80" spans="1:8" ht="11.25" customHeight="1" outlineLevel="1">
      <c r="A80" s="15"/>
      <c r="B80" s="15" t="s">
        <v>2110</v>
      </c>
      <c r="C80" s="26"/>
      <c r="D80" s="17" t="s">
        <v>122</v>
      </c>
      <c r="E80" s="17" t="s">
        <v>122</v>
      </c>
      <c r="F80" t="s">
        <v>122</v>
      </c>
      <c r="G80">
        <f t="shared" ca="1" si="3"/>
        <v>430</v>
      </c>
      <c r="H80" t="str">
        <f t="shared" si="4"/>
        <v>少数 正数 四捨五入（整数）</v>
      </c>
    </row>
    <row r="81" spans="1:8" ht="11.25" customHeight="1" outlineLevel="1">
      <c r="A81" s="15"/>
      <c r="B81" s="15" t="s">
        <v>2117</v>
      </c>
      <c r="C81" s="26"/>
      <c r="D81" s="17" t="s">
        <v>122</v>
      </c>
      <c r="E81" s="17" t="s">
        <v>122</v>
      </c>
      <c r="F81" t="s">
        <v>122</v>
      </c>
      <c r="G81">
        <f t="shared" ca="1" si="3"/>
        <v>431</v>
      </c>
      <c r="H81" t="str">
        <f t="shared" si="4"/>
        <v>少数 正数 四捨五入（第一位）</v>
      </c>
    </row>
    <row r="82" spans="1:8" ht="11.25" customHeight="1" outlineLevel="1">
      <c r="A82" s="15"/>
      <c r="B82" s="15" t="s">
        <v>97</v>
      </c>
      <c r="C82" s="26"/>
      <c r="D82" s="17" t="s">
        <v>122</v>
      </c>
      <c r="E82" s="17" t="s">
        <v>122</v>
      </c>
      <c r="F82" t="s">
        <v>122</v>
      </c>
      <c r="G82">
        <f t="shared" ca="1" si="3"/>
        <v>432</v>
      </c>
      <c r="H82" t="str">
        <f t="shared" si="4"/>
        <v>少数 正数 四捨五入（第二位）</v>
      </c>
    </row>
    <row r="83" spans="1:8" ht="11.25" customHeight="1" outlineLevel="1">
      <c r="A83" s="15"/>
      <c r="B83" s="15" t="s">
        <v>2151</v>
      </c>
      <c r="C83" s="26"/>
      <c r="D83" s="17" t="s">
        <v>122</v>
      </c>
      <c r="E83" s="17" t="s">
        <v>122</v>
      </c>
      <c r="F83" t="s">
        <v>122</v>
      </c>
      <c r="G83">
        <f t="shared" ca="1" si="3"/>
        <v>433</v>
      </c>
      <c r="H83" t="str">
        <f t="shared" si="4"/>
        <v>少数 負数 四捨五入（整数）</v>
      </c>
    </row>
    <row r="84" spans="1:8" ht="11.25" customHeight="1" outlineLevel="1">
      <c r="A84" s="15"/>
      <c r="B84" s="15" t="s">
        <v>99</v>
      </c>
      <c r="C84" s="26"/>
      <c r="D84" s="17" t="s">
        <v>122</v>
      </c>
      <c r="E84" s="17" t="s">
        <v>122</v>
      </c>
      <c r="F84" t="s">
        <v>122</v>
      </c>
      <c r="G84">
        <f t="shared" ca="1" si="3"/>
        <v>434</v>
      </c>
      <c r="H84" t="str">
        <f t="shared" si="4"/>
        <v>少数 負数 四捨五入（第一位）</v>
      </c>
    </row>
    <row r="85" spans="1:8" ht="11.25" customHeight="1" outlineLevel="1">
      <c r="A85" s="15"/>
      <c r="B85" s="15" t="s">
        <v>100</v>
      </c>
      <c r="C85" s="26"/>
      <c r="D85" s="17" t="s">
        <v>122</v>
      </c>
      <c r="E85" s="17" t="s">
        <v>122</v>
      </c>
      <c r="F85" t="s">
        <v>122</v>
      </c>
      <c r="G85">
        <f t="shared" ca="1" si="3"/>
        <v>435</v>
      </c>
      <c r="H85" t="str">
        <f t="shared" si="4"/>
        <v>少数 負数 四捨五入（第二位）</v>
      </c>
    </row>
    <row r="86" spans="1:8" ht="11.25" customHeight="1" outlineLevel="1">
      <c r="A86" s="15"/>
      <c r="B86" s="15" t="s">
        <v>2115</v>
      </c>
      <c r="C86" s="97"/>
      <c r="D86" s="17" t="s">
        <v>122</v>
      </c>
      <c r="E86" s="17" t="s">
        <v>122</v>
      </c>
      <c r="F86" t="s">
        <v>122</v>
      </c>
      <c r="G86">
        <f t="shared" ca="1" si="3"/>
        <v>436</v>
      </c>
      <c r="H86" t="str">
        <f t="shared" si="4"/>
        <v>少数 正数 切り捨て（整数）</v>
      </c>
    </row>
    <row r="87" spans="1:8" ht="11.25" customHeight="1" outlineLevel="1">
      <c r="A87" s="15"/>
      <c r="B87" s="18" t="s">
        <v>2140</v>
      </c>
      <c r="C87" s="26"/>
      <c r="D87" s="17" t="s">
        <v>122</v>
      </c>
      <c r="E87" s="17" t="s">
        <v>122</v>
      </c>
      <c r="F87" t="s">
        <v>122</v>
      </c>
      <c r="G87">
        <f t="shared" ca="1" si="3"/>
        <v>437</v>
      </c>
      <c r="H87" t="str">
        <f t="shared" si="4"/>
        <v>少数 正数 切り捨て（第一位）</v>
      </c>
    </row>
    <row r="88" spans="1:8" ht="11.25" customHeight="1" outlineLevel="1">
      <c r="A88" s="15"/>
      <c r="B88" s="18" t="s">
        <v>2141</v>
      </c>
      <c r="C88" s="26"/>
      <c r="D88" s="17" t="s">
        <v>122</v>
      </c>
      <c r="E88" s="17" t="s">
        <v>122</v>
      </c>
      <c r="F88" t="s">
        <v>122</v>
      </c>
      <c r="G88">
        <f t="shared" ca="1" si="3"/>
        <v>438</v>
      </c>
      <c r="H88" t="str">
        <f t="shared" si="4"/>
        <v>少数 正数 切り捨て（第二位）</v>
      </c>
    </row>
    <row r="89" spans="1:8" ht="11.25" customHeight="1" outlineLevel="1">
      <c r="A89" s="15"/>
      <c r="B89" s="15" t="s">
        <v>2116</v>
      </c>
      <c r="C89" s="26"/>
      <c r="D89" s="17" t="s">
        <v>122</v>
      </c>
      <c r="E89" s="17" t="s">
        <v>122</v>
      </c>
      <c r="F89" t="s">
        <v>122</v>
      </c>
      <c r="G89">
        <f t="shared" ca="1" si="3"/>
        <v>439</v>
      </c>
      <c r="H89" t="str">
        <f t="shared" si="4"/>
        <v>少数 負数 切り捨て（整数）</v>
      </c>
    </row>
    <row r="90" spans="1:8" ht="11.25" customHeight="1" outlineLevel="1">
      <c r="A90" s="15"/>
      <c r="B90" s="15" t="s">
        <v>2142</v>
      </c>
      <c r="C90" s="26"/>
      <c r="D90" s="17" t="s">
        <v>122</v>
      </c>
      <c r="E90" s="17" t="s">
        <v>122</v>
      </c>
      <c r="F90" t="s">
        <v>122</v>
      </c>
      <c r="G90">
        <f t="shared" ca="1" si="3"/>
        <v>440</v>
      </c>
      <c r="H90" t="str">
        <f t="shared" si="4"/>
        <v>少数 負数 切り捨て（第一位）</v>
      </c>
    </row>
    <row r="91" spans="1:8" ht="11.25" customHeight="1" outlineLevel="1">
      <c r="A91" s="15"/>
      <c r="B91" s="15" t="s">
        <v>2143</v>
      </c>
      <c r="C91" s="26"/>
      <c r="D91" s="17" t="s">
        <v>122</v>
      </c>
      <c r="E91" s="17" t="s">
        <v>122</v>
      </c>
      <c r="F91" t="s">
        <v>122</v>
      </c>
      <c r="G91">
        <f t="shared" ca="1" si="3"/>
        <v>441</v>
      </c>
      <c r="H91" t="str">
        <f t="shared" si="4"/>
        <v>少数 負数 切り捨て（第二位）</v>
      </c>
    </row>
    <row r="92" spans="1:8" ht="11.25" customHeight="1" outlineLevel="1">
      <c r="A92" s="15"/>
      <c r="B92" s="15" t="s">
        <v>2111</v>
      </c>
      <c r="C92" s="26"/>
      <c r="D92" s="17" t="s">
        <v>122</v>
      </c>
      <c r="E92" s="17" t="s">
        <v>122</v>
      </c>
      <c r="F92" t="s">
        <v>122</v>
      </c>
      <c r="G92">
        <f t="shared" ca="1" si="3"/>
        <v>442</v>
      </c>
      <c r="H92" t="str">
        <f t="shared" si="4"/>
        <v>少数 正数 切り上げ（整数）</v>
      </c>
    </row>
    <row r="93" spans="1:8" ht="11.25" customHeight="1" outlineLevel="1">
      <c r="A93" s="15"/>
      <c r="B93" s="15" t="s">
        <v>2113</v>
      </c>
      <c r="C93" s="26"/>
      <c r="D93" s="17" t="s">
        <v>122</v>
      </c>
      <c r="E93" s="17" t="s">
        <v>122</v>
      </c>
      <c r="F93" t="s">
        <v>122</v>
      </c>
      <c r="G93">
        <f t="shared" ca="1" si="3"/>
        <v>443</v>
      </c>
      <c r="H93" t="str">
        <f t="shared" si="4"/>
        <v>少数 正数 切り上げ（第一位）</v>
      </c>
    </row>
    <row r="94" spans="1:8" ht="11.25" customHeight="1" outlineLevel="1">
      <c r="A94" s="15"/>
      <c r="B94" s="15" t="s">
        <v>103</v>
      </c>
      <c r="C94" s="26"/>
      <c r="D94" s="17" t="s">
        <v>122</v>
      </c>
      <c r="E94" s="17" t="s">
        <v>122</v>
      </c>
      <c r="F94" t="s">
        <v>122</v>
      </c>
      <c r="G94">
        <f t="shared" ca="1" si="3"/>
        <v>444</v>
      </c>
      <c r="H94" t="str">
        <f t="shared" si="4"/>
        <v>少数 正数 切り上げ（第二位）</v>
      </c>
    </row>
    <row r="95" spans="1:8" ht="11.25" customHeight="1" outlineLevel="1">
      <c r="A95" s="15"/>
      <c r="B95" s="15" t="s">
        <v>2114</v>
      </c>
      <c r="C95" s="26"/>
      <c r="D95" s="17" t="s">
        <v>122</v>
      </c>
      <c r="E95" s="17" t="s">
        <v>122</v>
      </c>
      <c r="F95" t="s">
        <v>122</v>
      </c>
      <c r="G95">
        <f t="shared" ca="1" si="3"/>
        <v>445</v>
      </c>
      <c r="H95" t="str">
        <f t="shared" si="4"/>
        <v>少数 負数 切り上げ（整数）</v>
      </c>
    </row>
    <row r="96" spans="1:8" ht="11.25" customHeight="1" outlineLevel="1">
      <c r="A96" s="15"/>
      <c r="B96" s="15" t="s">
        <v>2112</v>
      </c>
      <c r="C96" s="26"/>
      <c r="D96" s="17" t="s">
        <v>122</v>
      </c>
      <c r="E96" s="17" t="s">
        <v>122</v>
      </c>
      <c r="F96" t="s">
        <v>122</v>
      </c>
      <c r="G96">
        <f t="shared" ca="1" si="3"/>
        <v>446</v>
      </c>
      <c r="H96" t="str">
        <f t="shared" si="4"/>
        <v>少数 負数 切り上げ（第一位）</v>
      </c>
    </row>
    <row r="97" spans="1:8" ht="11.25" customHeight="1" outlineLevel="1">
      <c r="A97" s="15"/>
      <c r="B97" s="15" t="s">
        <v>105</v>
      </c>
      <c r="C97" s="26"/>
      <c r="D97" s="17" t="s">
        <v>122</v>
      </c>
      <c r="E97" s="17" t="s">
        <v>122</v>
      </c>
      <c r="F97" t="s">
        <v>122</v>
      </c>
      <c r="G97">
        <f t="shared" ca="1" si="3"/>
        <v>447</v>
      </c>
      <c r="H97" t="str">
        <f t="shared" si="4"/>
        <v>少数 負数 切り上げ（第二位）</v>
      </c>
    </row>
    <row r="98" spans="1:8" ht="11.25" customHeight="1">
      <c r="A98" s="12" t="s">
        <v>2891</v>
      </c>
      <c r="B98" s="13"/>
      <c r="C98" s="13"/>
      <c r="D98" s="14"/>
      <c r="E98" s="14"/>
      <c r="F98" t="s">
        <v>122</v>
      </c>
      <c r="G98">
        <f t="shared" ca="1" si="3"/>
        <v>447</v>
      </c>
      <c r="H98" t="str">
        <f t="shared" si="4"/>
        <v/>
      </c>
    </row>
    <row r="99" spans="1:8" ht="11.25" customHeight="1" outlineLevel="1">
      <c r="A99" s="15"/>
      <c r="B99" s="15" t="s">
        <v>2314</v>
      </c>
      <c r="C99" s="16" t="s">
        <v>122</v>
      </c>
      <c r="D99" s="17" t="s">
        <v>122</v>
      </c>
      <c r="E99" s="17" t="s">
        <v>122</v>
      </c>
      <c r="F99" t="s">
        <v>122</v>
      </c>
      <c r="G99">
        <f t="shared" ca="1" si="3"/>
        <v>448</v>
      </c>
      <c r="H99" t="str">
        <f t="shared" si="4"/>
        <v>import</v>
      </c>
    </row>
    <row r="100" spans="1:8" ht="11.25" customHeight="1" outlineLevel="1">
      <c r="A100" s="15"/>
      <c r="B100" s="15" t="s">
        <v>2932</v>
      </c>
      <c r="C100" s="16" t="s">
        <v>122</v>
      </c>
      <c r="D100" s="17" t="s">
        <v>122</v>
      </c>
      <c r="E100" s="17" t="s">
        <v>122</v>
      </c>
      <c r="F100" t="s">
        <v>122</v>
      </c>
      <c r="G100">
        <f t="shared" ca="1" si="3"/>
        <v>449</v>
      </c>
      <c r="H100" t="str">
        <f t="shared" si="4"/>
        <v>構造体定義（メンバ＝基本型）</v>
      </c>
    </row>
    <row r="101" spans="1:8" ht="11.25" customHeight="1" outlineLevel="1">
      <c r="A101" s="15"/>
      <c r="B101" s="15" t="s">
        <v>2933</v>
      </c>
      <c r="C101" s="16" t="s">
        <v>122</v>
      </c>
      <c r="D101" s="17" t="s">
        <v>122</v>
      </c>
      <c r="E101" s="17" t="s">
        <v>122</v>
      </c>
      <c r="F101" t="s">
        <v>122</v>
      </c>
      <c r="G101">
        <f ca="1">IF(H101="",OFFSET(G101,-1,0),OFFSET(G101,-1,0)+1)</f>
        <v>450</v>
      </c>
      <c r="H101" t="str">
        <f t="shared" si="4"/>
        <v>構造体定義（メンバ＝他構造体）</v>
      </c>
    </row>
    <row r="102" spans="1:8" ht="11.25" customHeight="1" outlineLevel="1">
      <c r="A102" s="15"/>
      <c r="B102" s="15" t="s">
        <v>2934</v>
      </c>
      <c r="C102" s="16" t="s">
        <v>122</v>
      </c>
      <c r="D102" s="17" t="s">
        <v>122</v>
      </c>
      <c r="E102" s="17" t="s">
        <v>122</v>
      </c>
      <c r="F102" t="s">
        <v>122</v>
      </c>
      <c r="G102">
        <f ca="1">IF(H102="",OFFSET(G102,-1,0),OFFSET(G102,-1,0)+1)</f>
        <v>451</v>
      </c>
      <c r="H102" t="str">
        <f t="shared" si="4"/>
        <v>構造体定義（メンバ＝他構造体リスト）</v>
      </c>
    </row>
    <row r="103" spans="1:8" ht="11.25" customHeight="1" outlineLevel="1">
      <c r="A103" s="15"/>
      <c r="B103" s="15" t="s">
        <v>2935</v>
      </c>
      <c r="C103" s="16" t="s">
        <v>122</v>
      </c>
      <c r="D103" s="17" t="s">
        <v>122</v>
      </c>
      <c r="E103" s="17" t="s">
        <v>122</v>
      </c>
      <c r="F103" t="s">
        <v>122</v>
      </c>
      <c r="G103">
        <f ca="1">IF(H103="",OFFSET(G103,-1,0),OFFSET(G103,-1,0)+1)</f>
        <v>452</v>
      </c>
      <c r="H103" t="str">
        <f t="shared" si="4"/>
        <v>構造体定義（メンバ＝自構造体リスト）</v>
      </c>
    </row>
    <row r="104" spans="1:8" ht="11.25" customHeight="1" outlineLevel="1">
      <c r="A104" s="15"/>
      <c r="B104" s="15" t="s">
        <v>2883</v>
      </c>
      <c r="C104" s="16" t="s">
        <v>122</v>
      </c>
      <c r="D104" s="17" t="s">
        <v>122</v>
      </c>
      <c r="E104" s="17" t="s">
        <v>122</v>
      </c>
      <c r="F104" t="s">
        <v>122</v>
      </c>
      <c r="G104">
        <f t="shared" ca="1" si="3"/>
        <v>453</v>
      </c>
      <c r="H104" t="str">
        <f t="shared" si="4"/>
        <v>インスタンス化(初期化子なし)</v>
      </c>
    </row>
    <row r="105" spans="1:8" ht="11.25" customHeight="1" outlineLevel="1">
      <c r="A105" s="15"/>
      <c r="B105" s="15" t="s">
        <v>2889</v>
      </c>
      <c r="C105" s="16" t="s">
        <v>122</v>
      </c>
      <c r="D105" s="17" t="s">
        <v>122</v>
      </c>
      <c r="E105" s="17" t="s">
        <v>122</v>
      </c>
      <c r="F105" t="s">
        <v>122</v>
      </c>
      <c r="G105">
        <f t="shared" ca="1" si="3"/>
        <v>454</v>
      </c>
      <c r="H105" t="str">
        <f t="shared" si="4"/>
        <v>インスタンス化(初期化子あり１)</v>
      </c>
    </row>
    <row r="106" spans="1:8" ht="11.25" customHeight="1" outlineLevel="1">
      <c r="A106" s="15"/>
      <c r="B106" s="15" t="s">
        <v>2888</v>
      </c>
      <c r="C106" s="16" t="s">
        <v>122</v>
      </c>
      <c r="D106" s="17" t="s">
        <v>122</v>
      </c>
      <c r="E106" s="17" t="s">
        <v>122</v>
      </c>
      <c r="F106" t="s">
        <v>122</v>
      </c>
      <c r="G106">
        <f t="shared" ca="1" si="3"/>
        <v>455</v>
      </c>
      <c r="H106" t="str">
        <f t="shared" si="4"/>
        <v>インスタンス化(初期化子あり２)</v>
      </c>
    </row>
    <row r="107" spans="1:8" ht="11.25" customHeight="1" outlineLevel="1">
      <c r="A107" s="15"/>
      <c r="B107" s="15" t="s">
        <v>2884</v>
      </c>
      <c r="C107" s="16" t="s">
        <v>122</v>
      </c>
      <c r="D107" s="17" t="s">
        <v>122</v>
      </c>
      <c r="E107" s="17" t="s">
        <v>122</v>
      </c>
      <c r="F107" t="s">
        <v>122</v>
      </c>
      <c r="G107">
        <f t="shared" ca="1" si="3"/>
        <v>456</v>
      </c>
      <c r="H107" t="str">
        <f t="shared" si="4"/>
        <v>参照＆更新</v>
      </c>
    </row>
    <row r="108" spans="1:8" ht="11.25" customHeight="1">
      <c r="A108" s="12" t="s">
        <v>2267</v>
      </c>
      <c r="B108" s="13"/>
      <c r="C108" s="13"/>
      <c r="D108" s="14"/>
      <c r="E108" s="14"/>
      <c r="F108" t="s">
        <v>122</v>
      </c>
      <c r="G108">
        <f t="shared" ca="1" si="3"/>
        <v>456</v>
      </c>
      <c r="H108" t="str">
        <f t="shared" si="4"/>
        <v/>
      </c>
    </row>
    <row r="109" spans="1:8" ht="11.25" customHeight="1" outlineLevel="1">
      <c r="A109" s="15"/>
      <c r="B109" s="15" t="s">
        <v>2269</v>
      </c>
      <c r="C109" s="16" t="s">
        <v>122</v>
      </c>
      <c r="D109" s="17" t="s">
        <v>122</v>
      </c>
      <c r="E109" s="17" t="s">
        <v>122</v>
      </c>
      <c r="F109" t="s">
        <v>122</v>
      </c>
      <c r="G109">
        <f t="shared" ca="1" si="3"/>
        <v>457</v>
      </c>
      <c r="H109" t="str">
        <f t="shared" si="4"/>
        <v>トライ</v>
      </c>
    </row>
    <row r="110" spans="1:8" ht="11.25" customHeight="1" outlineLevel="1">
      <c r="A110" s="15"/>
      <c r="B110" s="15" t="s">
        <v>2273</v>
      </c>
      <c r="C110" s="16" t="s">
        <v>122</v>
      </c>
      <c r="D110" s="17" t="s">
        <v>122</v>
      </c>
      <c r="E110" s="17" t="s">
        <v>122</v>
      </c>
      <c r="F110" t="s">
        <v>122</v>
      </c>
      <c r="G110">
        <f t="shared" ca="1" si="3"/>
        <v>458</v>
      </c>
      <c r="H110" t="str">
        <f t="shared" si="4"/>
        <v>キャッチ（全エラー）</v>
      </c>
    </row>
    <row r="111" spans="1:8" ht="11.25" customHeight="1" outlineLevel="1">
      <c r="A111" s="15"/>
      <c r="B111" s="15" t="s">
        <v>2273</v>
      </c>
      <c r="C111" s="16" t="s">
        <v>122</v>
      </c>
      <c r="D111" s="17" t="s">
        <v>122</v>
      </c>
      <c r="E111" s="17" t="s">
        <v>122</v>
      </c>
      <c r="F111" t="s">
        <v>122</v>
      </c>
      <c r="G111">
        <f t="shared" ca="1" si="3"/>
        <v>459</v>
      </c>
      <c r="H111" t="str">
        <f t="shared" si="4"/>
        <v>キャッチ（全エラー）</v>
      </c>
    </row>
    <row r="112" spans="1:8" ht="11.25" customHeight="1" outlineLevel="1">
      <c r="A112" s="15"/>
      <c r="B112" s="15" t="s">
        <v>2271</v>
      </c>
      <c r="C112" s="16" t="s">
        <v>122</v>
      </c>
      <c r="D112" s="17" t="s">
        <v>122</v>
      </c>
      <c r="E112" s="17" t="s">
        <v>122</v>
      </c>
      <c r="F112" t="s">
        <v>122</v>
      </c>
      <c r="G112">
        <f t="shared" ca="1" si="3"/>
        <v>460</v>
      </c>
      <c r="H112" t="str">
        <f t="shared" si="4"/>
        <v>キャッチ（特定エラー）</v>
      </c>
    </row>
    <row r="113" spans="1:8" ht="11.25" customHeight="1" outlineLevel="1">
      <c r="A113" s="15"/>
      <c r="B113" s="15" t="s">
        <v>2275</v>
      </c>
      <c r="C113" s="16" t="s">
        <v>122</v>
      </c>
      <c r="D113" s="17" t="s">
        <v>122</v>
      </c>
      <c r="E113" s="17" t="s">
        <v>122</v>
      </c>
      <c r="F113" t="s">
        <v>122</v>
      </c>
      <c r="G113">
        <f t="shared" ca="1" si="3"/>
        <v>461</v>
      </c>
      <c r="H113" t="str">
        <f t="shared" si="4"/>
        <v>キャッチ（複数エラー）</v>
      </c>
    </row>
    <row r="114" spans="1:8" ht="11.25" customHeight="1" outlineLevel="1">
      <c r="A114" s="15"/>
      <c r="B114" s="15" t="s">
        <v>2277</v>
      </c>
      <c r="C114" s="16" t="s">
        <v>122</v>
      </c>
      <c r="D114" s="17" t="s">
        <v>122</v>
      </c>
      <c r="E114" s="17" t="s">
        <v>122</v>
      </c>
      <c r="F114" t="s">
        <v>122</v>
      </c>
      <c r="G114">
        <f t="shared" ca="1" si="3"/>
        <v>462</v>
      </c>
      <c r="H114" t="str">
        <f t="shared" si="4"/>
        <v>正常時の処理</v>
      </c>
    </row>
    <row r="115" spans="1:8" ht="11.25" customHeight="1" outlineLevel="1">
      <c r="A115" s="15"/>
      <c r="B115" s="15" t="s">
        <v>2280</v>
      </c>
      <c r="C115" s="16" t="s">
        <v>122</v>
      </c>
      <c r="D115" s="17" t="s">
        <v>122</v>
      </c>
      <c r="E115" s="17" t="s">
        <v>122</v>
      </c>
      <c r="F115" t="s">
        <v>122</v>
      </c>
      <c r="G115">
        <f t="shared" ca="1" si="3"/>
        <v>463</v>
      </c>
      <c r="H115" t="str">
        <f t="shared" si="4"/>
        <v>終了時に常に行う処理</v>
      </c>
    </row>
    <row r="116" spans="1:8" ht="11.25" customHeight="1" outlineLevel="1">
      <c r="A116" s="15"/>
      <c r="B116" s="15" t="s">
        <v>2281</v>
      </c>
      <c r="C116" s="16" t="s">
        <v>122</v>
      </c>
      <c r="D116" s="17" t="s">
        <v>122</v>
      </c>
      <c r="E116" s="17" t="s">
        <v>122</v>
      </c>
      <c r="F116" t="s">
        <v>122</v>
      </c>
      <c r="G116">
        <f t="shared" ca="1" si="3"/>
        <v>464</v>
      </c>
      <c r="H116" t="str">
        <f t="shared" si="4"/>
        <v>例外を無視</v>
      </c>
    </row>
    <row r="117" spans="1:8" ht="11.25" customHeight="1">
      <c r="A117" s="12" t="s">
        <v>345</v>
      </c>
      <c r="B117" s="13"/>
      <c r="C117" s="13"/>
      <c r="D117" s="14"/>
      <c r="E117" s="14"/>
      <c r="F117" t="s">
        <v>122</v>
      </c>
      <c r="G117">
        <f t="shared" ca="1" si="3"/>
        <v>464</v>
      </c>
      <c r="H117" t="str">
        <f t="shared" si="4"/>
        <v/>
      </c>
    </row>
    <row r="118" spans="1:8" ht="11.25" customHeight="1" outlineLevel="1">
      <c r="A118" s="15"/>
      <c r="B118" s="15" t="s">
        <v>828</v>
      </c>
      <c r="C118" s="16" t="s">
        <v>122</v>
      </c>
      <c r="D118" s="17" t="s">
        <v>122</v>
      </c>
      <c r="E118" s="17" t="s">
        <v>122</v>
      </c>
      <c r="F118" t="s">
        <v>122</v>
      </c>
      <c r="G118">
        <f t="shared" ca="1" si="3"/>
        <v>465</v>
      </c>
      <c r="H118" t="str">
        <f t="shared" si="4"/>
        <v>ＴＸＴ 定義</v>
      </c>
    </row>
    <row r="119" spans="1:8" ht="11.25" customHeight="1" outlineLevel="1">
      <c r="A119" s="15"/>
      <c r="B119" s="15" t="s">
        <v>829</v>
      </c>
      <c r="C119" s="16" t="s">
        <v>122</v>
      </c>
      <c r="D119" s="17" t="s">
        <v>122</v>
      </c>
      <c r="E119" s="17" t="s">
        <v>122</v>
      </c>
      <c r="F119" t="s">
        <v>122</v>
      </c>
      <c r="G119">
        <f t="shared" ca="1" si="3"/>
        <v>466</v>
      </c>
      <c r="H119" t="str">
        <f t="shared" si="4"/>
        <v>ＴＸＴ オープン</v>
      </c>
    </row>
    <row r="120" spans="1:8" ht="11.25" customHeight="1" outlineLevel="1">
      <c r="A120" s="15"/>
      <c r="B120" s="15" t="s">
        <v>830</v>
      </c>
      <c r="C120" s="16" t="s">
        <v>122</v>
      </c>
      <c r="D120" s="17" t="s">
        <v>122</v>
      </c>
      <c r="E120" s="17" t="s">
        <v>122</v>
      </c>
      <c r="F120" t="s">
        <v>122</v>
      </c>
      <c r="G120">
        <f t="shared" ca="1" si="3"/>
        <v>467</v>
      </c>
      <c r="H120" t="str">
        <f t="shared" si="4"/>
        <v>ＴＸＴ クローズ</v>
      </c>
    </row>
    <row r="121" spans="1:8" ht="11.25" customHeight="1" outlineLevel="1">
      <c r="A121" s="15"/>
      <c r="B121" s="15" t="s">
        <v>831</v>
      </c>
      <c r="C121" s="16" t="s">
        <v>122</v>
      </c>
      <c r="D121" s="17" t="s">
        <v>122</v>
      </c>
      <c r="E121" s="17" t="s">
        <v>122</v>
      </c>
      <c r="F121" t="s">
        <v>122</v>
      </c>
      <c r="G121">
        <f t="shared" ca="1" si="3"/>
        <v>468</v>
      </c>
      <c r="H121" t="str">
        <f t="shared" si="4"/>
        <v>ＴＸＴ 読込（一行ずつ）</v>
      </c>
    </row>
    <row r="122" spans="1:8" ht="11.25" customHeight="1" outlineLevel="1">
      <c r="A122" s="15"/>
      <c r="B122" s="15" t="s">
        <v>831</v>
      </c>
      <c r="C122" s="16" t="s">
        <v>122</v>
      </c>
      <c r="D122" s="17" t="s">
        <v>122</v>
      </c>
      <c r="E122" s="17" t="s">
        <v>122</v>
      </c>
      <c r="F122" t="s">
        <v>122</v>
      </c>
      <c r="G122">
        <f t="shared" ca="1" si="3"/>
        <v>469</v>
      </c>
      <c r="H122" t="str">
        <f t="shared" si="4"/>
        <v>ＴＸＴ 読込（一行ずつ）</v>
      </c>
    </row>
    <row r="123" spans="1:8" ht="11.25" customHeight="1" outlineLevel="1">
      <c r="A123" s="15"/>
      <c r="B123" s="15" t="s">
        <v>832</v>
      </c>
      <c r="C123" s="16" t="s">
        <v>122</v>
      </c>
      <c r="D123" s="17" t="s">
        <v>122</v>
      </c>
      <c r="E123" s="17" t="s">
        <v>122</v>
      </c>
      <c r="F123" t="s">
        <v>122</v>
      </c>
      <c r="G123">
        <f t="shared" ca="1" si="3"/>
        <v>470</v>
      </c>
      <c r="H123" t="str">
        <f t="shared" si="4"/>
        <v>ＴＸＴ 読込（一括）</v>
      </c>
    </row>
    <row r="124" spans="1:8" ht="11.25" customHeight="1" outlineLevel="1">
      <c r="A124" s="15"/>
      <c r="B124" s="15" t="s">
        <v>832</v>
      </c>
      <c r="C124" s="16" t="s">
        <v>122</v>
      </c>
      <c r="D124" s="17" t="s">
        <v>122</v>
      </c>
      <c r="E124" s="17" t="s">
        <v>122</v>
      </c>
      <c r="F124" t="s">
        <v>122</v>
      </c>
      <c r="G124">
        <f t="shared" ca="1" si="3"/>
        <v>471</v>
      </c>
      <c r="H124" t="str">
        <f t="shared" si="4"/>
        <v>ＴＸＴ 読込（一括）</v>
      </c>
    </row>
    <row r="125" spans="1:8" ht="11.25" customHeight="1" outlineLevel="1">
      <c r="A125" s="15"/>
      <c r="B125" s="15" t="s">
        <v>833</v>
      </c>
      <c r="C125" s="16" t="s">
        <v>122</v>
      </c>
      <c r="D125" s="17" t="s">
        <v>122</v>
      </c>
      <c r="E125" s="17" t="s">
        <v>122</v>
      </c>
      <c r="F125" t="s">
        <v>122</v>
      </c>
      <c r="G125">
        <f t="shared" ca="1" si="3"/>
        <v>472</v>
      </c>
      <c r="H125" t="str">
        <f t="shared" si="4"/>
        <v>ＴＸＴ 書込</v>
      </c>
    </row>
    <row r="126" spans="1:8" ht="11.25" customHeight="1" outlineLevel="1">
      <c r="A126" s="15"/>
      <c r="B126" s="15" t="s">
        <v>685</v>
      </c>
      <c r="C126" s="16" t="s">
        <v>122</v>
      </c>
      <c r="D126" s="17" t="s">
        <v>122</v>
      </c>
      <c r="E126" s="17" t="s">
        <v>122</v>
      </c>
      <c r="F126" t="s">
        <v>122</v>
      </c>
      <c r="G126">
        <f t="shared" ca="1" si="3"/>
        <v>473</v>
      </c>
      <c r="H126" t="str">
        <f t="shared" si="4"/>
        <v>ＸＬＳ オープン/クローズ</v>
      </c>
    </row>
    <row r="127" spans="1:8" ht="11.25" customHeight="1" outlineLevel="1">
      <c r="A127" s="15"/>
      <c r="B127" s="15" t="s">
        <v>2320</v>
      </c>
      <c r="C127" s="16" t="s">
        <v>122</v>
      </c>
      <c r="D127" s="17" t="s">
        <v>122</v>
      </c>
      <c r="E127" s="17" t="s">
        <v>122</v>
      </c>
      <c r="F127" t="s">
        <v>122</v>
      </c>
      <c r="G127">
        <f t="shared" ca="1" si="3"/>
        <v>474</v>
      </c>
      <c r="H127" t="str">
        <f t="shared" si="4"/>
        <v>アクセス権限付与</v>
      </c>
    </row>
    <row r="128" spans="1:8" ht="11.25" customHeight="1" outlineLevel="1">
      <c r="A128" s="15"/>
      <c r="B128" s="15" t="s">
        <v>2323</v>
      </c>
      <c r="C128" s="16" t="s">
        <v>122</v>
      </c>
      <c r="D128" s="17" t="s">
        <v>122</v>
      </c>
      <c r="E128" s="17" t="s">
        <v>122</v>
      </c>
      <c r="F128" t="s">
        <v>122</v>
      </c>
      <c r="G128">
        <f t="shared" ca="1" si="3"/>
        <v>475</v>
      </c>
      <c r="H128" t="str">
        <f t="shared" si="4"/>
        <v>yaml読み込み オープン</v>
      </c>
    </row>
    <row r="129" spans="1:8" ht="11.25" customHeight="1" outlineLevel="1">
      <c r="A129" s="15"/>
      <c r="B129" s="15" t="s">
        <v>2324</v>
      </c>
      <c r="C129" s="16" t="s">
        <v>122</v>
      </c>
      <c r="D129" s="17" t="s">
        <v>122</v>
      </c>
      <c r="E129" s="17" t="s">
        <v>122</v>
      </c>
      <c r="F129" t="s">
        <v>122</v>
      </c>
      <c r="G129">
        <f t="shared" ca="1" si="3"/>
        <v>476</v>
      </c>
      <c r="H129" t="str">
        <f t="shared" si="4"/>
        <v>yaml読み込み アクセス</v>
      </c>
    </row>
    <row r="130" spans="1:8" ht="11.25" customHeight="1">
      <c r="A130" s="12" t="s">
        <v>841</v>
      </c>
      <c r="B130" s="13"/>
      <c r="C130" s="13"/>
      <c r="D130" s="14"/>
      <c r="E130" s="14"/>
      <c r="F130" t="s">
        <v>122</v>
      </c>
      <c r="G130">
        <f t="shared" ref="G130:G160" ca="1" si="5">IF(H130="",OFFSET(G130,-1,0),OFFSET(G130,-1,0)+1)</f>
        <v>476</v>
      </c>
      <c r="H130" t="str">
        <f t="shared" si="4"/>
        <v/>
      </c>
    </row>
    <row r="131" spans="1:8" ht="11.25" customHeight="1" outlineLevel="1">
      <c r="A131" s="15"/>
      <c r="B131" s="15" t="s">
        <v>2207</v>
      </c>
      <c r="C131" s="16" t="s">
        <v>122</v>
      </c>
      <c r="D131" s="17" t="s">
        <v>122</v>
      </c>
      <c r="E131" s="17" t="s">
        <v>122</v>
      </c>
      <c r="F131" t="s">
        <v>122</v>
      </c>
      <c r="G131">
        <f t="shared" ca="1" si="5"/>
        <v>477</v>
      </c>
      <c r="H131" t="str">
        <f t="shared" ref="H131:H195" si="6">IF(B131="","",B131)</f>
        <v>日時取得(現在)</v>
      </c>
    </row>
    <row r="132" spans="1:8" ht="11.25" customHeight="1" outlineLevel="1">
      <c r="A132" s="15"/>
      <c r="B132" s="15" t="s">
        <v>2205</v>
      </c>
      <c r="C132" s="16" t="s">
        <v>122</v>
      </c>
      <c r="D132" s="17" t="s">
        <v>122</v>
      </c>
      <c r="E132" s="17" t="s">
        <v>122</v>
      </c>
      <c r="F132" t="s">
        <v>122</v>
      </c>
      <c r="G132">
        <f t="shared" ca="1" si="5"/>
        <v>478</v>
      </c>
      <c r="H132" t="str">
        <f t="shared" si="6"/>
        <v>日時設定</v>
      </c>
    </row>
    <row r="133" spans="1:8" ht="11.25" customHeight="1" outlineLevel="1">
      <c r="A133" s="15"/>
      <c r="B133" s="15" t="s">
        <v>2208</v>
      </c>
      <c r="C133" s="16" t="s">
        <v>122</v>
      </c>
      <c r="D133" s="17" t="s">
        <v>122</v>
      </c>
      <c r="E133" s="17" t="s">
        <v>122</v>
      </c>
      <c r="F133" t="s">
        <v>122</v>
      </c>
      <c r="G133">
        <f t="shared" ca="1" si="5"/>
        <v>479</v>
      </c>
      <c r="H133" t="str">
        <f t="shared" si="6"/>
        <v>日時抽出(年)</v>
      </c>
    </row>
    <row r="134" spans="1:8" ht="11.25" customHeight="1" outlineLevel="1">
      <c r="A134" s="15"/>
      <c r="B134" s="15" t="s">
        <v>2215</v>
      </c>
      <c r="C134" s="16" t="s">
        <v>122</v>
      </c>
      <c r="D134" s="17" t="s">
        <v>122</v>
      </c>
      <c r="E134" s="17" t="s">
        <v>122</v>
      </c>
      <c r="F134" t="s">
        <v>122</v>
      </c>
      <c r="G134">
        <f t="shared" ca="1" si="5"/>
        <v>480</v>
      </c>
      <c r="H134" t="str">
        <f t="shared" si="6"/>
        <v>日時設定(月)</v>
      </c>
    </row>
    <row r="135" spans="1:8" ht="11.25" customHeight="1" outlineLevel="1">
      <c r="A135" s="15"/>
      <c r="B135" s="15" t="s">
        <v>2216</v>
      </c>
      <c r="C135" s="16" t="s">
        <v>122</v>
      </c>
      <c r="D135" s="17" t="s">
        <v>122</v>
      </c>
      <c r="E135" s="17" t="s">
        <v>122</v>
      </c>
      <c r="F135" t="s">
        <v>122</v>
      </c>
      <c r="G135">
        <f t="shared" ca="1" si="5"/>
        <v>481</v>
      </c>
      <c r="H135" t="str">
        <f t="shared" si="6"/>
        <v>日時設定(日)</v>
      </c>
    </row>
    <row r="136" spans="1:8" ht="11.25" customHeight="1" outlineLevel="1">
      <c r="A136" s="15"/>
      <c r="B136" s="15" t="s">
        <v>2217</v>
      </c>
      <c r="C136" s="16" t="s">
        <v>122</v>
      </c>
      <c r="D136" s="17" t="s">
        <v>122</v>
      </c>
      <c r="E136" s="17" t="s">
        <v>122</v>
      </c>
      <c r="F136" t="s">
        <v>122</v>
      </c>
      <c r="G136">
        <f t="shared" ca="1" si="5"/>
        <v>482</v>
      </c>
      <c r="H136" t="str">
        <f t="shared" si="6"/>
        <v>日時設定(時)</v>
      </c>
    </row>
    <row r="137" spans="1:8" ht="11.25" customHeight="1" outlineLevel="1">
      <c r="A137" s="15"/>
      <c r="B137" s="15" t="s">
        <v>2218</v>
      </c>
      <c r="C137" s="16" t="s">
        <v>122</v>
      </c>
      <c r="D137" s="17" t="s">
        <v>122</v>
      </c>
      <c r="E137" s="17" t="s">
        <v>122</v>
      </c>
      <c r="F137" t="s">
        <v>122</v>
      </c>
      <c r="G137">
        <f t="shared" ca="1" si="5"/>
        <v>483</v>
      </c>
      <c r="H137" t="str">
        <f t="shared" si="6"/>
        <v>日時設定(分)</v>
      </c>
    </row>
    <row r="138" spans="1:8" ht="11.25" customHeight="1" outlineLevel="1">
      <c r="A138" s="15"/>
      <c r="B138" s="15" t="s">
        <v>2219</v>
      </c>
      <c r="C138" s="16" t="s">
        <v>122</v>
      </c>
      <c r="D138" s="17" t="s">
        <v>122</v>
      </c>
      <c r="E138" s="17" t="s">
        <v>122</v>
      </c>
      <c r="F138" t="s">
        <v>122</v>
      </c>
      <c r="G138">
        <f t="shared" ca="1" si="5"/>
        <v>484</v>
      </c>
      <c r="H138" t="str">
        <f t="shared" si="6"/>
        <v>日時設定(秒)</v>
      </c>
    </row>
    <row r="139" spans="1:8" ht="11.25" customHeight="1" outlineLevel="1">
      <c r="A139" s="15"/>
      <c r="B139" s="15" t="s">
        <v>2201</v>
      </c>
      <c r="C139" s="16" t="s">
        <v>122</v>
      </c>
      <c r="D139" s="17" t="s">
        <v>122</v>
      </c>
      <c r="E139" s="17" t="s">
        <v>122</v>
      </c>
      <c r="F139" t="s">
        <v>122</v>
      </c>
      <c r="G139">
        <f t="shared" ca="1" si="5"/>
        <v>485</v>
      </c>
      <c r="H139" t="str">
        <f t="shared" si="6"/>
        <v>年月日時刻出力</v>
      </c>
    </row>
    <row r="140" spans="1:8" ht="11.25" customHeight="1" outlineLevel="1">
      <c r="A140" s="15"/>
      <c r="B140" s="15" t="s">
        <v>2231</v>
      </c>
      <c r="C140" s="16" t="s">
        <v>122</v>
      </c>
      <c r="D140" s="17" t="s">
        <v>122</v>
      </c>
      <c r="E140" s="17" t="s">
        <v>122</v>
      </c>
      <c r="F140" t="s">
        <v>122</v>
      </c>
      <c r="G140">
        <f t="shared" ca="1" si="5"/>
        <v>486</v>
      </c>
      <c r="H140" t="str">
        <f t="shared" si="6"/>
        <v>経過時間(日)</v>
      </c>
    </row>
    <row r="141" spans="1:8" ht="11.25" customHeight="1" outlineLevel="1">
      <c r="A141" s="15"/>
      <c r="B141" s="15" t="s">
        <v>2232</v>
      </c>
      <c r="C141" s="16" t="s">
        <v>122</v>
      </c>
      <c r="D141" s="17" t="s">
        <v>122</v>
      </c>
      <c r="E141" s="17" t="s">
        <v>122</v>
      </c>
      <c r="F141" t="s">
        <v>122</v>
      </c>
      <c r="G141">
        <f t="shared" ca="1" si="5"/>
        <v>487</v>
      </c>
      <c r="H141" t="str">
        <f t="shared" si="6"/>
        <v>経過時間(時)</v>
      </c>
    </row>
    <row r="142" spans="1:8" ht="11.25" customHeight="1" outlineLevel="1">
      <c r="A142" s="15"/>
      <c r="B142" s="15" t="s">
        <v>2233</v>
      </c>
      <c r="C142" s="16" t="s">
        <v>122</v>
      </c>
      <c r="D142" s="17" t="s">
        <v>122</v>
      </c>
      <c r="E142" s="17" t="s">
        <v>122</v>
      </c>
      <c r="F142" t="s">
        <v>122</v>
      </c>
      <c r="G142">
        <f t="shared" ca="1" si="5"/>
        <v>488</v>
      </c>
      <c r="H142" t="str">
        <f t="shared" si="6"/>
        <v>経過時間(秒)</v>
      </c>
    </row>
    <row r="143" spans="1:8" ht="11.25" customHeight="1" outlineLevel="1">
      <c r="A143" s="15"/>
      <c r="B143" s="15" t="s">
        <v>2234</v>
      </c>
      <c r="C143" s="16" t="s">
        <v>122</v>
      </c>
      <c r="D143" s="17" t="s">
        <v>122</v>
      </c>
      <c r="E143" s="17" t="s">
        <v>122</v>
      </c>
      <c r="F143" t="s">
        <v>122</v>
      </c>
      <c r="G143">
        <f t="shared" ca="1" si="5"/>
        <v>489</v>
      </c>
      <c r="H143" t="str">
        <f t="shared" si="6"/>
        <v>経過時間(ミリ秒)</v>
      </c>
    </row>
    <row r="144" spans="1:8" ht="11.25" customHeight="1" outlineLevel="1">
      <c r="A144" s="15"/>
      <c r="B144" s="15" t="s">
        <v>2235</v>
      </c>
      <c r="C144" s="16" t="s">
        <v>122</v>
      </c>
      <c r="D144" s="17" t="s">
        <v>122</v>
      </c>
      <c r="E144" s="17" t="s">
        <v>122</v>
      </c>
      <c r="F144" t="s">
        <v>122</v>
      </c>
      <c r="G144">
        <f t="shared" ca="1" si="5"/>
        <v>490</v>
      </c>
      <c r="H144" t="str">
        <f t="shared" si="6"/>
        <v>経過時間(マイクロ秒)</v>
      </c>
    </row>
    <row r="145" spans="1:8" ht="11.25" customHeight="1" outlineLevel="1">
      <c r="A145" s="15"/>
      <c r="B145" s="15" t="s">
        <v>2236</v>
      </c>
      <c r="C145" s="16" t="s">
        <v>122</v>
      </c>
      <c r="D145" s="17" t="s">
        <v>122</v>
      </c>
      <c r="E145" s="17" t="s">
        <v>122</v>
      </c>
      <c r="F145" t="s">
        <v>122</v>
      </c>
      <c r="G145">
        <f t="shared" ca="1" si="5"/>
        <v>491</v>
      </c>
      <c r="H145" t="str">
        <f t="shared" si="6"/>
        <v>経過時間(総時間)</v>
      </c>
    </row>
    <row r="146" spans="1:8" ht="11.25" customHeight="1" outlineLevel="1">
      <c r="A146" s="15"/>
      <c r="B146" s="15" t="s">
        <v>113</v>
      </c>
      <c r="C146" s="16" t="s">
        <v>122</v>
      </c>
      <c r="D146" s="17" t="s">
        <v>122</v>
      </c>
      <c r="E146" s="17" t="s">
        <v>122</v>
      </c>
      <c r="F146" t="s">
        <v>122</v>
      </c>
      <c r="G146">
        <f t="shared" ca="1" si="5"/>
        <v>492</v>
      </c>
      <c r="H146" t="str">
        <f t="shared" si="6"/>
        <v>日付比較</v>
      </c>
    </row>
    <row r="147" spans="1:8" ht="11.25" customHeight="1">
      <c r="A147" s="12" t="s">
        <v>2768</v>
      </c>
      <c r="B147" s="13"/>
      <c r="C147" s="13"/>
      <c r="D147" s="14"/>
      <c r="E147" s="14"/>
      <c r="F147" t="s">
        <v>122</v>
      </c>
      <c r="G147">
        <f t="shared" ca="1" si="5"/>
        <v>492</v>
      </c>
      <c r="H147" t="str">
        <f t="shared" si="6"/>
        <v/>
      </c>
    </row>
    <row r="148" spans="1:8" ht="11.25" customHeight="1" outlineLevel="1">
      <c r="A148" s="15"/>
      <c r="B148" s="15" t="s">
        <v>826</v>
      </c>
      <c r="C148" s="16"/>
      <c r="D148" s="17"/>
      <c r="E148" s="17" t="s">
        <v>122</v>
      </c>
      <c r="F148" t="s">
        <v>122</v>
      </c>
      <c r="G148">
        <f t="shared" ca="1" si="5"/>
        <v>493</v>
      </c>
      <c r="H148" t="str">
        <f t="shared" si="6"/>
        <v>スリープ処理</v>
      </c>
    </row>
    <row r="149" spans="1:8" ht="11.25" customHeight="1">
      <c r="A149" s="12" t="s">
        <v>2181</v>
      </c>
      <c r="B149" s="13"/>
      <c r="C149" s="13"/>
      <c r="D149" s="14"/>
      <c r="E149" s="14"/>
      <c r="F149" t="s">
        <v>122</v>
      </c>
      <c r="G149">
        <f t="shared" ca="1" si="5"/>
        <v>493</v>
      </c>
      <c r="H149" t="str">
        <f t="shared" si="6"/>
        <v/>
      </c>
    </row>
    <row r="150" spans="1:8" ht="11.25" customHeight="1" outlineLevel="1">
      <c r="A150" s="15"/>
      <c r="B150" s="15" t="s">
        <v>2155</v>
      </c>
      <c r="C150" s="16" t="s">
        <v>122</v>
      </c>
      <c r="D150" s="17" t="s">
        <v>122</v>
      </c>
      <c r="E150" s="17" t="s">
        <v>122</v>
      </c>
      <c r="F150" t="s">
        <v>122</v>
      </c>
      <c r="G150">
        <f t="shared" ca="1" si="5"/>
        <v>494</v>
      </c>
      <c r="H150" t="str">
        <f t="shared" si="6"/>
        <v>リスト 初期化</v>
      </c>
    </row>
    <row r="151" spans="1:8" ht="11.25" customHeight="1" outlineLevel="1">
      <c r="A151" s="15"/>
      <c r="B151" s="15" t="s">
        <v>781</v>
      </c>
      <c r="C151" s="16" t="s">
        <v>122</v>
      </c>
      <c r="D151" s="19" t="s">
        <v>122</v>
      </c>
      <c r="E151" s="17" t="s">
        <v>122</v>
      </c>
      <c r="F151" t="s">
        <v>122</v>
      </c>
      <c r="G151">
        <f t="shared" ca="1" si="5"/>
        <v>495</v>
      </c>
      <c r="H151" t="str">
        <f t="shared" si="6"/>
        <v>リスト 参照</v>
      </c>
    </row>
    <row r="152" spans="1:8" ht="11.25" customHeight="1" outlineLevel="1">
      <c r="A152" s="15"/>
      <c r="B152" s="15" t="s">
        <v>2892</v>
      </c>
      <c r="C152" s="16" t="s">
        <v>122</v>
      </c>
      <c r="D152" s="19" t="s">
        <v>122</v>
      </c>
      <c r="E152" s="17" t="s">
        <v>122</v>
      </c>
      <c r="F152" t="s">
        <v>122</v>
      </c>
      <c r="G152">
        <f ca="1">IF(H152="",OFFSET(G152,-1,0),OFFSET(G152,-1,0)+1)</f>
        <v>496</v>
      </c>
      <c r="H152" t="str">
        <f t="shared" si="6"/>
        <v>リスト 空チェック</v>
      </c>
    </row>
    <row r="153" spans="1:8" ht="11.25" customHeight="1" outlineLevel="1">
      <c r="A153" s="15"/>
      <c r="B153" s="15" t="s">
        <v>782</v>
      </c>
      <c r="C153" s="16" t="s">
        <v>122</v>
      </c>
      <c r="D153" s="17" t="s">
        <v>122</v>
      </c>
      <c r="E153" s="17" t="s">
        <v>122</v>
      </c>
      <c r="F153" t="s">
        <v>122</v>
      </c>
      <c r="G153">
        <f t="shared" ca="1" si="5"/>
        <v>497</v>
      </c>
      <c r="H153" t="str">
        <f t="shared" si="6"/>
        <v>リスト 削除</v>
      </c>
    </row>
    <row r="154" spans="1:8" ht="11.25" customHeight="1" outlineLevel="1">
      <c r="A154" s="15"/>
      <c r="B154" s="15" t="s">
        <v>783</v>
      </c>
      <c r="C154" s="16" t="s">
        <v>122</v>
      </c>
      <c r="D154" s="17" t="s">
        <v>122</v>
      </c>
      <c r="E154" s="17" t="s">
        <v>122</v>
      </c>
      <c r="F154" t="s">
        <v>122</v>
      </c>
      <c r="G154">
        <f t="shared" ca="1" si="5"/>
        <v>498</v>
      </c>
      <c r="H154" t="str">
        <f t="shared" si="6"/>
        <v>リスト 末尾取り出し</v>
      </c>
    </row>
    <row r="155" spans="1:8" ht="11.25" customHeight="1" outlineLevel="1">
      <c r="A155" s="15"/>
      <c r="B155" s="15" t="s">
        <v>784</v>
      </c>
      <c r="C155" s="16" t="s">
        <v>122</v>
      </c>
      <c r="D155" s="17" t="s">
        <v>122</v>
      </c>
      <c r="E155" s="17" t="s">
        <v>122</v>
      </c>
      <c r="F155" t="s">
        <v>122</v>
      </c>
      <c r="G155">
        <f t="shared" ca="1" si="5"/>
        <v>499</v>
      </c>
      <c r="H155" t="str">
        <f t="shared" si="6"/>
        <v>リスト 要素番号取得</v>
      </c>
    </row>
    <row r="156" spans="1:8" ht="11.25" customHeight="1" outlineLevel="1">
      <c r="A156" s="15"/>
      <c r="B156" s="15" t="s">
        <v>785</v>
      </c>
      <c r="C156" s="16" t="s">
        <v>122</v>
      </c>
      <c r="D156" s="17" t="s">
        <v>122</v>
      </c>
      <c r="E156" s="17" t="s">
        <v>122</v>
      </c>
      <c r="F156" t="s">
        <v>122</v>
      </c>
      <c r="G156">
        <f t="shared" ca="1" si="5"/>
        <v>500</v>
      </c>
      <c r="H156" t="str">
        <f t="shared" si="6"/>
        <v>リスト 要素数取得</v>
      </c>
    </row>
    <row r="157" spans="1:8" ht="11.25" customHeight="1" outlineLevel="1">
      <c r="A157" s="15"/>
      <c r="B157" s="15" t="s">
        <v>785</v>
      </c>
      <c r="C157" s="16" t="s">
        <v>122</v>
      </c>
      <c r="D157" s="17" t="s">
        <v>122</v>
      </c>
      <c r="E157" s="17" t="s">
        <v>122</v>
      </c>
      <c r="F157" t="s">
        <v>122</v>
      </c>
      <c r="G157">
        <f t="shared" ca="1" si="5"/>
        <v>501</v>
      </c>
      <c r="H157" t="str">
        <f t="shared" si="6"/>
        <v>リスト 要素数取得</v>
      </c>
    </row>
    <row r="158" spans="1:8" ht="11.25" customHeight="1" outlineLevel="1">
      <c r="A158" s="15"/>
      <c r="B158" s="15" t="s">
        <v>786</v>
      </c>
      <c r="C158" s="16" t="s">
        <v>122</v>
      </c>
      <c r="D158" s="17" t="s">
        <v>122</v>
      </c>
      <c r="E158" s="17" t="s">
        <v>122</v>
      </c>
      <c r="F158" t="s">
        <v>122</v>
      </c>
      <c r="G158">
        <f t="shared" ca="1" si="5"/>
        <v>502</v>
      </c>
      <c r="H158" t="str">
        <f t="shared" si="6"/>
        <v>リスト 追加（末尾）</v>
      </c>
    </row>
    <row r="159" spans="1:8" ht="11.25" customHeight="1" outlineLevel="1">
      <c r="A159" s="15"/>
      <c r="B159" s="15" t="s">
        <v>787</v>
      </c>
      <c r="C159" s="16" t="s">
        <v>122</v>
      </c>
      <c r="D159" s="17" t="s">
        <v>122</v>
      </c>
      <c r="E159" s="17" t="s">
        <v>122</v>
      </c>
      <c r="F159" t="s">
        <v>122</v>
      </c>
      <c r="G159">
        <f t="shared" ca="1" si="5"/>
        <v>503</v>
      </c>
      <c r="H159" t="str">
        <f t="shared" si="6"/>
        <v>リスト 追加（中間）</v>
      </c>
    </row>
    <row r="160" spans="1:8" ht="11.25" customHeight="1" outlineLevel="1">
      <c r="A160" s="15"/>
      <c r="B160" s="15" t="s">
        <v>756</v>
      </c>
      <c r="C160" s="16" t="s">
        <v>122</v>
      </c>
      <c r="D160" s="17" t="s">
        <v>122</v>
      </c>
      <c r="E160" s="17" t="s">
        <v>122</v>
      </c>
      <c r="F160" t="s">
        <v>122</v>
      </c>
      <c r="G160">
        <f t="shared" ca="1" si="5"/>
        <v>504</v>
      </c>
      <c r="H160" t="str">
        <f t="shared" si="6"/>
        <v>リスト 連結</v>
      </c>
    </row>
    <row r="161" spans="1:8" ht="11.25" customHeight="1" outlineLevel="1">
      <c r="A161" s="15"/>
      <c r="B161" s="15" t="s">
        <v>2089</v>
      </c>
      <c r="C161" s="16" t="s">
        <v>122</v>
      </c>
      <c r="D161" s="17" t="s">
        <v>122</v>
      </c>
      <c r="E161" s="17" t="s">
        <v>122</v>
      </c>
      <c r="F161" t="s">
        <v>122</v>
      </c>
      <c r="G161">
        <f ca="1">IF(H161="",OFFSET(G161,-1,0),OFFSET(G161,-1,0)+1)</f>
        <v>505</v>
      </c>
      <c r="H161" t="str">
        <f t="shared" si="6"/>
        <v>リスト 反転</v>
      </c>
    </row>
    <row r="162" spans="1:8" ht="11.25" customHeight="1" outlineLevel="1">
      <c r="A162" s="15"/>
      <c r="B162" s="15" t="s">
        <v>2087</v>
      </c>
      <c r="C162" s="16" t="s">
        <v>122</v>
      </c>
      <c r="D162" s="17" t="s">
        <v>122</v>
      </c>
      <c r="E162" s="17" t="s">
        <v>122</v>
      </c>
      <c r="F162" t="s">
        <v>122</v>
      </c>
      <c r="G162">
        <f ca="1">IF(H162="",OFFSET(G162,-1,0),OFFSET(G162,-1,0)+1)</f>
        <v>506</v>
      </c>
      <c r="H162" t="str">
        <f t="shared" si="6"/>
        <v>リスト 反転（イテレータ）</v>
      </c>
    </row>
    <row r="163" spans="1:8" ht="11.25" customHeight="1">
      <c r="A163" s="12" t="s">
        <v>3218</v>
      </c>
      <c r="B163" s="13"/>
      <c r="C163" s="13"/>
      <c r="D163" s="14"/>
      <c r="E163" s="14"/>
      <c r="F163" t="s">
        <v>122</v>
      </c>
      <c r="G163">
        <f t="shared" ref="G163:G215" ca="1" si="7">IF(H163="",OFFSET(G163,-1,0),OFFSET(G163,-1,0)+1)</f>
        <v>506</v>
      </c>
      <c r="H163" t="str">
        <f t="shared" si="6"/>
        <v/>
      </c>
    </row>
    <row r="164" spans="1:8" ht="11.25" customHeight="1" outlineLevel="1">
      <c r="A164" s="15"/>
      <c r="B164" s="15" t="s">
        <v>3225</v>
      </c>
      <c r="C164" s="16" t="s">
        <v>3226</v>
      </c>
      <c r="D164" s="17" t="s">
        <v>122</v>
      </c>
      <c r="E164" s="17" t="s">
        <v>122</v>
      </c>
      <c r="F164" t="s">
        <v>122</v>
      </c>
      <c r="G164">
        <f t="shared" ref="G164" ca="1" si="8">IF(H164="",OFFSET(G164,-1,0),OFFSET(G164,-1,0)+1)</f>
        <v>507</v>
      </c>
      <c r="H164" t="str">
        <f t="shared" ref="H164" si="9">IF(B164="","",B164)</f>
        <v>インクルード</v>
      </c>
    </row>
    <row r="165" spans="1:8" ht="11.25" customHeight="1" outlineLevel="1">
      <c r="A165" s="15"/>
      <c r="B165" s="15" t="s">
        <v>2878</v>
      </c>
      <c r="C165" s="16" t="str">
        <f>"std::map&lt;std::string, int&gt; salary{
    {""John"", 1000},
    {""Tom"", 1400},
    {""Harry"", 800}
};"</f>
        <v>std::map&lt;std::string, int&gt; salary{
    {"John", 1000},
    {"Tom", 1400},
    {"Harry", 800}
};</v>
      </c>
      <c r="D165" s="17" t="s">
        <v>122</v>
      </c>
      <c r="E165" s="17" t="s">
        <v>122</v>
      </c>
      <c r="F165" t="s">
        <v>122</v>
      </c>
      <c r="G165">
        <f t="shared" ca="1" si="7"/>
        <v>508</v>
      </c>
      <c r="H165" t="str">
        <f t="shared" si="6"/>
        <v>オブジェクト定義(初期値あり)</v>
      </c>
    </row>
    <row r="166" spans="1:8" ht="11.25" customHeight="1" outlineLevel="1">
      <c r="A166" s="15"/>
      <c r="B166" s="15" t="s">
        <v>16</v>
      </c>
      <c r="C166" s="16"/>
      <c r="D166" s="17" t="s">
        <v>122</v>
      </c>
      <c r="E166" s="17" t="s">
        <v>122</v>
      </c>
      <c r="F166" t="s">
        <v>122</v>
      </c>
      <c r="G166">
        <f t="shared" ca="1" si="7"/>
        <v>509</v>
      </c>
      <c r="H166" t="str">
        <f t="shared" si="6"/>
        <v>連想配列 キー/項目追加</v>
      </c>
    </row>
    <row r="167" spans="1:8" ht="11.25" customHeight="1" outlineLevel="1">
      <c r="A167" s="15"/>
      <c r="B167" s="15" t="s">
        <v>2265</v>
      </c>
      <c r="C167" s="16" t="s">
        <v>3220</v>
      </c>
      <c r="D167" s="17" t="s">
        <v>122</v>
      </c>
      <c r="E167" s="17" t="s">
        <v>122</v>
      </c>
      <c r="F167" t="s">
        <v>122</v>
      </c>
      <c r="G167">
        <f ca="1">IF(H167="",OFFSET(G167,-1,0),OFFSET(G167,-1,0)+1)</f>
        <v>510</v>
      </c>
      <c r="H167" t="str">
        <f t="shared" si="6"/>
        <v>連想配列 項目変更</v>
      </c>
    </row>
    <row r="168" spans="1:8" ht="11.25" customHeight="1" outlineLevel="1">
      <c r="A168" s="15"/>
      <c r="B168" s="15" t="s">
        <v>17</v>
      </c>
      <c r="C168" s="16"/>
      <c r="D168" s="17" t="s">
        <v>122</v>
      </c>
      <c r="E168" s="17" t="s">
        <v>122</v>
      </c>
      <c r="F168" t="s">
        <v>122</v>
      </c>
      <c r="G168">
        <f t="shared" ca="1" si="7"/>
        <v>511</v>
      </c>
      <c r="H168" t="str">
        <f t="shared" si="6"/>
        <v>連想配列 存在確認</v>
      </c>
    </row>
    <row r="169" spans="1:8" ht="11.25" customHeight="1" outlineLevel="1">
      <c r="A169" s="15"/>
      <c r="B169" s="15" t="s">
        <v>19</v>
      </c>
      <c r="C169" s="16" t="s">
        <v>3219</v>
      </c>
      <c r="D169" s="17" t="s">
        <v>122</v>
      </c>
      <c r="E169" s="17" t="s">
        <v>122</v>
      </c>
      <c r="F169" t="s">
        <v>122</v>
      </c>
      <c r="G169">
        <f ca="1">IF(H169="",OFFSET(G169,-1,0),OFFSET(G169,-1,0)+1)</f>
        <v>512</v>
      </c>
      <c r="H169" t="str">
        <f t="shared" si="6"/>
        <v>連想配列 項目取得（キー）</v>
      </c>
    </row>
    <row r="170" spans="1:8" ht="11.25" customHeight="1" outlineLevel="1">
      <c r="A170" s="15"/>
      <c r="B170" s="15" t="s">
        <v>18</v>
      </c>
      <c r="C170" s="16"/>
      <c r="D170" s="17" t="s">
        <v>122</v>
      </c>
      <c r="E170" s="17" t="s">
        <v>122</v>
      </c>
      <c r="F170" t="s">
        <v>122</v>
      </c>
      <c r="G170">
        <f ca="1">IF(H170="",OFFSET(G170,-1,0),OFFSET(G170,-1,0)+1)</f>
        <v>513</v>
      </c>
      <c r="H170" t="str">
        <f t="shared" si="6"/>
        <v>連想配列 キー取得（For Each）</v>
      </c>
    </row>
    <row r="171" spans="1:8" ht="11.25" customHeight="1" outlineLevel="1">
      <c r="A171" s="15"/>
      <c r="B171" s="15" t="s">
        <v>18</v>
      </c>
      <c r="C171" s="16"/>
      <c r="D171" s="17" t="s">
        <v>122</v>
      </c>
      <c r="E171" s="17" t="s">
        <v>122</v>
      </c>
      <c r="F171" t="s">
        <v>122</v>
      </c>
      <c r="G171">
        <f t="shared" ca="1" si="7"/>
        <v>514</v>
      </c>
      <c r="H171" t="str">
        <f t="shared" si="6"/>
        <v>連想配列 キー取得（For Each）</v>
      </c>
    </row>
    <row r="172" spans="1:8" ht="11.25" customHeight="1" outlineLevel="1">
      <c r="A172" s="15"/>
      <c r="B172" s="15" t="s">
        <v>2251</v>
      </c>
      <c r="C172" s="16"/>
      <c r="D172" s="17" t="s">
        <v>122</v>
      </c>
      <c r="E172" s="17" t="s">
        <v>122</v>
      </c>
      <c r="F172" t="s">
        <v>122</v>
      </c>
      <c r="G172">
        <f ca="1">IF(H172="",OFFSET(G172,-1,0),OFFSET(G172,-1,0)+1)</f>
        <v>515</v>
      </c>
      <c r="H172" t="str">
        <f t="shared" si="6"/>
        <v>連想配列 項目取得（For Each）</v>
      </c>
    </row>
    <row r="173" spans="1:8" ht="11.25" customHeight="1" outlineLevel="1">
      <c r="A173" s="15"/>
      <c r="B173" s="15" t="s">
        <v>2252</v>
      </c>
      <c r="C173" s="16" t="str">
        <f>"for (const auto &amp; [key, value] : salary){
    std::cout &lt;&lt; key &lt;&lt; "" : "" &lt;&lt; value &lt;&lt; std::endl;
}"</f>
        <v>for (const auto &amp; [key, value] : salary){
    std::cout &lt;&lt; key &lt;&lt; " : " &lt;&lt; value &lt;&lt; std::endl;
}</v>
      </c>
      <c r="D173" s="17" t="s">
        <v>122</v>
      </c>
      <c r="E173" s="17" t="s">
        <v>122</v>
      </c>
      <c r="F173" t="s">
        <v>122</v>
      </c>
      <c r="G173">
        <f ca="1">IF(H173="",OFFSET(G173,-1,0),OFFSET(G173,-1,0)+1)</f>
        <v>516</v>
      </c>
      <c r="H173" t="str">
        <f t="shared" si="6"/>
        <v>連想配列 キー/項目取得（For Each）</v>
      </c>
    </row>
    <row r="174" spans="1:8" ht="11.25" customHeight="1" outlineLevel="1">
      <c r="A174" s="15"/>
      <c r="B174" s="15" t="s">
        <v>20</v>
      </c>
      <c r="C174" s="16"/>
      <c r="D174" s="17" t="s">
        <v>122</v>
      </c>
      <c r="E174" s="17" t="s">
        <v>122</v>
      </c>
      <c r="F174" t="s">
        <v>122</v>
      </c>
      <c r="G174">
        <f t="shared" ca="1" si="7"/>
        <v>517</v>
      </c>
      <c r="H174" t="str">
        <f t="shared" si="6"/>
        <v>連想配列 キー取得（インデックス）</v>
      </c>
    </row>
    <row r="175" spans="1:8" ht="11.25" customHeight="1" outlineLevel="1">
      <c r="A175" s="15"/>
      <c r="B175" s="15" t="s">
        <v>21</v>
      </c>
      <c r="C175" s="16"/>
      <c r="D175" s="17" t="s">
        <v>122</v>
      </c>
      <c r="E175" s="17" t="s">
        <v>122</v>
      </c>
      <c r="F175" t="s">
        <v>122</v>
      </c>
      <c r="G175">
        <f t="shared" ca="1" si="7"/>
        <v>518</v>
      </c>
      <c r="H175" t="str">
        <f t="shared" si="6"/>
        <v>連想配列 項目取得（インデックス）</v>
      </c>
    </row>
    <row r="176" spans="1:8" ht="11.25" customHeight="1" outlineLevel="1">
      <c r="A176" s="15"/>
      <c r="B176" s="15" t="s">
        <v>24</v>
      </c>
      <c r="C176" s="16" t="s">
        <v>3221</v>
      </c>
      <c r="D176" s="17" t="s">
        <v>122</v>
      </c>
      <c r="E176" s="17" t="s">
        <v>122</v>
      </c>
      <c r="F176" t="s">
        <v>122</v>
      </c>
      <c r="G176">
        <f t="shared" ca="1" si="7"/>
        <v>519</v>
      </c>
      <c r="H176" t="str">
        <f t="shared" si="6"/>
        <v>連想配列 キー/項目数取得</v>
      </c>
    </row>
    <row r="177" spans="1:8" ht="11.25" customHeight="1" outlineLevel="1">
      <c r="A177" s="15"/>
      <c r="B177" s="15" t="s">
        <v>3223</v>
      </c>
      <c r="C177" s="16" t="s">
        <v>3224</v>
      </c>
      <c r="D177" s="17" t="s">
        <v>122</v>
      </c>
      <c r="E177" s="17" t="s">
        <v>122</v>
      </c>
      <c r="F177" t="s">
        <v>122</v>
      </c>
      <c r="G177">
        <f t="shared" ref="G177" ca="1" si="10">IF(H177="",OFFSET(G177,-1,0),OFFSET(G177,-1,0)+1)</f>
        <v>520</v>
      </c>
      <c r="H177" t="str">
        <f t="shared" si="6"/>
        <v>連想配列 空チェック</v>
      </c>
    </row>
    <row r="178" spans="1:8" ht="11.25" customHeight="1" outlineLevel="1">
      <c r="A178" s="15"/>
      <c r="B178" s="15" t="s">
        <v>25</v>
      </c>
      <c r="C178" s="16"/>
      <c r="D178" s="17" t="s">
        <v>122</v>
      </c>
      <c r="E178" s="17" t="s">
        <v>122</v>
      </c>
      <c r="F178" t="s">
        <v>122</v>
      </c>
      <c r="G178">
        <f t="shared" ca="1" si="7"/>
        <v>521</v>
      </c>
      <c r="H178" t="str">
        <f t="shared" si="6"/>
        <v>連想配列 キー/項目削除</v>
      </c>
    </row>
    <row r="179" spans="1:8" ht="11.25" customHeight="1" outlineLevel="1">
      <c r="A179" s="15"/>
      <c r="B179" s="15" t="s">
        <v>2255</v>
      </c>
      <c r="C179" s="24"/>
      <c r="D179" s="17" t="s">
        <v>122</v>
      </c>
      <c r="E179" s="17" t="s">
        <v>122</v>
      </c>
      <c r="F179" t="s">
        <v>122</v>
      </c>
      <c r="G179">
        <f ca="1">IF(H179="",OFFSET(G179,-1,0),OFFSET(G179,-1,0)+1)</f>
        <v>522</v>
      </c>
      <c r="H179" t="str">
        <f t="shared" si="6"/>
        <v>連想配列 キー/項目削除(Pop)</v>
      </c>
    </row>
    <row r="180" spans="1:8" ht="11.25" customHeight="1" outlineLevel="1">
      <c r="A180" s="15"/>
      <c r="B180" s="15" t="s">
        <v>26</v>
      </c>
      <c r="C180" s="16" t="s">
        <v>3222</v>
      </c>
      <c r="D180" s="17" t="s">
        <v>122</v>
      </c>
      <c r="E180" s="17" t="s">
        <v>122</v>
      </c>
      <c r="F180" t="s">
        <v>122</v>
      </c>
      <c r="G180">
        <f t="shared" ca="1" si="7"/>
        <v>523</v>
      </c>
      <c r="H180" t="str">
        <f t="shared" si="6"/>
        <v>連想配列 キー/項目全削除</v>
      </c>
    </row>
    <row r="181" spans="1:8" ht="11.25" customHeight="1" outlineLevel="1">
      <c r="A181" s="15"/>
      <c r="B181" s="15" t="s">
        <v>2260</v>
      </c>
      <c r="C181" s="16"/>
      <c r="D181" s="17" t="s">
        <v>122</v>
      </c>
      <c r="E181" s="17" t="s">
        <v>122</v>
      </c>
      <c r="F181" t="s">
        <v>122</v>
      </c>
      <c r="G181">
        <f ca="1">IF(H181="",OFFSET(G181,-1,0),OFFSET(G181,-1,0)+1)</f>
        <v>524</v>
      </c>
      <c r="H181" t="str">
        <f t="shared" si="6"/>
        <v>連想配列 配列結合</v>
      </c>
    </row>
    <row r="182" spans="1:8" ht="11.25" customHeight="1" outlineLevel="1">
      <c r="A182" s="15"/>
      <c r="B182" s="15" t="s">
        <v>27</v>
      </c>
      <c r="C182" s="16"/>
      <c r="D182" s="17" t="s">
        <v>122</v>
      </c>
      <c r="E182" s="17" t="s">
        <v>122</v>
      </c>
      <c r="F182" t="s">
        <v>122</v>
      </c>
      <c r="G182">
        <f t="shared" ca="1" si="7"/>
        <v>525</v>
      </c>
      <c r="H182" t="str">
        <f t="shared" si="6"/>
        <v>連想配列 配列変換（項目）</v>
      </c>
    </row>
    <row r="183" spans="1:8" ht="11.25" customHeight="1" outlineLevel="1">
      <c r="A183" s="15"/>
      <c r="B183" s="15" t="s">
        <v>28</v>
      </c>
      <c r="C183" s="16"/>
      <c r="D183" s="17" t="s">
        <v>122</v>
      </c>
      <c r="E183" s="17" t="s">
        <v>122</v>
      </c>
      <c r="F183" t="s">
        <v>122</v>
      </c>
      <c r="G183">
        <f t="shared" ca="1" si="7"/>
        <v>526</v>
      </c>
      <c r="H183" t="str">
        <f t="shared" si="6"/>
        <v>連想配列 配列変換（キー）</v>
      </c>
    </row>
    <row r="184" spans="1:8" ht="11.25" customHeight="1">
      <c r="A184" s="12" t="s">
        <v>475</v>
      </c>
      <c r="B184" s="13"/>
      <c r="C184" s="12"/>
      <c r="D184" s="14"/>
      <c r="E184" s="14"/>
      <c r="F184" t="s">
        <v>122</v>
      </c>
      <c r="G184">
        <f t="shared" ca="1" si="7"/>
        <v>526</v>
      </c>
      <c r="H184" t="str">
        <f t="shared" si="6"/>
        <v/>
      </c>
    </row>
    <row r="185" spans="1:8" ht="11.25" customHeight="1" outlineLevel="1">
      <c r="A185" s="15"/>
      <c r="B185" s="15" t="s">
        <v>349</v>
      </c>
      <c r="C185" s="16" t="s">
        <v>122</v>
      </c>
      <c r="D185" s="17" t="s">
        <v>122</v>
      </c>
      <c r="E185" s="17" t="s">
        <v>122</v>
      </c>
      <c r="F185" t="s">
        <v>122</v>
      </c>
      <c r="G185">
        <f t="shared" ca="1" si="7"/>
        <v>527</v>
      </c>
      <c r="H185" t="str">
        <f t="shared" si="6"/>
        <v>オブジェクト定義</v>
      </c>
    </row>
    <row r="186" spans="1:8" ht="11.25" customHeight="1" outlineLevel="1">
      <c r="A186" s="15"/>
      <c r="B186" s="15" t="s">
        <v>466</v>
      </c>
      <c r="C186" s="24" t="s">
        <v>122</v>
      </c>
      <c r="D186" s="17" t="s">
        <v>122</v>
      </c>
      <c r="E186" s="17" t="s">
        <v>122</v>
      </c>
      <c r="G186">
        <f t="shared" ca="1" si="7"/>
        <v>528</v>
      </c>
      <c r="H186" t="str">
        <f t="shared" si="6"/>
        <v>検索設定 検索対象</v>
      </c>
    </row>
    <row r="187" spans="1:8" ht="11.25" customHeight="1" outlineLevel="1">
      <c r="A187" s="15"/>
      <c r="B187" s="15" t="s">
        <v>463</v>
      </c>
      <c r="C187" s="16" t="s">
        <v>122</v>
      </c>
      <c r="D187" s="17" t="s">
        <v>122</v>
      </c>
      <c r="E187" s="17" t="s">
        <v>122</v>
      </c>
      <c r="G187">
        <f t="shared" ca="1" si="7"/>
        <v>529</v>
      </c>
      <c r="H187" t="str">
        <f t="shared" si="6"/>
        <v>検索設定 検索パターン</v>
      </c>
    </row>
    <row r="188" spans="1:8" ht="11.25" customHeight="1" outlineLevel="1">
      <c r="A188" s="15"/>
      <c r="B188" s="15" t="s">
        <v>927</v>
      </c>
      <c r="C188" s="16" t="s">
        <v>122</v>
      </c>
      <c r="D188" s="17" t="s">
        <v>122</v>
      </c>
      <c r="E188" s="17" t="s">
        <v>122</v>
      </c>
      <c r="F188" t="s">
        <v>122</v>
      </c>
      <c r="G188">
        <f t="shared" ca="1" si="7"/>
        <v>530</v>
      </c>
      <c r="H188" t="str">
        <f t="shared" si="6"/>
        <v>検索設定 大小文字区別無視</v>
      </c>
    </row>
    <row r="189" spans="1:8" ht="11.25" customHeight="1" outlineLevel="1">
      <c r="A189" s="15"/>
      <c r="B189" s="83" t="s">
        <v>923</v>
      </c>
      <c r="C189" s="84" t="s">
        <v>122</v>
      </c>
      <c r="D189" s="86" t="s">
        <v>122</v>
      </c>
      <c r="E189" s="86" t="s">
        <v>122</v>
      </c>
      <c r="G189">
        <f t="shared" ca="1" si="7"/>
        <v>531</v>
      </c>
      <c r="H189" t="str">
        <f t="shared" si="6"/>
        <v>検索設定 パターンコンパイル</v>
      </c>
    </row>
    <row r="190" spans="1:8" ht="11.25" customHeight="1" outlineLevel="1">
      <c r="A190" s="15"/>
      <c r="B190" s="83" t="s">
        <v>937</v>
      </c>
      <c r="C190" s="87" t="s">
        <v>122</v>
      </c>
      <c r="D190" s="86" t="s">
        <v>122</v>
      </c>
      <c r="E190" s="86" t="s">
        <v>122</v>
      </c>
      <c r="F190" t="s">
        <v>122</v>
      </c>
      <c r="G190">
        <f t="shared" ca="1" si="7"/>
        <v>532</v>
      </c>
      <c r="H190" t="str">
        <f t="shared" si="6"/>
        <v>検索実行(list) コンパイルあり時</v>
      </c>
    </row>
    <row r="191" spans="1:8" ht="11.25" customHeight="1" outlineLevel="1">
      <c r="A191" s="15"/>
      <c r="B191" s="34" t="s">
        <v>963</v>
      </c>
      <c r="C191" s="81" t="s">
        <v>122</v>
      </c>
      <c r="D191" s="80" t="s">
        <v>122</v>
      </c>
      <c r="E191" s="80" t="s">
        <v>122</v>
      </c>
      <c r="F191" t="s">
        <v>122</v>
      </c>
      <c r="G191">
        <f t="shared" ca="1" si="7"/>
        <v>533</v>
      </c>
      <c r="H191" t="str">
        <f t="shared" si="6"/>
        <v>検索実行(list) コンパイルなし時</v>
      </c>
    </row>
    <row r="192" spans="1:8" ht="11.25" customHeight="1" outlineLevel="1">
      <c r="A192" s="15"/>
      <c r="B192" s="15" t="s">
        <v>938</v>
      </c>
      <c r="C192" s="16" t="s">
        <v>122</v>
      </c>
      <c r="D192" s="17" t="s">
        <v>122</v>
      </c>
      <c r="E192" s="17" t="s">
        <v>122</v>
      </c>
      <c r="F192" t="s">
        <v>122</v>
      </c>
      <c r="G192">
        <f t="shared" ca="1" si="7"/>
        <v>534</v>
      </c>
      <c r="H192" t="str">
        <f t="shared" si="6"/>
        <v>検索結果(list) マッチ有無判定</v>
      </c>
    </row>
    <row r="193" spans="1:8" ht="11.25" customHeight="1" outlineLevel="1">
      <c r="A193" s="15"/>
      <c r="B193" s="15" t="s">
        <v>939</v>
      </c>
      <c r="C193" s="16" t="s">
        <v>122</v>
      </c>
      <c r="D193" s="17" t="s">
        <v>122</v>
      </c>
      <c r="E193" s="17" t="s">
        <v>122</v>
      </c>
      <c r="F193" t="s">
        <v>122</v>
      </c>
      <c r="G193">
        <f t="shared" ca="1" si="7"/>
        <v>535</v>
      </c>
      <c r="H193" t="str">
        <f t="shared" si="6"/>
        <v>検索結果(list) マッチ数取得</v>
      </c>
    </row>
    <row r="194" spans="1:8" ht="11.25" customHeight="1" outlineLevel="1">
      <c r="A194" s="15"/>
      <c r="B194" s="15" t="s">
        <v>940</v>
      </c>
      <c r="C194" s="16" t="s">
        <v>122</v>
      </c>
      <c r="D194" s="17" t="s">
        <v>122</v>
      </c>
      <c r="E194" s="17" t="s">
        <v>122</v>
      </c>
      <c r="F194" t="s">
        <v>122</v>
      </c>
      <c r="G194">
        <f t="shared" ca="1" si="7"/>
        <v>536</v>
      </c>
      <c r="H194" t="str">
        <f t="shared" si="6"/>
        <v>検索結果(list) サブマッチ数取得</v>
      </c>
    </row>
    <row r="195" spans="1:8" ht="11.25" customHeight="1" outlineLevel="1">
      <c r="A195" s="15"/>
      <c r="B195" s="15" t="s">
        <v>941</v>
      </c>
      <c r="C195" s="16" t="s">
        <v>122</v>
      </c>
      <c r="D195" s="17" t="s">
        <v>122</v>
      </c>
      <c r="E195" s="17" t="s">
        <v>122</v>
      </c>
      <c r="F195" t="s">
        <v>122</v>
      </c>
      <c r="G195">
        <f t="shared" ca="1" si="7"/>
        <v>537</v>
      </c>
      <c r="H195" t="str">
        <f t="shared" si="6"/>
        <v>検索結果(list) マッチ文字列取得</v>
      </c>
    </row>
    <row r="196" spans="1:8" ht="11.25" customHeight="1" outlineLevel="1">
      <c r="A196" s="15"/>
      <c r="B196" s="15" t="s">
        <v>942</v>
      </c>
      <c r="C196" s="16" t="s">
        <v>122</v>
      </c>
      <c r="D196" s="17" t="s">
        <v>122</v>
      </c>
      <c r="E196" s="17" t="s">
        <v>122</v>
      </c>
      <c r="F196" t="s">
        <v>122</v>
      </c>
      <c r="G196">
        <f t="shared" ca="1" si="7"/>
        <v>538</v>
      </c>
      <c r="H196" t="str">
        <f t="shared" ref="H196:H221" si="11">IF(B196="","",B196)</f>
        <v>検索結果(list) サブマッチ文字列取得</v>
      </c>
    </row>
    <row r="197" spans="1:8" ht="11.25" customHeight="1" outlineLevel="1">
      <c r="A197" s="15"/>
      <c r="B197" s="83" t="s">
        <v>943</v>
      </c>
      <c r="C197" s="87" t="s">
        <v>122</v>
      </c>
      <c r="D197" s="86" t="s">
        <v>122</v>
      </c>
      <c r="E197" s="86" t="s">
        <v>122</v>
      </c>
      <c r="F197" t="s">
        <v>122</v>
      </c>
      <c r="G197">
        <f t="shared" ca="1" si="7"/>
        <v>539</v>
      </c>
      <c r="H197" t="str">
        <f t="shared" si="11"/>
        <v>検索実行(obj) コンパイルあり時</v>
      </c>
    </row>
    <row r="198" spans="1:8" ht="11.25" customHeight="1" outlineLevel="1">
      <c r="A198" s="15"/>
      <c r="B198" s="34" t="s">
        <v>962</v>
      </c>
      <c r="C198" s="81" t="s">
        <v>122</v>
      </c>
      <c r="D198" s="80" t="s">
        <v>122</v>
      </c>
      <c r="E198" s="80" t="s">
        <v>122</v>
      </c>
      <c r="F198" t="s">
        <v>122</v>
      </c>
      <c r="G198">
        <f t="shared" ca="1" si="7"/>
        <v>540</v>
      </c>
      <c r="H198" t="str">
        <f t="shared" si="11"/>
        <v>検索実行(obj) コンパイルなし時</v>
      </c>
    </row>
    <row r="199" spans="1:8" ht="11.25" customHeight="1" outlineLevel="1">
      <c r="A199" s="15"/>
      <c r="B199" s="15" t="s">
        <v>944</v>
      </c>
      <c r="C199" s="24" t="s">
        <v>122</v>
      </c>
      <c r="D199" s="17" t="s">
        <v>122</v>
      </c>
      <c r="E199" s="17" t="s">
        <v>122</v>
      </c>
      <c r="F199" t="s">
        <v>122</v>
      </c>
      <c r="G199">
        <f t="shared" ca="1" si="7"/>
        <v>541</v>
      </c>
      <c r="H199" t="str">
        <f t="shared" si="11"/>
        <v>検索結果(obj) マッチ有無判定</v>
      </c>
    </row>
    <row r="200" spans="1:8" ht="11.25" customHeight="1" outlineLevel="1">
      <c r="A200" s="15"/>
      <c r="B200" s="15" t="s">
        <v>945</v>
      </c>
      <c r="C200" s="26" t="s">
        <v>122</v>
      </c>
      <c r="D200" s="27" t="s">
        <v>122</v>
      </c>
      <c r="E200" s="27" t="s">
        <v>122</v>
      </c>
      <c r="F200" t="s">
        <v>122</v>
      </c>
      <c r="G200">
        <f t="shared" ca="1" si="7"/>
        <v>542</v>
      </c>
      <c r="H200" t="str">
        <f t="shared" si="11"/>
        <v>検索結果(obj) マッチ数取得</v>
      </c>
    </row>
    <row r="201" spans="1:8" ht="11.25" customHeight="1" outlineLevel="1">
      <c r="A201" s="15"/>
      <c r="B201" s="15" t="s">
        <v>946</v>
      </c>
      <c r="C201" s="26" t="s">
        <v>122</v>
      </c>
      <c r="D201" s="27" t="s">
        <v>122</v>
      </c>
      <c r="E201" s="27" t="s">
        <v>122</v>
      </c>
      <c r="F201" t="s">
        <v>122</v>
      </c>
      <c r="G201">
        <f t="shared" ca="1" si="7"/>
        <v>543</v>
      </c>
      <c r="H201" t="str">
        <f t="shared" si="11"/>
        <v>検索結果(obj) サブマッチ数取得</v>
      </c>
    </row>
    <row r="202" spans="1:8" ht="11.25" customHeight="1" outlineLevel="1">
      <c r="A202" s="15"/>
      <c r="B202" s="15" t="s">
        <v>947</v>
      </c>
      <c r="C202" s="16" t="s">
        <v>122</v>
      </c>
      <c r="D202" s="17" t="s">
        <v>122</v>
      </c>
      <c r="E202" s="17" t="s">
        <v>122</v>
      </c>
      <c r="F202" t="s">
        <v>122</v>
      </c>
      <c r="G202">
        <f t="shared" ca="1" si="7"/>
        <v>544</v>
      </c>
      <c r="H202" t="str">
        <f t="shared" si="11"/>
        <v>検索結果(obj) マッチ文字列取得</v>
      </c>
    </row>
    <row r="203" spans="1:8" ht="11.25" customHeight="1" outlineLevel="1">
      <c r="A203" s="15"/>
      <c r="B203" s="15" t="s">
        <v>947</v>
      </c>
      <c r="C203" s="16" t="s">
        <v>122</v>
      </c>
      <c r="D203" s="17" t="s">
        <v>122</v>
      </c>
      <c r="E203" s="17" t="s">
        <v>122</v>
      </c>
      <c r="F203" t="s">
        <v>122</v>
      </c>
      <c r="G203">
        <f t="shared" ca="1" si="7"/>
        <v>545</v>
      </c>
      <c r="H203" t="str">
        <f t="shared" si="11"/>
        <v>検索結果(obj) マッチ文字列取得</v>
      </c>
    </row>
    <row r="204" spans="1:8" ht="11.25" customHeight="1" outlineLevel="1">
      <c r="A204" s="15"/>
      <c r="B204" s="15" t="s">
        <v>948</v>
      </c>
      <c r="C204" s="16" t="s">
        <v>122</v>
      </c>
      <c r="D204" s="17" t="s">
        <v>122</v>
      </c>
      <c r="E204" s="17" t="s">
        <v>122</v>
      </c>
      <c r="F204" t="s">
        <v>122</v>
      </c>
      <c r="G204">
        <f t="shared" ca="1" si="7"/>
        <v>546</v>
      </c>
      <c r="H204" t="str">
        <f t="shared" si="11"/>
        <v>検索結果(obj) サブマッチ文字列取得</v>
      </c>
    </row>
    <row r="205" spans="1:8" ht="11.25" customHeight="1" outlineLevel="1">
      <c r="A205" s="15"/>
      <c r="B205" s="15" t="s">
        <v>960</v>
      </c>
      <c r="C205" s="16" t="s">
        <v>122</v>
      </c>
      <c r="D205" s="17" t="s">
        <v>122</v>
      </c>
      <c r="E205" s="17" t="s">
        <v>122</v>
      </c>
      <c r="F205" t="s">
        <v>122</v>
      </c>
      <c r="G205">
        <f t="shared" ca="1" si="7"/>
        <v>547</v>
      </c>
      <c r="H205" t="str">
        <f t="shared" si="11"/>
        <v>検索結果(obj) マッチ開始位置取得</v>
      </c>
    </row>
    <row r="206" spans="1:8" ht="11.25" customHeight="1" outlineLevel="1">
      <c r="A206" s="15"/>
      <c r="B206" s="15" t="s">
        <v>961</v>
      </c>
      <c r="C206" s="16" t="s">
        <v>122</v>
      </c>
      <c r="D206" s="17" t="s">
        <v>122</v>
      </c>
      <c r="E206" s="17" t="s">
        <v>122</v>
      </c>
      <c r="F206" t="s">
        <v>122</v>
      </c>
      <c r="G206">
        <f t="shared" ca="1" si="7"/>
        <v>548</v>
      </c>
      <c r="H206" t="str">
        <f t="shared" si="11"/>
        <v>検索結果(obj) マッチ終了位置取得</v>
      </c>
    </row>
    <row r="207" spans="1:8" ht="11.25" customHeight="1" outlineLevel="1">
      <c r="A207" s="15"/>
      <c r="B207" s="15" t="s">
        <v>462</v>
      </c>
      <c r="C207" s="16" t="s">
        <v>122</v>
      </c>
      <c r="D207" s="17" t="s">
        <v>122</v>
      </c>
      <c r="E207" s="17" t="s">
        <v>122</v>
      </c>
      <c r="F207" t="s">
        <v>122</v>
      </c>
      <c r="G207">
        <f t="shared" ca="1" si="7"/>
        <v>549</v>
      </c>
      <c r="H207" t="str">
        <f t="shared" si="11"/>
        <v>置換実行</v>
      </c>
    </row>
    <row r="208" spans="1:8" ht="11.25" customHeight="1">
      <c r="A208" s="12" t="s">
        <v>345</v>
      </c>
      <c r="B208" s="13"/>
      <c r="C208" s="13"/>
      <c r="D208" s="14"/>
      <c r="E208" s="14"/>
      <c r="F208" t="s">
        <v>122</v>
      </c>
      <c r="G208">
        <f t="shared" ca="1" si="7"/>
        <v>549</v>
      </c>
      <c r="H208" t="str">
        <f t="shared" si="11"/>
        <v/>
      </c>
    </row>
    <row r="209" spans="1:8" ht="11.25" customHeight="1" outlineLevel="1">
      <c r="A209" s="15"/>
      <c r="B209" s="15" t="s">
        <v>3021</v>
      </c>
      <c r="C209" s="53" t="s">
        <v>122</v>
      </c>
      <c r="D209" s="99" t="s">
        <v>122</v>
      </c>
      <c r="E209" s="99" t="s">
        <v>122</v>
      </c>
      <c r="F209" t="s">
        <v>122</v>
      </c>
      <c r="G209">
        <f t="shared" ca="1" si="7"/>
        <v>550</v>
      </c>
      <c r="H209" t="str">
        <f t="shared" si="11"/>
        <v>インポート</v>
      </c>
    </row>
    <row r="210" spans="1:8" ht="11.25" customHeight="1" outlineLevel="1">
      <c r="A210" s="15"/>
      <c r="B210" s="15" t="s">
        <v>36</v>
      </c>
      <c r="C210" s="53" t="s">
        <v>122</v>
      </c>
      <c r="D210" s="99" t="s">
        <v>122</v>
      </c>
      <c r="E210" s="99" t="s">
        <v>122</v>
      </c>
      <c r="F210" t="s">
        <v>122</v>
      </c>
      <c r="G210">
        <f t="shared" ca="1" si="7"/>
        <v>551</v>
      </c>
      <c r="H210" t="str">
        <f t="shared" si="11"/>
        <v>コマンド実行</v>
      </c>
    </row>
    <row r="211" spans="1:8" ht="11.25" customHeight="1" outlineLevel="1">
      <c r="A211" s="15"/>
      <c r="B211" s="15" t="s">
        <v>37</v>
      </c>
      <c r="C211" s="97" t="s">
        <v>122</v>
      </c>
      <c r="D211" s="37" t="s">
        <v>122</v>
      </c>
      <c r="E211" s="37" t="s">
        <v>122</v>
      </c>
      <c r="F211" t="s">
        <v>122</v>
      </c>
      <c r="G211">
        <f t="shared" ca="1" si="7"/>
        <v>552</v>
      </c>
      <c r="H211" t="str">
        <f t="shared" si="11"/>
        <v>レジストリ読込</v>
      </c>
    </row>
    <row r="212" spans="1:8" ht="11.25" customHeight="1" outlineLevel="1">
      <c r="A212" s="15"/>
      <c r="B212" s="15" t="s">
        <v>38</v>
      </c>
      <c r="C212" s="97" t="s">
        <v>122</v>
      </c>
      <c r="D212" s="37" t="s">
        <v>122</v>
      </c>
      <c r="E212" s="37" t="s">
        <v>122</v>
      </c>
      <c r="F212" t="s">
        <v>122</v>
      </c>
      <c r="G212">
        <f t="shared" ca="1" si="7"/>
        <v>553</v>
      </c>
      <c r="H212" t="str">
        <f t="shared" si="11"/>
        <v>レジストリ書込</v>
      </c>
    </row>
    <row r="213" spans="1:8" ht="11.25" customHeight="1" outlineLevel="1">
      <c r="A213" s="15"/>
      <c r="B213" s="15" t="s">
        <v>1023</v>
      </c>
      <c r="C213" s="53" t="s">
        <v>122</v>
      </c>
      <c r="D213" s="37" t="s">
        <v>122</v>
      </c>
      <c r="E213" s="37" t="s">
        <v>122</v>
      </c>
      <c r="F213" t="s">
        <v>122</v>
      </c>
      <c r="G213">
        <f t="shared" ca="1" si="7"/>
        <v>554</v>
      </c>
      <c r="H213" t="str">
        <f t="shared" si="11"/>
        <v>環境変数 値更新</v>
      </c>
    </row>
    <row r="214" spans="1:8" ht="11.25" customHeight="1" outlineLevel="1">
      <c r="A214" s="15"/>
      <c r="B214" s="15" t="s">
        <v>1024</v>
      </c>
      <c r="C214" s="53" t="s">
        <v>122</v>
      </c>
      <c r="D214" s="37" t="s">
        <v>122</v>
      </c>
      <c r="E214" s="37" t="s">
        <v>122</v>
      </c>
      <c r="F214" t="s">
        <v>122</v>
      </c>
      <c r="G214">
        <f t="shared" ca="1" si="7"/>
        <v>555</v>
      </c>
      <c r="H214" t="str">
        <f t="shared" si="11"/>
        <v>環境変数 値取得</v>
      </c>
    </row>
    <row r="215" spans="1:8" ht="11.25" customHeight="1" outlineLevel="1">
      <c r="A215" s="15"/>
      <c r="B215" s="15" t="s">
        <v>376</v>
      </c>
      <c r="C215" s="53" t="s">
        <v>122</v>
      </c>
      <c r="D215" s="37" t="s">
        <v>122</v>
      </c>
      <c r="E215" s="37" t="s">
        <v>122</v>
      </c>
      <c r="F215" t="s">
        <v>122</v>
      </c>
      <c r="G215">
        <f t="shared" ca="1" si="7"/>
        <v>556</v>
      </c>
      <c r="H215" t="str">
        <f t="shared" si="11"/>
        <v>環境変数 削除</v>
      </c>
    </row>
    <row r="216" spans="1:8" ht="11.25" customHeight="1" outlineLevel="1">
      <c r="A216" s="15"/>
      <c r="B216" s="15" t="s">
        <v>40</v>
      </c>
      <c r="C216" s="97" t="s">
        <v>122</v>
      </c>
      <c r="D216" s="37" t="s">
        <v>122</v>
      </c>
      <c r="E216" s="37" t="s">
        <v>122</v>
      </c>
      <c r="F216" t="s">
        <v>122</v>
      </c>
      <c r="G216">
        <f t="shared" ref="G216:G312" ca="1" si="12">IF(H216="",OFFSET(G216,-1,0),OFFSET(G216,-1,0)+1)</f>
        <v>557</v>
      </c>
      <c r="H216" t="str">
        <f t="shared" si="11"/>
        <v>ショートカット 作成</v>
      </c>
    </row>
    <row r="217" spans="1:8" ht="11.25" customHeight="1" outlineLevel="1">
      <c r="A217" s="15"/>
      <c r="B217" s="15" t="s">
        <v>41</v>
      </c>
      <c r="C217" s="97" t="s">
        <v>122</v>
      </c>
      <c r="D217" s="37" t="s">
        <v>122</v>
      </c>
      <c r="E217" s="37" t="s">
        <v>122</v>
      </c>
      <c r="F217" t="s">
        <v>122</v>
      </c>
      <c r="G217">
        <f t="shared" ca="1" si="12"/>
        <v>558</v>
      </c>
      <c r="H217" t="str">
        <f t="shared" si="11"/>
        <v>ショートカット 指示先パス取得</v>
      </c>
    </row>
    <row r="218" spans="1:8" ht="11.25" customHeight="1" outlineLevel="1">
      <c r="A218" s="15"/>
      <c r="B218" s="15" t="s">
        <v>42</v>
      </c>
      <c r="C218" s="97" t="s">
        <v>122</v>
      </c>
      <c r="D218" s="37" t="s">
        <v>122</v>
      </c>
      <c r="E218" s="37" t="s">
        <v>122</v>
      </c>
      <c r="F218" t="s">
        <v>122</v>
      </c>
      <c r="G218">
        <f t="shared" ca="1" si="12"/>
        <v>559</v>
      </c>
      <c r="H218" t="str">
        <f t="shared" si="11"/>
        <v>ショートカット 指示先パス更新</v>
      </c>
    </row>
    <row r="219" spans="1:8" ht="11.25" customHeight="1" outlineLevel="1">
      <c r="A219" s="15"/>
      <c r="B219" s="15" t="s">
        <v>43</v>
      </c>
      <c r="C219" s="97" t="s">
        <v>122</v>
      </c>
      <c r="D219" s="37" t="s">
        <v>122</v>
      </c>
      <c r="E219" s="37" t="s">
        <v>122</v>
      </c>
      <c r="F219" t="s">
        <v>122</v>
      </c>
      <c r="G219">
        <f t="shared" ca="1" si="12"/>
        <v>560</v>
      </c>
      <c r="H219" t="str">
        <f t="shared" si="11"/>
        <v>ショートカット コメント更新</v>
      </c>
    </row>
    <row r="220" spans="1:8" ht="11.25" customHeight="1" outlineLevel="1">
      <c r="A220" s="15"/>
      <c r="B220" s="15" t="s">
        <v>44</v>
      </c>
      <c r="C220" s="97" t="s">
        <v>122</v>
      </c>
      <c r="D220" s="37" t="s">
        <v>122</v>
      </c>
      <c r="E220" s="37" t="s">
        <v>122</v>
      </c>
      <c r="F220" t="s">
        <v>122</v>
      </c>
      <c r="G220">
        <f t="shared" ca="1" si="12"/>
        <v>561</v>
      </c>
      <c r="H220" t="str">
        <f t="shared" si="11"/>
        <v>ショートカット 引数更新</v>
      </c>
    </row>
    <row r="221" spans="1:8" ht="11.25" customHeight="1" outlineLevel="1">
      <c r="A221" s="15"/>
      <c r="B221" s="15" t="s">
        <v>1029</v>
      </c>
      <c r="C221" s="53" t="s">
        <v>122</v>
      </c>
      <c r="D221" s="37" t="s">
        <v>122</v>
      </c>
      <c r="E221" s="37" t="s">
        <v>122</v>
      </c>
      <c r="G221">
        <f t="shared" ca="1" si="12"/>
        <v>562</v>
      </c>
      <c r="H221" t="str">
        <f t="shared" si="11"/>
        <v>シンボリックリンク 作成</v>
      </c>
    </row>
    <row r="222" spans="1:8" ht="11.25" customHeight="1" outlineLevel="1">
      <c r="A222" s="15"/>
      <c r="B222" s="15" t="s">
        <v>1031</v>
      </c>
      <c r="C222" s="53" t="s">
        <v>122</v>
      </c>
      <c r="D222" s="37" t="s">
        <v>122</v>
      </c>
      <c r="E222" s="37" t="s">
        <v>122</v>
      </c>
      <c r="G222">
        <f t="shared" ca="1" si="12"/>
        <v>562</v>
      </c>
      <c r="H222"/>
    </row>
    <row r="223" spans="1:8" ht="11.25" customHeight="1" outlineLevel="1">
      <c r="A223" s="15"/>
      <c r="B223" s="15" t="s">
        <v>45</v>
      </c>
      <c r="C223" s="97" t="s">
        <v>122</v>
      </c>
      <c r="D223" s="37" t="s">
        <v>122</v>
      </c>
      <c r="E223" s="37" t="s">
        <v>122</v>
      </c>
      <c r="F223" t="s">
        <v>122</v>
      </c>
      <c r="G223">
        <f t="shared" ca="1" si="12"/>
        <v>563</v>
      </c>
      <c r="H223" t="str">
        <f t="shared" ref="H223:H266" si="13">IF(B223="","",B223)</f>
        <v>ポップアップ出力</v>
      </c>
    </row>
    <row r="224" spans="1:8" ht="11.25" customHeight="1" outlineLevel="1">
      <c r="A224" s="15"/>
      <c r="B224" s="15" t="s">
        <v>138</v>
      </c>
      <c r="C224" s="97" t="s">
        <v>122</v>
      </c>
      <c r="D224" s="37" t="s">
        <v>122</v>
      </c>
      <c r="E224" s="37" t="s">
        <v>122</v>
      </c>
      <c r="F224" t="s">
        <v>122</v>
      </c>
      <c r="G224">
        <f t="shared" ca="1" si="12"/>
        <v>564</v>
      </c>
      <c r="H224" t="str">
        <f t="shared" si="13"/>
        <v>クリップボード 書き込み</v>
      </c>
    </row>
    <row r="225" spans="1:8" ht="11.25" customHeight="1" outlineLevel="1">
      <c r="A225" s="15"/>
      <c r="B225" s="15" t="s">
        <v>139</v>
      </c>
      <c r="C225" s="97" t="s">
        <v>122</v>
      </c>
      <c r="D225" s="37" t="s">
        <v>122</v>
      </c>
      <c r="E225" s="37" t="s">
        <v>122</v>
      </c>
      <c r="F225" t="s">
        <v>122</v>
      </c>
      <c r="G225">
        <f t="shared" ca="1" si="12"/>
        <v>565</v>
      </c>
      <c r="H225" t="str">
        <f t="shared" si="13"/>
        <v>クリップボード 取得</v>
      </c>
    </row>
    <row r="226" spans="1:8" ht="11.25" customHeight="1" outlineLevel="1">
      <c r="A226" s="15"/>
      <c r="B226" s="15" t="s">
        <v>987</v>
      </c>
      <c r="C226" s="53" t="s">
        <v>122</v>
      </c>
      <c r="D226" s="37" t="s">
        <v>122</v>
      </c>
      <c r="E226" s="37" t="s">
        <v>122</v>
      </c>
      <c r="F226" t="s">
        <v>122</v>
      </c>
      <c r="G226">
        <f t="shared" ca="1" si="12"/>
        <v>566</v>
      </c>
      <c r="H226" t="str">
        <f t="shared" si="13"/>
        <v>ファイル コピー（ファイル内容）</v>
      </c>
    </row>
    <row r="227" spans="1:8" ht="11.25" customHeight="1" outlineLevel="1">
      <c r="A227" s="15"/>
      <c r="B227" s="15" t="s">
        <v>986</v>
      </c>
      <c r="C227" s="53" t="s">
        <v>122</v>
      </c>
      <c r="D227" s="37" t="s">
        <v>122</v>
      </c>
      <c r="E227" s="37" t="s">
        <v>122</v>
      </c>
      <c r="F227" t="s">
        <v>122</v>
      </c>
      <c r="G227">
        <f t="shared" ca="1" si="12"/>
        <v>567</v>
      </c>
      <c r="H227" t="str">
        <f t="shared" si="13"/>
        <v>ファイル コピー（ファイル内容+Permission）</v>
      </c>
    </row>
    <row r="228" spans="1:8" ht="11.25" customHeight="1" outlineLevel="1">
      <c r="A228" s="15"/>
      <c r="B228" s="15" t="s">
        <v>985</v>
      </c>
      <c r="C228" s="53" t="s">
        <v>122</v>
      </c>
      <c r="D228" s="37" t="s">
        <v>122</v>
      </c>
      <c r="E228" s="37" t="s">
        <v>122</v>
      </c>
      <c r="F228" t="s">
        <v>122</v>
      </c>
      <c r="G228">
        <f t="shared" ca="1" si="12"/>
        <v>568</v>
      </c>
      <c r="H228" t="str">
        <f t="shared" si="13"/>
        <v>ファイル コピー（ファイル内容+Permission+MetaData）</v>
      </c>
    </row>
    <row r="229" spans="1:8" ht="11.25" customHeight="1" outlineLevel="1">
      <c r="A229" s="15"/>
      <c r="B229" s="15" t="s">
        <v>48</v>
      </c>
      <c r="C229" s="53" t="s">
        <v>122</v>
      </c>
      <c r="D229" s="37" t="s">
        <v>122</v>
      </c>
      <c r="E229" s="37" t="s">
        <v>122</v>
      </c>
      <c r="F229" t="s">
        <v>122</v>
      </c>
      <c r="G229">
        <f t="shared" ca="1" si="12"/>
        <v>569</v>
      </c>
      <c r="H229" t="str">
        <f t="shared" si="13"/>
        <v>ファイル 削除</v>
      </c>
    </row>
    <row r="230" spans="1:8" ht="11.25" customHeight="1" outlineLevel="1">
      <c r="A230" s="15"/>
      <c r="B230" s="15" t="s">
        <v>49</v>
      </c>
      <c r="C230" s="53" t="s">
        <v>122</v>
      </c>
      <c r="D230" s="37" t="s">
        <v>122</v>
      </c>
      <c r="E230" s="37" t="s">
        <v>122</v>
      </c>
      <c r="F230" t="s">
        <v>122</v>
      </c>
      <c r="G230">
        <f t="shared" ca="1" si="12"/>
        <v>570</v>
      </c>
      <c r="H230" t="str">
        <f t="shared" si="13"/>
        <v>ファイル 移動/リネーム</v>
      </c>
    </row>
    <row r="231" spans="1:8" ht="11.25" customHeight="1" outlineLevel="1">
      <c r="A231" s="15"/>
      <c r="B231" s="15" t="s">
        <v>1002</v>
      </c>
      <c r="C231" s="53" t="s">
        <v>122</v>
      </c>
      <c r="D231" s="37" t="s">
        <v>122</v>
      </c>
      <c r="E231" s="37" t="s">
        <v>122</v>
      </c>
      <c r="F231" t="s">
        <v>122</v>
      </c>
      <c r="G231">
        <f t="shared" ca="1" si="12"/>
        <v>571</v>
      </c>
      <c r="H231" t="str">
        <f t="shared" si="13"/>
        <v>ファイル 存在確認</v>
      </c>
    </row>
    <row r="232" spans="1:8" ht="11.25" customHeight="1" outlineLevel="1">
      <c r="A232" s="15"/>
      <c r="B232" s="15" t="s">
        <v>51</v>
      </c>
      <c r="C232" s="97" t="s">
        <v>122</v>
      </c>
      <c r="D232" s="37" t="s">
        <v>122</v>
      </c>
      <c r="E232" s="37" t="s">
        <v>122</v>
      </c>
      <c r="F232" t="s">
        <v>122</v>
      </c>
      <c r="G232">
        <f t="shared" ca="1" si="12"/>
        <v>572</v>
      </c>
      <c r="H232" t="str">
        <f t="shared" si="13"/>
        <v>ファイル 隠しファイル化</v>
      </c>
    </row>
    <row r="233" spans="1:8" ht="11.25" customHeight="1" outlineLevel="1">
      <c r="A233" s="15"/>
      <c r="B233" s="15" t="s">
        <v>718</v>
      </c>
      <c r="C233" s="53" t="s">
        <v>122</v>
      </c>
      <c r="D233" s="100" t="s">
        <v>122</v>
      </c>
      <c r="E233" s="100" t="s">
        <v>122</v>
      </c>
      <c r="F233" t="s">
        <v>122</v>
      </c>
      <c r="G233">
        <f t="shared" ca="1" si="12"/>
        <v>573</v>
      </c>
      <c r="H233" t="str">
        <f t="shared" si="13"/>
        <v>ファイル ファイル名/フォルダ名取得</v>
      </c>
    </row>
    <row r="234" spans="1:8" ht="11.25" customHeight="1" outlineLevel="1">
      <c r="A234" s="15"/>
      <c r="B234" s="15" t="s">
        <v>56</v>
      </c>
      <c r="C234" s="53" t="s">
        <v>122</v>
      </c>
      <c r="D234" s="100" t="s">
        <v>122</v>
      </c>
      <c r="E234" s="100" t="s">
        <v>122</v>
      </c>
      <c r="F234" t="s">
        <v>122</v>
      </c>
      <c r="G234">
        <f t="shared" ca="1" si="12"/>
        <v>574</v>
      </c>
      <c r="H234" t="str">
        <f t="shared" si="13"/>
        <v>ファイル 親フォルダパス取得</v>
      </c>
    </row>
    <row r="235" spans="1:8" ht="11.25" customHeight="1" outlineLevel="1">
      <c r="A235" s="15"/>
      <c r="B235" s="15" t="s">
        <v>54</v>
      </c>
      <c r="C235" s="53" t="s">
        <v>122</v>
      </c>
      <c r="D235" s="37" t="s">
        <v>122</v>
      </c>
      <c r="E235" s="37" t="s">
        <v>122</v>
      </c>
      <c r="F235" t="s">
        <v>122</v>
      </c>
      <c r="G235">
        <f t="shared" ca="1" si="12"/>
        <v>575</v>
      </c>
      <c r="H235" t="str">
        <f t="shared" si="13"/>
        <v>ファイル ファイルベース名取得</v>
      </c>
    </row>
    <row r="236" spans="1:8" ht="11.25" customHeight="1" outlineLevel="1">
      <c r="A236" s="15"/>
      <c r="B236" s="15" t="s">
        <v>55</v>
      </c>
      <c r="C236" s="53" t="s">
        <v>122</v>
      </c>
      <c r="D236" s="37" t="s">
        <v>122</v>
      </c>
      <c r="E236" s="37" t="s">
        <v>122</v>
      </c>
      <c r="F236" t="s">
        <v>122</v>
      </c>
      <c r="G236">
        <f t="shared" ca="1" si="12"/>
        <v>576</v>
      </c>
      <c r="H236" t="str">
        <f t="shared" si="13"/>
        <v>ファイル 拡張子取得</v>
      </c>
    </row>
    <row r="237" spans="1:8" ht="11.25" customHeight="1" outlineLevel="1">
      <c r="A237" s="15"/>
      <c r="B237" s="15" t="s">
        <v>983</v>
      </c>
      <c r="C237" s="53" t="s">
        <v>122</v>
      </c>
      <c r="D237" s="37" t="s">
        <v>122</v>
      </c>
      <c r="E237" s="37" t="s">
        <v>122</v>
      </c>
      <c r="F237" t="s">
        <v>122</v>
      </c>
      <c r="G237">
        <f t="shared" ca="1" si="12"/>
        <v>577</v>
      </c>
      <c r="H237" t="str">
        <f t="shared" si="13"/>
        <v>フォルダ コピー（配下全て）</v>
      </c>
    </row>
    <row r="238" spans="1:8" ht="11.25" customHeight="1" outlineLevel="1">
      <c r="A238" s="15"/>
      <c r="B238" s="15" t="s">
        <v>993</v>
      </c>
      <c r="C238" s="53" t="s">
        <v>122</v>
      </c>
      <c r="D238" s="37" t="s">
        <v>122</v>
      </c>
      <c r="E238" s="37" t="s">
        <v>122</v>
      </c>
      <c r="F238" t="s">
        <v>122</v>
      </c>
      <c r="G238">
        <f t="shared" ca="1" si="12"/>
        <v>578</v>
      </c>
      <c r="H238" t="str">
        <f t="shared" si="13"/>
        <v>フォルダ 削除（空ディレクトリのみ）</v>
      </c>
    </row>
    <row r="239" spans="1:8" ht="11.25" customHeight="1" outlineLevel="1">
      <c r="A239" s="15"/>
      <c r="B239" s="15" t="s">
        <v>984</v>
      </c>
      <c r="C239" s="53" t="s">
        <v>122</v>
      </c>
      <c r="D239" s="37" t="s">
        <v>122</v>
      </c>
      <c r="E239" s="37" t="s">
        <v>122</v>
      </c>
      <c r="F239" t="s">
        <v>122</v>
      </c>
      <c r="G239">
        <f t="shared" ca="1" si="12"/>
        <v>579</v>
      </c>
      <c r="H239" t="str">
        <f t="shared" si="13"/>
        <v>フォルダ 削除（配下全て）</v>
      </c>
    </row>
    <row r="240" spans="1:8" ht="11.25" customHeight="1" outlineLevel="1">
      <c r="A240" s="15"/>
      <c r="B240" s="15" t="s">
        <v>844</v>
      </c>
      <c r="C240" s="53" t="s">
        <v>122</v>
      </c>
      <c r="D240" s="37" t="s">
        <v>122</v>
      </c>
      <c r="E240" s="37" t="s">
        <v>122</v>
      </c>
      <c r="F240" t="s">
        <v>122</v>
      </c>
      <c r="G240">
        <f t="shared" ca="1" si="12"/>
        <v>580</v>
      </c>
      <c r="H240" t="str">
        <f t="shared" si="13"/>
        <v>フォルダ 作成（単層）</v>
      </c>
    </row>
    <row r="241" spans="1:8" ht="11.25" customHeight="1" outlineLevel="1">
      <c r="A241" s="15"/>
      <c r="B241" s="15" t="s">
        <v>845</v>
      </c>
      <c r="C241" s="53" t="s">
        <v>122</v>
      </c>
      <c r="D241" s="37" t="s">
        <v>122</v>
      </c>
      <c r="E241" s="37" t="s">
        <v>122</v>
      </c>
      <c r="F241" t="s">
        <v>122</v>
      </c>
      <c r="G241">
        <f t="shared" ca="1" si="12"/>
        <v>581</v>
      </c>
      <c r="H241" t="str">
        <f t="shared" si="13"/>
        <v>フォルダ 作成（複層）</v>
      </c>
    </row>
    <row r="242" spans="1:8" ht="11.25" customHeight="1" outlineLevel="1">
      <c r="A242" s="15"/>
      <c r="B242" s="15" t="s">
        <v>60</v>
      </c>
      <c r="C242" s="53" t="s">
        <v>122</v>
      </c>
      <c r="D242" s="37" t="s">
        <v>122</v>
      </c>
      <c r="E242" s="37" t="s">
        <v>122</v>
      </c>
      <c r="F242" t="s">
        <v>122</v>
      </c>
      <c r="G242">
        <f t="shared" ca="1" si="12"/>
        <v>582</v>
      </c>
      <c r="H242" t="str">
        <f t="shared" si="13"/>
        <v>フォルダ 移動/リネーム</v>
      </c>
    </row>
    <row r="243" spans="1:8" ht="11.25" customHeight="1" outlineLevel="1">
      <c r="A243" s="15"/>
      <c r="B243" s="15" t="s">
        <v>61</v>
      </c>
      <c r="C243" s="97" t="s">
        <v>122</v>
      </c>
      <c r="D243" s="37" t="s">
        <v>122</v>
      </c>
      <c r="E243" s="37" t="s">
        <v>122</v>
      </c>
      <c r="F243" t="s">
        <v>122</v>
      </c>
      <c r="G243">
        <f t="shared" ca="1" si="12"/>
        <v>583</v>
      </c>
      <c r="H243" t="str">
        <f t="shared" si="13"/>
        <v>フォルダ 情報取得</v>
      </c>
    </row>
    <row r="244" spans="1:8" ht="11.25" customHeight="1" outlineLevel="1">
      <c r="A244" s="15"/>
      <c r="B244" s="15" t="s">
        <v>387</v>
      </c>
      <c r="C244" s="53" t="s">
        <v>122</v>
      </c>
      <c r="D244" s="37" t="s">
        <v>122</v>
      </c>
      <c r="E244" s="37" t="s">
        <v>122</v>
      </c>
      <c r="F244" t="s">
        <v>122</v>
      </c>
      <c r="G244">
        <f t="shared" ca="1" si="12"/>
        <v>584</v>
      </c>
      <c r="H244" t="str">
        <f t="shared" si="13"/>
        <v>フォルダ 存在確認</v>
      </c>
    </row>
    <row r="245" spans="1:8" ht="11.25" customHeight="1" outlineLevel="1">
      <c r="A245" s="15"/>
      <c r="B245" s="15" t="s">
        <v>388</v>
      </c>
      <c r="C245" s="53" t="s">
        <v>122</v>
      </c>
      <c r="D245" s="37" t="s">
        <v>122</v>
      </c>
      <c r="E245" s="37" t="s">
        <v>122</v>
      </c>
      <c r="F245" t="s">
        <v>122</v>
      </c>
      <c r="G245">
        <f t="shared" ca="1" si="12"/>
        <v>585</v>
      </c>
      <c r="H245" t="str">
        <f t="shared" si="13"/>
        <v>フォルダ 親フォルダパス取得</v>
      </c>
    </row>
    <row r="246" spans="1:8" ht="11.25" customHeight="1" outlineLevel="1">
      <c r="B246" s="15" t="s">
        <v>339</v>
      </c>
      <c r="C246" s="53" t="s">
        <v>122</v>
      </c>
      <c r="D246" s="37" t="s">
        <v>122</v>
      </c>
      <c r="E246" s="37" t="s">
        <v>122</v>
      </c>
      <c r="F246" t="s">
        <v>122</v>
      </c>
      <c r="G246">
        <f t="shared" ca="1" si="12"/>
        <v>586</v>
      </c>
      <c r="H246" t="str">
        <f t="shared" si="13"/>
        <v>フォルダ 特殊フォルダパス取得</v>
      </c>
    </row>
    <row r="247" spans="1:8" ht="11.25" customHeight="1" outlineLevel="1">
      <c r="B247" s="15" t="s">
        <v>988</v>
      </c>
      <c r="C247" s="53" t="s">
        <v>122</v>
      </c>
      <c r="D247" s="37" t="s">
        <v>122</v>
      </c>
      <c r="E247" s="37" t="s">
        <v>122</v>
      </c>
      <c r="F247" t="s">
        <v>122</v>
      </c>
      <c r="G247">
        <f t="shared" ca="1" si="12"/>
        <v>587</v>
      </c>
      <c r="H247" t="str">
        <f t="shared" si="13"/>
        <v>フォルダ パーミッション変更</v>
      </c>
    </row>
    <row r="248" spans="1:8" ht="11.25" customHeight="1" outlineLevel="1">
      <c r="B248" s="15" t="s">
        <v>1008</v>
      </c>
      <c r="C248" s="53" t="s">
        <v>122</v>
      </c>
      <c r="D248" s="37" t="s">
        <v>122</v>
      </c>
      <c r="E248" s="37" t="s">
        <v>122</v>
      </c>
      <c r="F248" t="s">
        <v>122</v>
      </c>
      <c r="G248">
        <f t="shared" ca="1" si="12"/>
        <v>588</v>
      </c>
      <c r="H248" t="str">
        <f t="shared" si="13"/>
        <v>フォルダ パーミッション確認</v>
      </c>
    </row>
    <row r="249" spans="1:8" ht="11.25" customHeight="1" outlineLevel="1">
      <c r="B249" s="15" t="s">
        <v>856</v>
      </c>
      <c r="C249" s="53" t="s">
        <v>122</v>
      </c>
      <c r="D249" s="37" t="s">
        <v>122</v>
      </c>
      <c r="E249" s="37" t="s">
        <v>122</v>
      </c>
      <c r="F249" t="s">
        <v>122</v>
      </c>
      <c r="G249">
        <f t="shared" ca="1" si="12"/>
        <v>589</v>
      </c>
      <c r="H249" t="str">
        <f t="shared" si="13"/>
        <v>ファイル/ディレクトリ判別</v>
      </c>
    </row>
    <row r="250" spans="1:8" ht="11.25" customHeight="1" outlineLevel="1">
      <c r="A250" s="15"/>
      <c r="B250" s="15" t="s">
        <v>848</v>
      </c>
      <c r="C250" s="53" t="s">
        <v>122</v>
      </c>
      <c r="D250" s="37" t="s">
        <v>122</v>
      </c>
      <c r="E250" s="37" t="s">
        <v>122</v>
      </c>
      <c r="F250" t="s">
        <v>122</v>
      </c>
      <c r="G250">
        <f t="shared" ca="1" si="12"/>
        <v>590</v>
      </c>
      <c r="H250" t="str">
        <f t="shared" si="13"/>
        <v>実行スクリプト ファイル絶対パス</v>
      </c>
    </row>
    <row r="251" spans="1:8" ht="11.25" customHeight="1" outlineLevel="1">
      <c r="A251" s="15"/>
      <c r="B251" s="15" t="s">
        <v>849</v>
      </c>
      <c r="C251" s="53" t="s">
        <v>122</v>
      </c>
      <c r="D251" s="37" t="s">
        <v>122</v>
      </c>
      <c r="E251" s="37" t="s">
        <v>122</v>
      </c>
      <c r="F251" t="s">
        <v>122</v>
      </c>
      <c r="G251">
        <f t="shared" ca="1" si="12"/>
        <v>591</v>
      </c>
      <c r="H251" t="str">
        <f t="shared" si="13"/>
        <v>実行スクリプト ファイル名</v>
      </c>
    </row>
    <row r="252" spans="1:8" ht="11.25" customHeight="1" outlineLevel="1">
      <c r="A252" s="15"/>
      <c r="B252" s="15" t="s">
        <v>1017</v>
      </c>
      <c r="C252" s="53" t="s">
        <v>122</v>
      </c>
      <c r="D252" s="37" t="s">
        <v>122</v>
      </c>
      <c r="E252" s="37" t="s">
        <v>122</v>
      </c>
      <c r="F252" t="s">
        <v>122</v>
      </c>
      <c r="G252">
        <f t="shared" ca="1" si="12"/>
        <v>592</v>
      </c>
      <c r="H252" t="str">
        <f t="shared" si="13"/>
        <v>実行スクリプト ファイルパス①</v>
      </c>
    </row>
    <row r="253" spans="1:8" ht="11.25" customHeight="1" outlineLevel="1">
      <c r="A253" s="15"/>
      <c r="B253" s="15" t="s">
        <v>1018</v>
      </c>
      <c r="C253" s="53" t="s">
        <v>122</v>
      </c>
      <c r="D253" s="37" t="s">
        <v>122</v>
      </c>
      <c r="E253" s="37" t="s">
        <v>122</v>
      </c>
      <c r="F253" t="s">
        <v>122</v>
      </c>
      <c r="G253">
        <f t="shared" ca="1" si="12"/>
        <v>593</v>
      </c>
      <c r="H253" t="str">
        <f t="shared" si="13"/>
        <v>実行スクリプト ファイルパス②</v>
      </c>
    </row>
    <row r="254" spans="1:8" ht="11.25" customHeight="1" outlineLevel="1">
      <c r="A254" s="15"/>
      <c r="B254" s="15" t="s">
        <v>117</v>
      </c>
      <c r="C254" s="53" t="s">
        <v>122</v>
      </c>
      <c r="D254" s="37" t="s">
        <v>122</v>
      </c>
      <c r="E254" s="37" t="s">
        <v>122</v>
      </c>
      <c r="F254" t="s">
        <v>122</v>
      </c>
      <c r="G254">
        <f t="shared" ca="1" si="12"/>
        <v>594</v>
      </c>
      <c r="H254" t="str">
        <f t="shared" si="13"/>
        <v>実行スクリプト ファイルベース名①</v>
      </c>
    </row>
    <row r="255" spans="1:8" ht="11.25" customHeight="1" outlineLevel="1">
      <c r="A255" s="15"/>
      <c r="B255" s="15" t="s">
        <v>1022</v>
      </c>
      <c r="C255" s="53" t="s">
        <v>122</v>
      </c>
      <c r="D255" s="37" t="s">
        <v>122</v>
      </c>
      <c r="E255" s="37" t="s">
        <v>122</v>
      </c>
      <c r="F255" t="s">
        <v>122</v>
      </c>
      <c r="G255">
        <f t="shared" ca="1" si="12"/>
        <v>595</v>
      </c>
      <c r="H255" t="str">
        <f t="shared" si="13"/>
        <v>実行スクリプト フォルダパス</v>
      </c>
    </row>
    <row r="256" spans="1:8" ht="11.25" customHeight="1" outlineLevel="1">
      <c r="A256" s="15"/>
      <c r="B256" s="15" t="s">
        <v>2300</v>
      </c>
      <c r="C256" s="53" t="s">
        <v>122</v>
      </c>
      <c r="D256" s="37" t="s">
        <v>122</v>
      </c>
      <c r="E256" s="37" t="s">
        <v>122</v>
      </c>
      <c r="F256" t="s">
        <v>122</v>
      </c>
      <c r="G256">
        <f ca="1">IF(H256="",OFFSET(G256,-1,0),OFFSET(G256,-1,0)+1)</f>
        <v>596</v>
      </c>
      <c r="H256" t="str">
        <f t="shared" si="13"/>
        <v>作業ディレクトリ フォルダパス</v>
      </c>
    </row>
    <row r="257" spans="1:8" ht="11.25" customHeight="1" outlineLevel="1">
      <c r="A257" s="15"/>
      <c r="B257" s="31" t="s">
        <v>13</v>
      </c>
      <c r="C257" s="53" t="s">
        <v>122</v>
      </c>
      <c r="D257" s="37" t="s">
        <v>122</v>
      </c>
      <c r="E257" s="37" t="s">
        <v>122</v>
      </c>
      <c r="F257" t="s">
        <v>122</v>
      </c>
      <c r="G257">
        <f t="shared" ca="1" si="12"/>
        <v>597</v>
      </c>
      <c r="H257" t="str">
        <f t="shared" si="13"/>
        <v>プログラム終了</v>
      </c>
    </row>
    <row r="258" spans="1:8" ht="11.25" customHeight="1" outlineLevel="1">
      <c r="A258" s="15"/>
      <c r="B258" s="15" t="s">
        <v>714</v>
      </c>
      <c r="C258" s="53" t="s">
        <v>122</v>
      </c>
      <c r="D258" s="37" t="s">
        <v>122</v>
      </c>
      <c r="E258" s="37" t="s">
        <v>122</v>
      </c>
      <c r="F258" t="s">
        <v>122</v>
      </c>
      <c r="G258">
        <f t="shared" ca="1" si="12"/>
        <v>598</v>
      </c>
      <c r="H258" t="str">
        <f t="shared" si="13"/>
        <v>スクリプト引数 取得</v>
      </c>
    </row>
    <row r="259" spans="1:8" ht="11.25" customHeight="1" outlineLevel="1">
      <c r="A259" s="15"/>
      <c r="B259" s="15" t="s">
        <v>713</v>
      </c>
      <c r="C259" s="53" t="s">
        <v>122</v>
      </c>
      <c r="D259" s="37" t="s">
        <v>122</v>
      </c>
      <c r="E259" s="37" t="s">
        <v>122</v>
      </c>
      <c r="F259" t="s">
        <v>122</v>
      </c>
      <c r="G259">
        <f t="shared" ca="1" si="12"/>
        <v>599</v>
      </c>
      <c r="H259" t="str">
        <f t="shared" si="13"/>
        <v>スクリプト引数の数 取得</v>
      </c>
    </row>
    <row r="260" spans="1:8" ht="11.25" customHeight="1" outlineLevel="1">
      <c r="A260" s="15"/>
      <c r="B260" s="15" t="s">
        <v>2304</v>
      </c>
      <c r="C260" s="53" t="s">
        <v>122</v>
      </c>
      <c r="D260" s="37" t="s">
        <v>122</v>
      </c>
      <c r="E260" s="37" t="s">
        <v>122</v>
      </c>
      <c r="F260" t="s">
        <v>122</v>
      </c>
      <c r="G260">
        <f t="shared" ca="1" si="12"/>
        <v>600</v>
      </c>
      <c r="H260" t="str">
        <f t="shared" si="13"/>
        <v>モジュール名 取得</v>
      </c>
    </row>
    <row r="261" spans="1:8" ht="11.25" customHeight="1">
      <c r="A261" s="13" t="s">
        <v>3017</v>
      </c>
      <c r="B261" s="13"/>
      <c r="C261" s="12"/>
      <c r="D261" s="14"/>
      <c r="E261" s="14"/>
      <c r="F261" t="s">
        <v>122</v>
      </c>
      <c r="G261">
        <f ca="1">IF(H261="",OFFSET(G261,-1,0),OFFSET(G261,-1,0)+1)</f>
        <v>600</v>
      </c>
      <c r="H261" t="str">
        <f t="shared" si="13"/>
        <v/>
      </c>
    </row>
    <row r="262" spans="1:8" ht="11.25" customHeight="1" outlineLevel="1">
      <c r="A262" s="15"/>
      <c r="B262" s="15" t="s">
        <v>3021</v>
      </c>
      <c r="C262" s="53" t="s">
        <v>122</v>
      </c>
      <c r="D262" s="37" t="s">
        <v>122</v>
      </c>
      <c r="E262" s="37" t="s">
        <v>122</v>
      </c>
      <c r="F262" t="s">
        <v>122</v>
      </c>
      <c r="G262">
        <f ca="1">IF(H262="",OFFSET(G262,-1,0),OFFSET(G262,-1,0)+1)</f>
        <v>601</v>
      </c>
      <c r="H262" t="str">
        <f t="shared" si="13"/>
        <v>インポート</v>
      </c>
    </row>
    <row r="263" spans="1:8" ht="11.25" customHeight="1" outlineLevel="1">
      <c r="A263" s="15"/>
      <c r="B263" s="15" t="s">
        <v>3025</v>
      </c>
      <c r="C263" s="53" t="s">
        <v>122</v>
      </c>
      <c r="D263" s="37" t="s">
        <v>122</v>
      </c>
      <c r="E263" s="37" t="s">
        <v>122</v>
      </c>
      <c r="F263" t="s">
        <v>122</v>
      </c>
      <c r="G263">
        <f t="shared" ref="G263:G292" ca="1" si="14">IF(H263="",OFFSET(G263,-1,0),OFFSET(G263,-1,0)+1)</f>
        <v>602</v>
      </c>
      <c r="H263" t="str">
        <f t="shared" si="13"/>
        <v>文字列型→パス型変換</v>
      </c>
    </row>
    <row r="264" spans="1:8" ht="11.25" customHeight="1" outlineLevel="1">
      <c r="A264" s="15"/>
      <c r="B264" s="15" t="s">
        <v>3024</v>
      </c>
      <c r="C264" s="53" t="s">
        <v>122</v>
      </c>
      <c r="D264" s="37" t="s">
        <v>122</v>
      </c>
      <c r="E264" s="37" t="s">
        <v>122</v>
      </c>
      <c r="F264" t="s">
        <v>122</v>
      </c>
      <c r="G264">
        <f ca="1">IF(H264="",OFFSET(G264,-1,0),OFFSET(G264,-1,0)+1)</f>
        <v>603</v>
      </c>
      <c r="H264" t="str">
        <f t="shared" si="13"/>
        <v>パス型→文字列型変換</v>
      </c>
    </row>
    <row r="265" spans="1:8" ht="11.25" customHeight="1" outlineLevel="1">
      <c r="A265" s="15"/>
      <c r="B265" s="15" t="s">
        <v>3019</v>
      </c>
      <c r="C265" s="53" t="s">
        <v>122</v>
      </c>
      <c r="D265" s="37" t="s">
        <v>122</v>
      </c>
      <c r="E265" s="37" t="s">
        <v>122</v>
      </c>
      <c r="F265" t="s">
        <v>122</v>
      </c>
      <c r="G265">
        <f t="shared" ca="1" si="14"/>
        <v>604</v>
      </c>
      <c r="H265" t="str">
        <f t="shared" si="13"/>
        <v>相対パス→絶対パス変換（..除去あり）</v>
      </c>
    </row>
    <row r="266" spans="1:8" ht="11.25" customHeight="1" outlineLevel="1">
      <c r="A266" s="15"/>
      <c r="B266" s="15" t="s">
        <v>3018</v>
      </c>
      <c r="C266" s="53" t="s">
        <v>122</v>
      </c>
      <c r="D266" s="37" t="s">
        <v>122</v>
      </c>
      <c r="E266" s="37" t="s">
        <v>122</v>
      </c>
      <c r="F266" t="s">
        <v>122</v>
      </c>
      <c r="G266">
        <f ca="1">IF(H266="",OFFSET(G266,-1,0),OFFSET(G266,-1,0)+1)</f>
        <v>605</v>
      </c>
      <c r="H266" t="str">
        <f t="shared" si="13"/>
        <v>相対パス→絶対パス変換（..除去なし）</v>
      </c>
    </row>
    <row r="267" spans="1:8" ht="11.25" customHeight="1" outlineLevel="1">
      <c r="A267" s="15"/>
      <c r="B267" s="15" t="s">
        <v>3020</v>
      </c>
      <c r="C267" s="53" t="s">
        <v>122</v>
      </c>
      <c r="D267" s="37" t="s">
        <v>122</v>
      </c>
      <c r="E267" s="37" t="s">
        <v>122</v>
      </c>
      <c r="F267" t="s">
        <v>122</v>
      </c>
      <c r="G267">
        <f t="shared" ref="G267:G283" ca="1" si="15">IF(H267="",OFFSET(G267,-1,0),OFFSET(G267,-1,0)+1)</f>
        <v>606</v>
      </c>
      <c r="H267" t="str">
        <f t="shared" ref="H267:H283" si="16">IF(B267="","",B267)</f>
        <v>絶対パス→相対パス変換</v>
      </c>
    </row>
    <row r="268" spans="1:8" ht="11.25" customHeight="1" outlineLevel="1">
      <c r="A268" s="15"/>
      <c r="B268" s="15" t="s">
        <v>3022</v>
      </c>
      <c r="C268" s="53" t="s">
        <v>122</v>
      </c>
      <c r="D268" s="37" t="s">
        <v>122</v>
      </c>
      <c r="E268" s="37" t="s">
        <v>122</v>
      </c>
      <c r="F268" t="s">
        <v>122</v>
      </c>
      <c r="G268">
        <f t="shared" ca="1" si="15"/>
        <v>607</v>
      </c>
      <c r="H268" t="str">
        <f t="shared" si="16"/>
        <v>絶対パス判定</v>
      </c>
    </row>
    <row r="269" spans="1:8" ht="11.25" customHeight="1" outlineLevel="1">
      <c r="A269" s="15"/>
      <c r="B269" s="15" t="s">
        <v>3057</v>
      </c>
      <c r="C269" s="53" t="s">
        <v>122</v>
      </c>
      <c r="D269" s="37" t="s">
        <v>122</v>
      </c>
      <c r="E269" s="37" t="s">
        <v>122</v>
      </c>
      <c r="F269" t="s">
        <v>122</v>
      </c>
      <c r="G269">
        <f t="shared" ca="1" si="15"/>
        <v>608</v>
      </c>
      <c r="H269" t="str">
        <f t="shared" si="16"/>
        <v>ファイル存在確認</v>
      </c>
    </row>
    <row r="270" spans="1:8" ht="11.25" customHeight="1" outlineLevel="1">
      <c r="A270" s="15"/>
      <c r="B270" s="15" t="s">
        <v>3066</v>
      </c>
      <c r="C270" s="53" t="s">
        <v>122</v>
      </c>
      <c r="D270" s="37" t="s">
        <v>122</v>
      </c>
      <c r="E270" s="37" t="s">
        <v>122</v>
      </c>
      <c r="F270" t="s">
        <v>122</v>
      </c>
      <c r="G270">
        <f t="shared" ca="1" si="15"/>
        <v>609</v>
      </c>
      <c r="H270" t="str">
        <f t="shared" si="16"/>
        <v>親ディレクトリパス取得</v>
      </c>
    </row>
    <row r="271" spans="1:8" ht="11.25" customHeight="1" outlineLevel="1">
      <c r="A271" s="15"/>
      <c r="B271" s="15" t="s">
        <v>3067</v>
      </c>
      <c r="C271" s="53" t="s">
        <v>122</v>
      </c>
      <c r="D271" s="37" t="s">
        <v>122</v>
      </c>
      <c r="E271" s="37" t="s">
        <v>122</v>
      </c>
      <c r="F271" t="s">
        <v>122</v>
      </c>
      <c r="G271">
        <f t="shared" ca="1" si="15"/>
        <v>610</v>
      </c>
      <c r="H271" t="str">
        <f t="shared" si="16"/>
        <v>親ディレクトリパス取得(１階層以上)</v>
      </c>
    </row>
    <row r="272" spans="1:8" ht="11.25" customHeight="1" outlineLevel="1">
      <c r="A272" s="15"/>
      <c r="B272" s="15" t="s">
        <v>3068</v>
      </c>
      <c r="C272" s="53" t="s">
        <v>122</v>
      </c>
      <c r="D272" s="37" t="s">
        <v>122</v>
      </c>
      <c r="E272" s="37" t="s">
        <v>122</v>
      </c>
      <c r="F272" t="s">
        <v>122</v>
      </c>
      <c r="G272">
        <f t="shared" ca="1" si="15"/>
        <v>611</v>
      </c>
      <c r="H272" t="str">
        <f t="shared" si="16"/>
        <v>親ディレクトリパス取得(２階層以上)</v>
      </c>
    </row>
    <row r="273" spans="1:8" ht="11.25" customHeight="1" outlineLevel="1">
      <c r="A273" s="15"/>
      <c r="B273" s="15" t="s">
        <v>3069</v>
      </c>
      <c r="C273" s="53" t="s">
        <v>122</v>
      </c>
      <c r="D273" s="37" t="s">
        <v>122</v>
      </c>
      <c r="E273" s="37" t="s">
        <v>122</v>
      </c>
      <c r="F273" t="s">
        <v>122</v>
      </c>
      <c r="G273">
        <f t="shared" ca="1" si="15"/>
        <v>612</v>
      </c>
      <c r="H273" t="str">
        <f t="shared" si="16"/>
        <v>親ディレクトリパス取得(３階層以上)</v>
      </c>
    </row>
    <row r="274" spans="1:8" ht="11.25" customHeight="1" outlineLevel="1">
      <c r="A274" s="15"/>
      <c r="B274" s="15" t="s">
        <v>3080</v>
      </c>
      <c r="C274" s="53" t="s">
        <v>122</v>
      </c>
      <c r="D274" s="37" t="s">
        <v>122</v>
      </c>
      <c r="E274" s="37" t="s">
        <v>122</v>
      </c>
      <c r="F274" t="s">
        <v>122</v>
      </c>
      <c r="G274">
        <f t="shared" ca="1" si="15"/>
        <v>613</v>
      </c>
      <c r="H274" t="str">
        <f t="shared" si="16"/>
        <v>親ディレクトリパス取得(トップから1階層以下)</v>
      </c>
    </row>
    <row r="275" spans="1:8" ht="11.25" customHeight="1" outlineLevel="1">
      <c r="A275" s="15"/>
      <c r="B275" s="15" t="s">
        <v>3081</v>
      </c>
      <c r="C275" s="53" t="s">
        <v>122</v>
      </c>
      <c r="D275" s="37" t="s">
        <v>122</v>
      </c>
      <c r="E275" s="37" t="s">
        <v>122</v>
      </c>
      <c r="F275" t="s">
        <v>122</v>
      </c>
      <c r="G275">
        <f t="shared" ca="1" si="15"/>
        <v>614</v>
      </c>
      <c r="H275" t="str">
        <f t="shared" si="16"/>
        <v>親ディレクトリパス取得(トップから2階層以下)</v>
      </c>
    </row>
    <row r="276" spans="1:8" ht="11.25" customHeight="1" outlineLevel="1">
      <c r="A276" s="15"/>
      <c r="B276" s="15" t="s">
        <v>3076</v>
      </c>
      <c r="C276" s="53" t="s">
        <v>122</v>
      </c>
      <c r="D276" s="37" t="s">
        <v>122</v>
      </c>
      <c r="E276" s="37" t="s">
        <v>122</v>
      </c>
      <c r="F276" t="s">
        <v>122</v>
      </c>
      <c r="G276">
        <f t="shared" ca="1" si="15"/>
        <v>615</v>
      </c>
      <c r="H276" t="str">
        <f t="shared" si="16"/>
        <v>ファイル名取得</v>
      </c>
    </row>
    <row r="277" spans="1:8" ht="11.25" customHeight="1" outlineLevel="1">
      <c r="A277" s="15"/>
      <c r="B277" s="15" t="s">
        <v>3077</v>
      </c>
      <c r="C277" s="53" t="s">
        <v>122</v>
      </c>
      <c r="D277" s="37" t="s">
        <v>122</v>
      </c>
      <c r="E277" s="37" t="s">
        <v>122</v>
      </c>
      <c r="F277" t="s">
        <v>122</v>
      </c>
      <c r="G277">
        <f t="shared" ca="1" si="15"/>
        <v>616</v>
      </c>
      <c r="H277" t="str">
        <f t="shared" si="16"/>
        <v>ファイルベース名取得</v>
      </c>
    </row>
    <row r="278" spans="1:8" ht="11.25" customHeight="1" outlineLevel="1">
      <c r="A278" s="15"/>
      <c r="B278" s="15" t="s">
        <v>3078</v>
      </c>
      <c r="C278" s="53" t="s">
        <v>122</v>
      </c>
      <c r="D278" s="37" t="s">
        <v>122</v>
      </c>
      <c r="E278" s="37" t="s">
        <v>122</v>
      </c>
      <c r="F278" t="s">
        <v>122</v>
      </c>
      <c r="G278">
        <f t="shared" ca="1" si="15"/>
        <v>617</v>
      </c>
      <c r="H278" t="str">
        <f t="shared" si="16"/>
        <v>拡張子取得</v>
      </c>
    </row>
    <row r="279" spans="1:8" ht="11.25" customHeight="1" outlineLevel="1">
      <c r="A279" s="15"/>
      <c r="B279" s="15" t="s">
        <v>3079</v>
      </c>
      <c r="C279" s="53" t="s">
        <v>122</v>
      </c>
      <c r="D279" s="37" t="s">
        <v>122</v>
      </c>
      <c r="E279" s="37" t="s">
        <v>122</v>
      </c>
      <c r="F279" t="s">
        <v>122</v>
      </c>
      <c r="G279">
        <f t="shared" ca="1" si="15"/>
        <v>618</v>
      </c>
      <c r="H279" t="str">
        <f t="shared" si="16"/>
        <v>拡張子取得（複数ピリオド時）</v>
      </c>
    </row>
    <row r="280" spans="1:8" ht="11.25" customHeight="1" outlineLevel="1">
      <c r="A280" s="15"/>
      <c r="B280" s="15" t="s">
        <v>646</v>
      </c>
      <c r="C280" s="53" t="s">
        <v>122</v>
      </c>
      <c r="D280" s="37" t="s">
        <v>122</v>
      </c>
      <c r="E280" s="37" t="s">
        <v>122</v>
      </c>
      <c r="F280" t="s">
        <v>122</v>
      </c>
      <c r="G280">
        <f t="shared" ca="1" si="15"/>
        <v>619</v>
      </c>
      <c r="H280" t="str">
        <f t="shared" si="16"/>
        <v>カレントディレクトリ取得</v>
      </c>
    </row>
    <row r="281" spans="1:8" ht="11.25" customHeight="1" outlineLevel="1">
      <c r="A281" s="15"/>
      <c r="B281" s="15" t="s">
        <v>3097</v>
      </c>
      <c r="C281" s="53" t="s">
        <v>122</v>
      </c>
      <c r="D281" s="37" t="s">
        <v>122</v>
      </c>
      <c r="E281" s="37" t="s">
        <v>122</v>
      </c>
      <c r="F281" t="s">
        <v>122</v>
      </c>
      <c r="G281">
        <f t="shared" ca="1" si="15"/>
        <v>620</v>
      </c>
      <c r="H281" t="str">
        <f t="shared" si="16"/>
        <v>パス結合</v>
      </c>
    </row>
    <row r="282" spans="1:8" ht="11.25" customHeight="1" outlineLevel="1">
      <c r="A282" s="15"/>
      <c r="B282" s="15" t="s">
        <v>3090</v>
      </c>
      <c r="C282" s="53" t="s">
        <v>122</v>
      </c>
      <c r="D282" s="37" t="s">
        <v>122</v>
      </c>
      <c r="E282" s="37" t="s">
        <v>122</v>
      </c>
      <c r="F282" t="s">
        <v>122</v>
      </c>
      <c r="G282">
        <f t="shared" ca="1" si="15"/>
        <v>621</v>
      </c>
      <c r="H282" t="str">
        <f t="shared" si="16"/>
        <v>ディレクトリ作成</v>
      </c>
    </row>
    <row r="283" spans="1:8" ht="11.25" customHeight="1" outlineLevel="1">
      <c r="A283" s="15"/>
      <c r="B283" s="15" t="s">
        <v>3089</v>
      </c>
      <c r="C283" s="53" t="s">
        <v>122</v>
      </c>
      <c r="D283" s="37" t="s">
        <v>122</v>
      </c>
      <c r="E283" s="37" t="s">
        <v>122</v>
      </c>
      <c r="F283" t="s">
        <v>122</v>
      </c>
      <c r="G283">
        <f t="shared" ca="1" si="15"/>
        <v>622</v>
      </c>
      <c r="H283" t="str">
        <f t="shared" si="16"/>
        <v>ファイル作成</v>
      </c>
    </row>
    <row r="284" spans="1:8" ht="11.25" customHeight="1">
      <c r="A284" s="13" t="s">
        <v>3026</v>
      </c>
      <c r="B284" s="13"/>
      <c r="C284" s="12"/>
      <c r="D284" s="14"/>
      <c r="E284" s="14"/>
      <c r="F284" t="s">
        <v>122</v>
      </c>
      <c r="G284">
        <f t="shared" ca="1" si="14"/>
        <v>622</v>
      </c>
      <c r="H284" t="str">
        <f t="shared" ref="H284:H292" si="17">IF(B284="","",B284)</f>
        <v/>
      </c>
    </row>
    <row r="285" spans="1:8" ht="11.25" customHeight="1" outlineLevel="1">
      <c r="A285" s="15"/>
      <c r="B285" s="15" t="s">
        <v>3021</v>
      </c>
      <c r="C285" s="53" t="s">
        <v>122</v>
      </c>
      <c r="D285" s="37" t="s">
        <v>122</v>
      </c>
      <c r="E285" s="37" t="s">
        <v>122</v>
      </c>
      <c r="F285" t="s">
        <v>122</v>
      </c>
      <c r="G285">
        <f t="shared" ca="1" si="14"/>
        <v>623</v>
      </c>
      <c r="H285" t="str">
        <f t="shared" si="17"/>
        <v>インポート</v>
      </c>
    </row>
    <row r="286" spans="1:8" ht="11.25" customHeight="1" outlineLevel="1">
      <c r="A286" s="15"/>
      <c r="B286" s="15" t="s">
        <v>3028</v>
      </c>
      <c r="C286" s="53" t="s">
        <v>122</v>
      </c>
      <c r="D286" s="37" t="s">
        <v>122</v>
      </c>
      <c r="E286" s="37" t="s">
        <v>122</v>
      </c>
      <c r="F286" t="s">
        <v>122</v>
      </c>
      <c r="G286">
        <f t="shared" ca="1" si="14"/>
        <v>624</v>
      </c>
      <c r="H286" t="str">
        <f t="shared" si="17"/>
        <v>基礎設定</v>
      </c>
    </row>
    <row r="287" spans="1:8" ht="11.25" customHeight="1" outlineLevel="1">
      <c r="A287" s="15"/>
      <c r="B287" s="15" t="s">
        <v>3035</v>
      </c>
      <c r="C287" s="53" t="s">
        <v>122</v>
      </c>
      <c r="D287" s="37" t="s">
        <v>122</v>
      </c>
      <c r="E287" s="37" t="s">
        <v>122</v>
      </c>
      <c r="F287" t="s">
        <v>122</v>
      </c>
      <c r="G287">
        <f t="shared" ca="1" si="14"/>
        <v>625</v>
      </c>
      <c r="H287" t="str">
        <f t="shared" si="17"/>
        <v>ロガー設定</v>
      </c>
    </row>
    <row r="288" spans="1:8" ht="11.25" customHeight="1" outlineLevel="1">
      <c r="A288" s="15"/>
      <c r="B288" s="15" t="s">
        <v>3029</v>
      </c>
      <c r="C288" s="53" t="s">
        <v>122</v>
      </c>
      <c r="D288" s="37" t="s">
        <v>122</v>
      </c>
      <c r="E288" s="37" t="s">
        <v>122</v>
      </c>
      <c r="F288" t="s">
        <v>122</v>
      </c>
      <c r="G288">
        <f t="shared" ca="1" si="14"/>
        <v>626</v>
      </c>
      <c r="H288" t="str">
        <f t="shared" si="17"/>
        <v>ログ出力(DEBUG)</v>
      </c>
    </row>
    <row r="289" spans="1:8" ht="11.25" customHeight="1" outlineLevel="1">
      <c r="A289" s="15"/>
      <c r="B289" s="15" t="s">
        <v>3030</v>
      </c>
      <c r="C289" s="53" t="s">
        <v>122</v>
      </c>
      <c r="D289" s="37" t="s">
        <v>122</v>
      </c>
      <c r="E289" s="37" t="s">
        <v>122</v>
      </c>
      <c r="F289" t="s">
        <v>122</v>
      </c>
      <c r="G289">
        <f t="shared" ca="1" si="14"/>
        <v>627</v>
      </c>
      <c r="H289" t="str">
        <f t="shared" si="17"/>
        <v>ログ出力(INFO)</v>
      </c>
    </row>
    <row r="290" spans="1:8" ht="11.25" customHeight="1" outlineLevel="1">
      <c r="A290" s="15"/>
      <c r="B290" s="15" t="s">
        <v>3031</v>
      </c>
      <c r="C290" s="53" t="s">
        <v>122</v>
      </c>
      <c r="D290" s="37" t="s">
        <v>122</v>
      </c>
      <c r="E290" s="37" t="s">
        <v>122</v>
      </c>
      <c r="F290" t="s">
        <v>122</v>
      </c>
      <c r="G290">
        <f t="shared" ca="1" si="14"/>
        <v>628</v>
      </c>
      <c r="H290" t="str">
        <f t="shared" si="17"/>
        <v>ログ出力(WARNING)</v>
      </c>
    </row>
    <row r="291" spans="1:8" ht="11.25" customHeight="1" outlineLevel="1">
      <c r="A291" s="15"/>
      <c r="B291" s="15" t="s">
        <v>3032</v>
      </c>
      <c r="C291" s="53" t="s">
        <v>122</v>
      </c>
      <c r="D291" s="37" t="s">
        <v>122</v>
      </c>
      <c r="E291" s="37" t="s">
        <v>122</v>
      </c>
      <c r="F291" t="s">
        <v>122</v>
      </c>
      <c r="G291">
        <f t="shared" ca="1" si="14"/>
        <v>629</v>
      </c>
      <c r="H291" t="str">
        <f t="shared" si="17"/>
        <v>ログ出力(ERROR)</v>
      </c>
    </row>
    <row r="292" spans="1:8" ht="11.25" customHeight="1" outlineLevel="1">
      <c r="A292" s="15"/>
      <c r="B292" s="15" t="s">
        <v>3033</v>
      </c>
      <c r="C292" s="53" t="s">
        <v>122</v>
      </c>
      <c r="D292" s="37" t="s">
        <v>122</v>
      </c>
      <c r="E292" s="37" t="s">
        <v>122</v>
      </c>
      <c r="F292" t="s">
        <v>122</v>
      </c>
      <c r="G292">
        <f t="shared" ca="1" si="14"/>
        <v>630</v>
      </c>
      <c r="H292" t="str">
        <f t="shared" si="17"/>
        <v>ログ出力(CRITICAL)</v>
      </c>
    </row>
    <row r="293" spans="1:8" ht="11.25" customHeight="1">
      <c r="A293" s="13" t="s">
        <v>2903</v>
      </c>
      <c r="B293" s="13"/>
      <c r="C293" s="12"/>
      <c r="D293" s="14"/>
      <c r="E293" s="14"/>
      <c r="F293" t="s">
        <v>122</v>
      </c>
      <c r="G293">
        <f t="shared" ca="1" si="12"/>
        <v>630</v>
      </c>
      <c r="H293" t="str">
        <f t="shared" ref="H293:H302" si="18">IF(B293="","",B293)</f>
        <v/>
      </c>
    </row>
    <row r="294" spans="1:8" ht="11.25" customHeight="1" outlineLevel="1">
      <c r="A294" s="15"/>
      <c r="B294" s="15" t="s">
        <v>3021</v>
      </c>
      <c r="C294" s="53" t="s">
        <v>122</v>
      </c>
      <c r="D294" s="37" t="s">
        <v>122</v>
      </c>
      <c r="E294" s="37" t="s">
        <v>122</v>
      </c>
      <c r="F294" t="s">
        <v>122</v>
      </c>
      <c r="G294">
        <f t="shared" ca="1" si="12"/>
        <v>631</v>
      </c>
      <c r="H294" t="str">
        <f t="shared" si="18"/>
        <v>インポート</v>
      </c>
    </row>
    <row r="295" spans="1:8" ht="11.25" customHeight="1" outlineLevel="1">
      <c r="A295" s="15"/>
      <c r="B295" s="92" t="s">
        <v>2905</v>
      </c>
      <c r="C295" s="53" t="s">
        <v>122</v>
      </c>
      <c r="D295" s="37" t="s">
        <v>122</v>
      </c>
      <c r="E295" s="37" t="s">
        <v>122</v>
      </c>
      <c r="F295" t="s">
        <v>122</v>
      </c>
      <c r="G295">
        <f t="shared" ca="1" si="12"/>
        <v>632</v>
      </c>
      <c r="H295" t="str">
        <f t="shared" si="18"/>
        <v>属性取得関数定義</v>
      </c>
    </row>
    <row r="296" spans="1:8" ht="11.25" customHeight="1" outlineLevel="1">
      <c r="A296" s="15"/>
      <c r="B296" s="92" t="s">
        <v>2907</v>
      </c>
      <c r="C296" s="53" t="s">
        <v>122</v>
      </c>
      <c r="D296" s="37" t="s">
        <v>122</v>
      </c>
      <c r="E296" s="37" t="s">
        <v>122</v>
      </c>
      <c r="F296" t="s">
        <v>122</v>
      </c>
      <c r="G296">
        <f t="shared" ca="1" si="12"/>
        <v>633</v>
      </c>
      <c r="H296" t="str">
        <f t="shared" si="18"/>
        <v>ファイルオープン</v>
      </c>
    </row>
    <row r="297" spans="1:8" ht="11.25" customHeight="1" outlineLevel="1">
      <c r="A297" s="15"/>
      <c r="B297" s="92" t="s">
        <v>2920</v>
      </c>
      <c r="C297" s="53" t="s">
        <v>122</v>
      </c>
      <c r="D297" s="37" t="s">
        <v>122</v>
      </c>
      <c r="E297" s="37" t="s">
        <v>122</v>
      </c>
      <c r="F297" t="s">
        <v>122</v>
      </c>
      <c r="G297">
        <f t="shared" ca="1" si="12"/>
        <v>634</v>
      </c>
      <c r="H297" t="str">
        <f t="shared" si="18"/>
        <v>ルートのタグ要素取得</v>
      </c>
    </row>
    <row r="298" spans="1:8" ht="11.25" customHeight="1" outlineLevel="1">
      <c r="A298" s="15"/>
      <c r="B298" s="92" t="s">
        <v>2919</v>
      </c>
      <c r="C298" s="53" t="s">
        <v>122</v>
      </c>
      <c r="D298" s="37" t="s">
        <v>122</v>
      </c>
      <c r="E298" s="37" t="s">
        <v>122</v>
      </c>
      <c r="F298" t="s">
        <v>122</v>
      </c>
      <c r="G298">
        <f t="shared" ca="1" si="12"/>
        <v>635</v>
      </c>
      <c r="H298" t="str">
        <f t="shared" si="18"/>
        <v>タグ要素取得（ループ）</v>
      </c>
    </row>
    <row r="299" spans="1:8" ht="11.25" customHeight="1" outlineLevel="1">
      <c r="A299" s="15"/>
      <c r="B299" s="92" t="s">
        <v>2909</v>
      </c>
      <c r="C299" s="53" t="s">
        <v>122</v>
      </c>
      <c r="D299" s="37" t="s">
        <v>122</v>
      </c>
      <c r="E299" s="37" t="s">
        <v>122</v>
      </c>
      <c r="F299" t="s">
        <v>122</v>
      </c>
      <c r="G299">
        <f ca="1">IF(H299="",OFFSET(G299,-1,0),OFFSET(G299,-1,0)+1)</f>
        <v>636</v>
      </c>
      <c r="H299" t="str">
        <f>IF(B299="","",B299)</f>
        <v>タグ名取得</v>
      </c>
    </row>
    <row r="300" spans="1:8" ht="11.25" customHeight="1" outlineLevel="1">
      <c r="A300" s="15"/>
      <c r="B300" s="92" t="s">
        <v>2908</v>
      </c>
      <c r="C300" s="53" t="s">
        <v>122</v>
      </c>
      <c r="D300" s="37" t="s">
        <v>122</v>
      </c>
      <c r="E300" s="37" t="s">
        <v>122</v>
      </c>
      <c r="F300" t="s">
        <v>122</v>
      </c>
      <c r="G300">
        <f t="shared" ca="1" si="12"/>
        <v>637</v>
      </c>
      <c r="H300" t="str">
        <f t="shared" si="18"/>
        <v>属性取得</v>
      </c>
    </row>
    <row r="301" spans="1:8" ht="11.25" customHeight="1" outlineLevel="1">
      <c r="A301" s="15"/>
      <c r="B301" s="92" t="s">
        <v>2913</v>
      </c>
      <c r="C301" s="53" t="s">
        <v>122</v>
      </c>
      <c r="D301" s="37" t="s">
        <v>122</v>
      </c>
      <c r="E301" s="37" t="s">
        <v>122</v>
      </c>
      <c r="F301" t="s">
        <v>122</v>
      </c>
      <c r="G301">
        <f t="shared" ca="1" si="12"/>
        <v>638</v>
      </c>
      <c r="H301" t="str">
        <f t="shared" si="18"/>
        <v>コンテキスト取得</v>
      </c>
    </row>
    <row r="302" spans="1:8" ht="11.25" customHeight="1" outlineLevel="1">
      <c r="A302" s="15"/>
      <c r="B302" s="92" t="s">
        <v>122</v>
      </c>
      <c r="C302" s="53" t="s">
        <v>122</v>
      </c>
      <c r="D302" s="37" t="s">
        <v>122</v>
      </c>
      <c r="E302" s="37" t="s">
        <v>122</v>
      </c>
      <c r="F302" t="s">
        <v>122</v>
      </c>
      <c r="G302">
        <f t="shared" ca="1" si="12"/>
        <v>639</v>
      </c>
      <c r="H302" t="str">
        <f t="shared" si="18"/>
        <v xml:space="preserve"> </v>
      </c>
    </row>
    <row r="303" spans="1:8" ht="11.25" customHeight="1">
      <c r="A303" s="13" t="s">
        <v>392</v>
      </c>
      <c r="B303" s="13"/>
      <c r="C303" s="12"/>
      <c r="D303" s="14"/>
      <c r="E303" s="14"/>
      <c r="F303" t="s">
        <v>122</v>
      </c>
      <c r="G303">
        <f t="shared" ca="1" si="12"/>
        <v>639</v>
      </c>
      <c r="H303" t="str">
        <f>IF(B303="","",B303)</f>
        <v/>
      </c>
    </row>
    <row r="304" spans="1:8" ht="11.25" customHeight="1" outlineLevel="1">
      <c r="A304" s="15"/>
      <c r="B304" s="15" t="s">
        <v>386</v>
      </c>
      <c r="C304" s="53" t="s">
        <v>122</v>
      </c>
      <c r="D304" s="37" t="s">
        <v>122</v>
      </c>
      <c r="E304" s="37" t="s">
        <v>122</v>
      </c>
      <c r="F304" t="s">
        <v>122</v>
      </c>
      <c r="G304">
        <f t="shared" ca="1" si="12"/>
        <v>640</v>
      </c>
      <c r="H304" t="str">
        <f>IF(B304="","",B304)</f>
        <v>ユーザフォルダパス</v>
      </c>
    </row>
    <row r="305" spans="1:8" ht="11.25" customHeight="1">
      <c r="A305" s="13" t="s">
        <v>853</v>
      </c>
      <c r="B305" s="13"/>
      <c r="C305" s="12"/>
      <c r="D305" s="14"/>
      <c r="E305" s="14"/>
      <c r="G305">
        <f t="shared" ca="1" si="12"/>
        <v>640</v>
      </c>
      <c r="H305" t="str">
        <f t="shared" ref="H305:H313" si="19">IF(B305="","",B305)</f>
        <v/>
      </c>
    </row>
    <row r="306" spans="1:8" ht="11.25" customHeight="1" outlineLevel="1">
      <c r="A306" s="15"/>
      <c r="B306" s="15" t="s">
        <v>855</v>
      </c>
      <c r="C306" s="53" t="s">
        <v>122</v>
      </c>
      <c r="D306" s="37" t="s">
        <v>122</v>
      </c>
      <c r="E306" s="37" t="s">
        <v>122</v>
      </c>
      <c r="G306">
        <f t="shared" ca="1" si="12"/>
        <v>641</v>
      </c>
      <c r="H306" t="str">
        <f t="shared" si="19"/>
        <v>フォルダ内ファイルリスト取得</v>
      </c>
    </row>
    <row r="307" spans="1:8" ht="11.25" customHeight="1" outlineLevel="1">
      <c r="A307" s="15"/>
      <c r="B307" s="15" t="s">
        <v>857</v>
      </c>
      <c r="C307" s="53" t="s">
        <v>122</v>
      </c>
      <c r="D307" s="37" t="s">
        <v>122</v>
      </c>
      <c r="E307" s="37" t="s">
        <v>122</v>
      </c>
      <c r="G307">
        <f t="shared" ca="1" si="12"/>
        <v>642</v>
      </c>
      <c r="H307" t="str">
        <f t="shared" si="19"/>
        <v>フォルダ配下ファイル/フォルダリスト取得</v>
      </c>
    </row>
    <row r="308" spans="1:8" ht="11.25" customHeight="1" outlineLevel="1">
      <c r="A308" s="15"/>
      <c r="B308" s="15" t="s">
        <v>917</v>
      </c>
      <c r="C308" s="53" t="s">
        <v>122</v>
      </c>
      <c r="D308" s="37" t="s">
        <v>122</v>
      </c>
      <c r="E308" s="37" t="s">
        <v>122</v>
      </c>
      <c r="G308">
        <f t="shared" ca="1" si="12"/>
        <v>643</v>
      </c>
      <c r="H308" t="str">
        <f t="shared" si="19"/>
        <v>メインプログラム実行時にのみ処理実行</v>
      </c>
    </row>
    <row r="309" spans="1:8" ht="11.25" customHeight="1" outlineLevel="1">
      <c r="A309" s="15"/>
      <c r="B309" s="15"/>
      <c r="C309" s="53" t="s">
        <v>122</v>
      </c>
      <c r="D309" s="37" t="s">
        <v>122</v>
      </c>
      <c r="E309" s="37" t="s">
        <v>122</v>
      </c>
      <c r="G309">
        <f t="shared" ca="1" si="12"/>
        <v>643</v>
      </c>
      <c r="H309" t="str">
        <f t="shared" si="19"/>
        <v/>
      </c>
    </row>
    <row r="310" spans="1:8" ht="11.25" customHeight="1" outlineLevel="1">
      <c r="A310" s="15"/>
      <c r="B310" s="15"/>
      <c r="C310" s="53" t="s">
        <v>122</v>
      </c>
      <c r="D310" s="37" t="s">
        <v>122</v>
      </c>
      <c r="E310" s="37" t="s">
        <v>122</v>
      </c>
      <c r="G310">
        <f t="shared" ca="1" si="12"/>
        <v>643</v>
      </c>
      <c r="H310" t="str">
        <f t="shared" si="19"/>
        <v/>
      </c>
    </row>
    <row r="311" spans="1:8" ht="11.25" customHeight="1" outlineLevel="1">
      <c r="A311" s="15"/>
      <c r="B311" s="15"/>
      <c r="C311" s="16" t="s">
        <v>122</v>
      </c>
      <c r="D311" s="17" t="s">
        <v>122</v>
      </c>
      <c r="E311" s="17" t="s">
        <v>122</v>
      </c>
      <c r="G311">
        <f t="shared" ca="1" si="12"/>
        <v>643</v>
      </c>
      <c r="H311" t="str">
        <f t="shared" si="19"/>
        <v/>
      </c>
    </row>
    <row r="312" spans="1:8" ht="11.25" customHeight="1" outlineLevel="1">
      <c r="A312" s="15"/>
      <c r="B312" s="15"/>
      <c r="C312" s="16" t="s">
        <v>122</v>
      </c>
      <c r="D312" s="17" t="s">
        <v>122</v>
      </c>
      <c r="E312" s="17" t="s">
        <v>122</v>
      </c>
      <c r="G312">
        <f t="shared" ca="1" si="12"/>
        <v>643</v>
      </c>
      <c r="H312" t="str">
        <f t="shared" si="19"/>
        <v/>
      </c>
    </row>
    <row r="313" spans="1:8" ht="11.25" customHeight="1" outlineLevel="1">
      <c r="A313" s="15"/>
      <c r="B313" s="15"/>
      <c r="C313" s="16" t="s">
        <v>122</v>
      </c>
      <c r="D313" s="17" t="s">
        <v>122</v>
      </c>
      <c r="E313" s="17" t="s">
        <v>122</v>
      </c>
      <c r="G313">
        <f ca="1">IF(H313="",OFFSET(G313,-1,0),OFFSET(G313,-1,0)+1)</f>
        <v>643</v>
      </c>
      <c r="H313" t="str">
        <f t="shared" si="19"/>
        <v/>
      </c>
    </row>
    <row r="314" spans="1:8" ht="11.25" customHeight="1">
      <c r="A314" t="s">
        <v>122</v>
      </c>
      <c r="B314" t="s">
        <v>122</v>
      </c>
      <c r="G314">
        <f ca="1">IF(H314="",OFFSET(G314,-1,0),OFFSET(G314,-1,0)+1)</f>
        <v>643</v>
      </c>
    </row>
  </sheetData>
  <phoneticPr fontId="4"/>
  <hyperlinks>
    <hyperlink ref="B88" r:id="rId1" display="少数 正数 切り捨て（第一位以下）" xr:uid="{1C203E9A-9E58-4549-A2AF-6550F089F772}"/>
    <hyperlink ref="B87" r:id="rId2" display="少数 正数 切り捨て（第一位以下）" xr:uid="{73BFBFBC-C21F-40C7-98EA-C88DFCDEF442}"/>
    <hyperlink ref="E112" r:id="rId3" display="エラーの内容はこちら" xr:uid="{E94FD1F1-DD1E-48EB-98A8-A1B01316A6F0}"/>
    <hyperlink ref="E308" r:id="rId4" display="「モジュールとして読み込まれた時」は実行されない" xr:uid="{BC58E3D6-D8F6-449A-BB48-6D851DC7A5C8}"/>
    <hyperlink ref="E79" r:id="rId5" display="round()は偶数へ丸めるため、quantize()を使用する" xr:uid="{E12F8EAB-5266-4669-BBE0-E9D9192F9B2E}"/>
    <hyperlink ref="B20" r:id="rId6" xr:uid="{B8F48E3A-63FE-4EA7-9848-60414085EAB6}"/>
    <hyperlink ref="A261" r:id="rId7" location="basename-name-stem" xr:uid="{1B28C282-CFD0-49F9-8EE7-4411B99C3B98}"/>
    <hyperlink ref="B5" r:id="rId8" xr:uid="{0C170732-92DE-4292-81F9-CEFE2B173FC2}"/>
    <hyperlink ref="B6" r:id="rId9" xr:uid="{F0AF8862-B23C-47C7-8FBF-11679C9E6BA6}"/>
    <hyperlink ref="B7" r:id="rId10" xr:uid="{DF5EDC85-94FE-45EE-AEDC-FEC54FA4D489}"/>
    <hyperlink ref="B8" r:id="rId11" xr:uid="{75957F41-BAB9-466F-A9A8-C34A063ED306}"/>
  </hyperlinks>
  <pageMargins left="0.7" right="0.7" top="0.75" bottom="0.75" header="0.3" footer="0.3"/>
  <pageSetup paperSize="9" scale="33" orientation="portrait" r:id="rId12"/>
  <legacyDrawing r:id="rId1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B75" sqref="B75"/>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MAX(python!I:I)</f>
        <v>766</v>
      </c>
      <c r="G2" s="11"/>
    </row>
    <row r="3" spans="1:7" ht="11.25" customHeight="1">
      <c r="A3" s="12" t="s">
        <v>572</v>
      </c>
      <c r="B3" s="13"/>
      <c r="C3" s="13"/>
      <c r="D3" s="14" t="s">
        <v>122</v>
      </c>
      <c r="E3" t="s">
        <v>122</v>
      </c>
      <c r="F3">
        <f t="shared" ref="F3:F66" ca="1" si="0">IF(G3="",OFFSET(F3,-1,0),OFFSET(F3,-1,0)+1)</f>
        <v>766</v>
      </c>
      <c r="G3" t="str">
        <f>IF(B3="","",B3)</f>
        <v/>
      </c>
    </row>
    <row r="4" spans="1:7" ht="11.25" customHeight="1" outlineLevel="1">
      <c r="A4" s="15"/>
      <c r="B4" s="15" t="s">
        <v>529</v>
      </c>
      <c r="C4" s="16" t="s">
        <v>492</v>
      </c>
      <c r="D4" s="17" t="s">
        <v>644</v>
      </c>
      <c r="F4">
        <f t="shared" ca="1" si="0"/>
        <v>767</v>
      </c>
      <c r="G4" t="str">
        <f t="shared" ref="G4:G67" si="1">IF(B4="","",B4)</f>
        <v>変数定義</v>
      </c>
    </row>
    <row r="5" spans="1:7" ht="11.25" customHeight="1" outlineLevel="1">
      <c r="A5" s="15"/>
      <c r="B5" s="15" t="s">
        <v>142</v>
      </c>
      <c r="C5" s="16" t="s">
        <v>493</v>
      </c>
      <c r="D5" s="17" t="s">
        <v>122</v>
      </c>
      <c r="F5">
        <f t="shared" ca="1" si="0"/>
        <v>768</v>
      </c>
      <c r="G5" t="str">
        <f t="shared" si="1"/>
        <v>列挙型定義</v>
      </c>
    </row>
    <row r="6" spans="1:7" ht="11.25" customHeight="1" outlineLevel="1">
      <c r="A6" s="15"/>
      <c r="B6" s="15" t="s">
        <v>530</v>
      </c>
      <c r="C6" s="16" t="s">
        <v>493</v>
      </c>
      <c r="D6" s="17" t="s">
        <v>122</v>
      </c>
      <c r="F6">
        <f t="shared" ca="1" si="0"/>
        <v>769</v>
      </c>
      <c r="G6" t="str">
        <f t="shared" si="1"/>
        <v>ブロック脱出</v>
      </c>
    </row>
    <row r="7" spans="1:7" ht="11.25" customHeight="1" outlineLevel="1">
      <c r="A7" s="15"/>
      <c r="B7" s="15" t="s">
        <v>531</v>
      </c>
      <c r="C7" s="16" t="s">
        <v>494</v>
      </c>
      <c r="D7" s="17" t="s">
        <v>122</v>
      </c>
      <c r="F7">
        <f t="shared" ca="1" si="0"/>
        <v>770</v>
      </c>
      <c r="G7" t="str">
        <f t="shared" si="1"/>
        <v>ヘルプ</v>
      </c>
    </row>
    <row r="8" spans="1:7" ht="11.25" customHeight="1" outlineLevel="1">
      <c r="A8" s="15"/>
      <c r="B8" s="15" t="s">
        <v>532</v>
      </c>
      <c r="C8" s="16" t="s">
        <v>495</v>
      </c>
      <c r="D8" s="17" t="s">
        <v>645</v>
      </c>
      <c r="F8">
        <f t="shared" ca="1" si="0"/>
        <v>771</v>
      </c>
      <c r="G8" t="str">
        <f t="shared" si="1"/>
        <v>if</v>
      </c>
    </row>
    <row r="9" spans="1:7" ht="11.25" customHeight="1" outlineLevel="1">
      <c r="A9" s="15"/>
      <c r="B9" s="15" t="s">
        <v>533</v>
      </c>
      <c r="C9" s="16" t="s">
        <v>496</v>
      </c>
      <c r="D9" s="17" t="s">
        <v>122</v>
      </c>
      <c r="F9">
        <f t="shared" ca="1" si="0"/>
        <v>772</v>
      </c>
      <c r="G9" t="str">
        <f t="shared" si="1"/>
        <v>if（否定）</v>
      </c>
    </row>
    <row r="10" spans="1:7" ht="11.25" customHeight="1" outlineLevel="1">
      <c r="A10" s="15"/>
      <c r="B10" s="18" t="s">
        <v>641</v>
      </c>
      <c r="C10" s="16" t="s">
        <v>642</v>
      </c>
      <c r="D10" s="51" t="s">
        <v>643</v>
      </c>
      <c r="F10">
        <f t="shared" ca="1" si="0"/>
        <v>773</v>
      </c>
      <c r="G10" t="str">
        <f t="shared" si="1"/>
        <v>for</v>
      </c>
    </row>
    <row r="11" spans="1:7" ht="11.25" customHeight="1" outlineLevel="1">
      <c r="A11" s="15"/>
      <c r="B11" s="15" t="s">
        <v>630</v>
      </c>
      <c r="C11" s="16" t="s">
        <v>629</v>
      </c>
      <c r="D11" s="17" t="s">
        <v>703</v>
      </c>
      <c r="F11">
        <f t="shared" ca="1" si="0"/>
        <v>774</v>
      </c>
      <c r="G11" t="str">
        <f t="shared" si="1"/>
        <v>for(フォルダ内対象)</v>
      </c>
    </row>
    <row r="12" spans="1:7" ht="11.25" customHeight="1" outlineLevel="1">
      <c r="A12" s="15"/>
      <c r="B12" s="15" t="s">
        <v>631</v>
      </c>
      <c r="C12" s="16" t="s">
        <v>632</v>
      </c>
      <c r="D12" s="17" t="s">
        <v>704</v>
      </c>
      <c r="F12">
        <f t="shared" ca="1" si="0"/>
        <v>775</v>
      </c>
      <c r="G12" t="str">
        <f t="shared" si="1"/>
        <v>for(フォルダ内のフォルダのみ)</v>
      </c>
    </row>
    <row r="13" spans="1:7" ht="11.25" customHeight="1" outlineLevel="1">
      <c r="A13" s="15"/>
      <c r="B13" s="15" t="s">
        <v>633</v>
      </c>
      <c r="C13" s="16" t="s">
        <v>634</v>
      </c>
      <c r="D13" s="17" t="s">
        <v>705</v>
      </c>
      <c r="F13">
        <f t="shared" ca="1" si="0"/>
        <v>776</v>
      </c>
      <c r="G13" t="str">
        <f t="shared" si="1"/>
        <v>for(フォルダ配下の中身全部)</v>
      </c>
    </row>
    <row r="14" spans="1:7" ht="11.25" customHeight="1" outlineLevel="1">
      <c r="A14" s="15"/>
      <c r="B14" s="15" t="s">
        <v>635</v>
      </c>
      <c r="C14" s="16" t="s">
        <v>636</v>
      </c>
      <c r="D14" s="17" t="s">
        <v>637</v>
      </c>
      <c r="F14">
        <f t="shared" ca="1" si="0"/>
        <v>777</v>
      </c>
      <c r="G14" t="str">
        <f t="shared" si="1"/>
        <v>for(変数に値を代入してコマンドを実行)</v>
      </c>
    </row>
    <row r="15" spans="1:7" ht="11.25" customHeight="1" outlineLevel="1">
      <c r="A15" s="15"/>
      <c r="B15" s="15" t="s">
        <v>638</v>
      </c>
      <c r="C15" s="16" t="s">
        <v>639</v>
      </c>
      <c r="D15" s="51" t="s">
        <v>640</v>
      </c>
      <c r="F15">
        <f t="shared" ca="1" si="0"/>
        <v>778</v>
      </c>
      <c r="G15" t="str">
        <f t="shared" si="1"/>
        <v>for(その他)</v>
      </c>
    </row>
    <row r="16" spans="1:7" ht="11.25" customHeight="1" outlineLevel="1">
      <c r="A16" s="15"/>
      <c r="B16" s="15" t="s">
        <v>15</v>
      </c>
      <c r="C16" s="16" t="s">
        <v>497</v>
      </c>
      <c r="D16" s="17" t="s">
        <v>122</v>
      </c>
      <c r="F16">
        <f t="shared" ca="1" si="0"/>
        <v>779</v>
      </c>
      <c r="G16" t="str">
        <f t="shared" si="1"/>
        <v>コメント</v>
      </c>
    </row>
    <row r="17" spans="1:7" ht="11.25" customHeight="1" outlineLevel="1">
      <c r="A17" s="15"/>
      <c r="B17" s="15" t="s">
        <v>534</v>
      </c>
      <c r="C17" s="16" t="s">
        <v>498</v>
      </c>
      <c r="D17" s="17" t="s">
        <v>122</v>
      </c>
      <c r="F17">
        <f t="shared" ca="1" si="0"/>
        <v>780</v>
      </c>
      <c r="G17" t="str">
        <f t="shared" si="1"/>
        <v>出力</v>
      </c>
    </row>
    <row r="18" spans="1:7" ht="11.25" customHeight="1" outlineLevel="1">
      <c r="A18" s="15"/>
      <c r="B18" s="15" t="s">
        <v>535</v>
      </c>
      <c r="C18" s="16" t="s">
        <v>499</v>
      </c>
      <c r="D18" s="17" t="s">
        <v>122</v>
      </c>
      <c r="F18">
        <f t="shared" ca="1" si="0"/>
        <v>781</v>
      </c>
      <c r="G18" t="str">
        <f t="shared" si="1"/>
        <v>出力（改行のみ）</v>
      </c>
    </row>
    <row r="19" spans="1:7" ht="11.25" customHeight="1" outlineLevel="1">
      <c r="A19" s="15"/>
      <c r="B19" s="15" t="s">
        <v>536</v>
      </c>
      <c r="C19" s="16" t="s">
        <v>500</v>
      </c>
      <c r="D19" s="17" t="s">
        <v>122</v>
      </c>
      <c r="F19">
        <f t="shared" ca="1" si="0"/>
        <v>782</v>
      </c>
      <c r="G19" t="str">
        <f t="shared" si="1"/>
        <v>出力抑制</v>
      </c>
    </row>
    <row r="20" spans="1:7" ht="11.25" customHeight="1" outlineLevel="1">
      <c r="A20" s="15"/>
      <c r="B20" s="15" t="s">
        <v>551</v>
      </c>
      <c r="C20" s="16" t="s">
        <v>518</v>
      </c>
      <c r="D20" s="17" t="s">
        <v>122</v>
      </c>
      <c r="F20">
        <f t="shared" ca="1" si="0"/>
        <v>783</v>
      </c>
      <c r="G20" t="str">
        <f t="shared" si="1"/>
        <v>２分後にシャットダウン</v>
      </c>
    </row>
    <row r="21" spans="1:7" ht="11.25" customHeight="1" outlineLevel="1">
      <c r="A21" s="15"/>
      <c r="B21" s="15" t="s">
        <v>552</v>
      </c>
      <c r="C21" s="16" t="s">
        <v>519</v>
      </c>
      <c r="D21" s="17" t="s">
        <v>122</v>
      </c>
      <c r="F21">
        <f t="shared" ca="1" si="0"/>
        <v>784</v>
      </c>
      <c r="G21" t="str">
        <f t="shared" si="1"/>
        <v>２分後に再起動</v>
      </c>
    </row>
    <row r="22" spans="1:7" ht="11.25" customHeight="1" outlineLevel="1">
      <c r="A22" s="15"/>
      <c r="B22" s="15" t="s">
        <v>553</v>
      </c>
      <c r="C22" s="16" t="s">
        <v>520</v>
      </c>
      <c r="D22" s="17" t="s">
        <v>122</v>
      </c>
      <c r="F22">
        <f t="shared" ca="1" si="0"/>
        <v>785</v>
      </c>
      <c r="G22" t="str">
        <f t="shared" si="1"/>
        <v>シャットダウンをキャンセル</v>
      </c>
    </row>
    <row r="23" spans="1:7" ht="11.25" customHeight="1" outlineLevel="1">
      <c r="A23" s="15"/>
      <c r="B23" s="15" t="s">
        <v>555</v>
      </c>
      <c r="C23" s="16" t="s">
        <v>522</v>
      </c>
      <c r="D23" s="17" t="s">
        <v>122</v>
      </c>
      <c r="F23">
        <f t="shared" ca="1" si="0"/>
        <v>786</v>
      </c>
      <c r="G23" t="str">
        <f t="shared" si="1"/>
        <v>遅延展開変数設定</v>
      </c>
    </row>
    <row r="24" spans="1:7" ht="11.25" customHeight="1" outlineLevel="1">
      <c r="A24" s="15"/>
      <c r="B24" s="15" t="s">
        <v>13</v>
      </c>
      <c r="C24" s="16" t="s">
        <v>523</v>
      </c>
      <c r="D24" s="17" t="s">
        <v>122</v>
      </c>
      <c r="F24">
        <f t="shared" ca="1" si="0"/>
        <v>787</v>
      </c>
      <c r="G24" t="str">
        <f t="shared" si="1"/>
        <v>プログラム終了</v>
      </c>
    </row>
    <row r="25" spans="1:7" ht="11.25" customHeight="1" outlineLevel="1">
      <c r="A25" s="15"/>
      <c r="B25" s="15" t="s">
        <v>556</v>
      </c>
      <c r="C25" s="16" t="s">
        <v>524</v>
      </c>
      <c r="D25" s="17" t="s">
        <v>122</v>
      </c>
      <c r="F25">
        <f t="shared" ca="1" si="0"/>
        <v>788</v>
      </c>
      <c r="G25" t="str">
        <f t="shared" si="1"/>
        <v>環境変数 設定</v>
      </c>
    </row>
    <row r="26" spans="1:7" ht="11.25" customHeight="1" outlineLevel="1">
      <c r="A26" s="15"/>
      <c r="B26" s="15" t="s">
        <v>557</v>
      </c>
      <c r="C26" s="16" t="s">
        <v>525</v>
      </c>
      <c r="D26" s="17" t="s">
        <v>122</v>
      </c>
      <c r="F26">
        <f t="shared" ca="1" si="0"/>
        <v>789</v>
      </c>
      <c r="G26" t="str">
        <f t="shared" si="1"/>
        <v>環境変数 解除</v>
      </c>
    </row>
    <row r="27" spans="1:7" ht="11.25" customHeight="1" outlineLevel="1">
      <c r="A27" s="15"/>
      <c r="B27" s="15" t="s">
        <v>558</v>
      </c>
      <c r="C27" s="16" t="s">
        <v>526</v>
      </c>
      <c r="D27" s="17" t="s">
        <v>122</v>
      </c>
      <c r="F27">
        <f t="shared" ca="1" si="0"/>
        <v>790</v>
      </c>
      <c r="G27" t="str">
        <f t="shared" si="1"/>
        <v>環境変数 存在確認</v>
      </c>
    </row>
    <row r="28" spans="1:7" ht="11.25" customHeight="1" outlineLevel="1">
      <c r="A28" s="15"/>
      <c r="B28" s="15" t="s">
        <v>559</v>
      </c>
      <c r="C28" s="16" t="s">
        <v>527</v>
      </c>
      <c r="D28" s="17" t="s">
        <v>122</v>
      </c>
      <c r="F28">
        <f t="shared" ca="1" si="0"/>
        <v>791</v>
      </c>
      <c r="G28" t="str">
        <f t="shared" si="1"/>
        <v>Windows 60秒後にシャットダウン</v>
      </c>
    </row>
    <row r="29" spans="1:7" ht="11.25" customHeight="1" outlineLevel="1">
      <c r="A29" s="15"/>
      <c r="B29" s="15" t="s">
        <v>560</v>
      </c>
      <c r="C29" s="16" t="s">
        <v>528</v>
      </c>
      <c r="D29" s="17" t="s">
        <v>122</v>
      </c>
      <c r="F29">
        <f t="shared" ca="1" si="0"/>
        <v>792</v>
      </c>
      <c r="G29" t="str">
        <f t="shared" si="1"/>
        <v>Windows 60秒後に再起動</v>
      </c>
    </row>
    <row r="30" spans="1:7" ht="11.25" customHeight="1" outlineLevel="1">
      <c r="A30" s="15"/>
      <c r="B30" s="15" t="s">
        <v>646</v>
      </c>
      <c r="C30" s="16" t="s">
        <v>647</v>
      </c>
      <c r="D30" s="17" t="s">
        <v>649</v>
      </c>
      <c r="F30">
        <f t="shared" ca="1" si="0"/>
        <v>793</v>
      </c>
      <c r="G30" t="str">
        <f t="shared" si="1"/>
        <v>カレントディレクトリ取得</v>
      </c>
    </row>
    <row r="31" spans="1:7" ht="11.25" customHeight="1" outlineLevel="1">
      <c r="A31" s="15"/>
      <c r="B31" s="15" t="s">
        <v>646</v>
      </c>
      <c r="C31" s="16" t="s">
        <v>648</v>
      </c>
      <c r="D31" s="17" t="s">
        <v>650</v>
      </c>
      <c r="F31">
        <f t="shared" ca="1" si="0"/>
        <v>794</v>
      </c>
      <c r="G31" t="str">
        <f t="shared" si="1"/>
        <v>カレントディレクトリ取得</v>
      </c>
    </row>
    <row r="32" spans="1:7" ht="11.25" customHeight="1">
      <c r="A32" s="12" t="s">
        <v>623</v>
      </c>
      <c r="B32" s="13"/>
      <c r="C32" s="13"/>
      <c r="D32" s="14" t="s">
        <v>122</v>
      </c>
      <c r="E32" t="s">
        <v>122</v>
      </c>
      <c r="F32">
        <f t="shared" ca="1" si="0"/>
        <v>794</v>
      </c>
      <c r="G32" t="str">
        <f t="shared" si="1"/>
        <v/>
      </c>
    </row>
    <row r="33" spans="1:7" ht="11.25" customHeight="1" outlineLevel="1">
      <c r="A33" s="15"/>
      <c r="B33" s="15" t="s">
        <v>624</v>
      </c>
      <c r="C33" s="16" t="s">
        <v>609</v>
      </c>
      <c r="D33" s="17"/>
      <c r="F33">
        <f t="shared" ca="1" si="0"/>
        <v>795</v>
      </c>
      <c r="G33" t="str">
        <f t="shared" si="1"/>
        <v>変数VARの値全体</v>
      </c>
    </row>
    <row r="34" spans="1:7" ht="11.25" customHeight="1" outlineLevel="1">
      <c r="A34" s="15"/>
      <c r="B34" s="15" t="s">
        <v>611</v>
      </c>
      <c r="C34" s="16" t="s">
        <v>610</v>
      </c>
      <c r="D34" s="17"/>
      <c r="F34">
        <f t="shared" ca="1" si="0"/>
        <v>796</v>
      </c>
      <c r="G34" t="str">
        <f t="shared" si="1"/>
        <v>m文字目から、最後まで</v>
      </c>
    </row>
    <row r="35" spans="1:7" ht="11.25" customHeight="1" outlineLevel="1">
      <c r="A35" s="15"/>
      <c r="B35" s="15" t="s">
        <v>613</v>
      </c>
      <c r="C35" s="16" t="s">
        <v>612</v>
      </c>
      <c r="D35" s="17"/>
      <c r="F35">
        <f t="shared" ca="1" si="0"/>
        <v>797</v>
      </c>
      <c r="G35" t="str">
        <f t="shared" si="1"/>
        <v>m文字目から、n文字分</v>
      </c>
    </row>
    <row r="36" spans="1:7" ht="11.25" customHeight="1" outlineLevel="1">
      <c r="A36" s="15"/>
      <c r="B36" s="15" t="s">
        <v>615</v>
      </c>
      <c r="C36" s="16" t="s">
        <v>614</v>
      </c>
      <c r="D36" s="17"/>
      <c r="F36">
        <f t="shared" ca="1" si="0"/>
        <v>798</v>
      </c>
      <c r="G36" t="str">
        <f t="shared" si="1"/>
        <v>m文字目から、最後のn文字分を除いたもの</v>
      </c>
    </row>
    <row r="37" spans="1:7" ht="11.25" customHeight="1" outlineLevel="1">
      <c r="A37" s="15"/>
      <c r="B37" s="15" t="s">
        <v>617</v>
      </c>
      <c r="C37" s="16" t="s">
        <v>616</v>
      </c>
      <c r="D37" s="17"/>
      <c r="F37">
        <f t="shared" ca="1" si="0"/>
        <v>799</v>
      </c>
      <c r="G37" t="str">
        <f t="shared" si="1"/>
        <v>後ろからm文字目から、最後まで</v>
      </c>
    </row>
    <row r="38" spans="1:7" ht="11.25" customHeight="1" outlineLevel="1">
      <c r="A38" s="15"/>
      <c r="B38" s="15" t="s">
        <v>619</v>
      </c>
      <c r="C38" s="16" t="s">
        <v>618</v>
      </c>
      <c r="D38" s="17"/>
      <c r="F38">
        <f t="shared" ca="1" si="0"/>
        <v>800</v>
      </c>
      <c r="G38" t="str">
        <f t="shared" si="1"/>
        <v>後ろからm文字目から、n文字分</v>
      </c>
    </row>
    <row r="39" spans="1:7" ht="11.25" customHeight="1" outlineLevel="1">
      <c r="A39" s="15"/>
      <c r="B39" s="15" t="s">
        <v>621</v>
      </c>
      <c r="C39" s="16" t="s">
        <v>620</v>
      </c>
      <c r="D39" s="17"/>
      <c r="F39">
        <f t="shared" ca="1" si="0"/>
        <v>801</v>
      </c>
      <c r="G39" t="str">
        <f t="shared" si="1"/>
        <v>後ろからm文字目から、最後のn文字分を除いたもの</v>
      </c>
    </row>
    <row r="40" spans="1:7" ht="11.25" customHeight="1" outlineLevel="1">
      <c r="A40" s="15"/>
      <c r="B40" s="15" t="s">
        <v>626</v>
      </c>
      <c r="C40" s="16" t="s">
        <v>622</v>
      </c>
      <c r="D40" s="17" t="s">
        <v>625</v>
      </c>
      <c r="F40">
        <f t="shared" ca="1" si="0"/>
        <v>802</v>
      </c>
      <c r="G40" t="str">
        <f t="shared" si="1"/>
        <v>文字c1を文字c2に置換</v>
      </c>
    </row>
    <row r="41" spans="1:7" ht="11.25" customHeight="1">
      <c r="A41" s="12" t="s">
        <v>627</v>
      </c>
      <c r="B41" s="13"/>
      <c r="C41" s="13"/>
      <c r="D41" s="14" t="s">
        <v>122</v>
      </c>
      <c r="E41" t="s">
        <v>122</v>
      </c>
      <c r="F41">
        <f t="shared" ca="1" si="0"/>
        <v>802</v>
      </c>
      <c r="G41" t="str">
        <f t="shared" si="1"/>
        <v/>
      </c>
    </row>
    <row r="42" spans="1:7" ht="11.25" customHeight="1" outlineLevel="1">
      <c r="A42" s="15"/>
      <c r="B42" s="31" t="s">
        <v>574</v>
      </c>
      <c r="C42" s="15" t="s">
        <v>573</v>
      </c>
      <c r="D42" s="17" t="s">
        <v>575</v>
      </c>
      <c r="F42">
        <f t="shared" ca="1" si="0"/>
        <v>803</v>
      </c>
      <c r="G42" t="str">
        <f t="shared" si="1"/>
        <v>文字列そのまま</v>
      </c>
    </row>
    <row r="43" spans="1:7" ht="11.25" customHeight="1" outlineLevel="1">
      <c r="A43" s="15"/>
      <c r="B43" s="31" t="s">
        <v>577</v>
      </c>
      <c r="C43" s="15" t="s">
        <v>576</v>
      </c>
      <c r="D43" s="17" t="s">
        <v>575</v>
      </c>
      <c r="F43">
        <f t="shared" ca="1" si="0"/>
        <v>804</v>
      </c>
      <c r="G43" t="str">
        <f t="shared" si="1"/>
        <v>すべての引用句</v>
      </c>
    </row>
    <row r="44" spans="1:7" ht="11.25" customHeight="1" outlineLevel="1">
      <c r="A44" s="15"/>
      <c r="B44" s="31" t="s">
        <v>579</v>
      </c>
      <c r="C44" s="15" t="s">
        <v>578</v>
      </c>
      <c r="D44" s="17" t="s">
        <v>575</v>
      </c>
      <c r="F44">
        <f t="shared" ca="1" si="0"/>
        <v>805</v>
      </c>
      <c r="G44" t="str">
        <f t="shared" si="1"/>
        <v>完全修飾パス名</v>
      </c>
    </row>
    <row r="45" spans="1:7" ht="11.25" customHeight="1" outlineLevel="1">
      <c r="A45" s="15"/>
      <c r="B45" s="31" t="s">
        <v>581</v>
      </c>
      <c r="C45" s="15" t="s">
        <v>580</v>
      </c>
      <c r="D45" s="17" t="s">
        <v>263</v>
      </c>
      <c r="F45">
        <f t="shared" ca="1" si="0"/>
        <v>806</v>
      </c>
      <c r="G45" t="str">
        <f t="shared" si="1"/>
        <v>ドライブ文字</v>
      </c>
    </row>
    <row r="46" spans="1:7" ht="11.25" customHeight="1" outlineLevel="1">
      <c r="A46" s="15"/>
      <c r="B46" s="31" t="s">
        <v>583</v>
      </c>
      <c r="C46" s="15" t="s">
        <v>582</v>
      </c>
      <c r="D46" s="17" t="s">
        <v>584</v>
      </c>
      <c r="F46">
        <f t="shared" ca="1" si="0"/>
        <v>807</v>
      </c>
      <c r="G46" t="str">
        <f t="shared" si="1"/>
        <v>パス</v>
      </c>
    </row>
    <row r="47" spans="1:7" ht="11.25" customHeight="1" outlineLevel="1">
      <c r="A47" s="15"/>
      <c r="B47" s="31" t="s">
        <v>586</v>
      </c>
      <c r="C47" s="15" t="s">
        <v>585</v>
      </c>
      <c r="D47" s="17" t="s">
        <v>587</v>
      </c>
      <c r="F47">
        <f t="shared" ca="1" si="0"/>
        <v>808</v>
      </c>
      <c r="G47" t="str">
        <f t="shared" si="1"/>
        <v>ディレクトリパス</v>
      </c>
    </row>
    <row r="48" spans="1:7" ht="11.25" customHeight="1" outlineLevel="1">
      <c r="A48" s="15"/>
      <c r="B48" s="31" t="s">
        <v>589</v>
      </c>
      <c r="C48" s="15" t="s">
        <v>588</v>
      </c>
      <c r="D48" s="17" t="s">
        <v>590</v>
      </c>
      <c r="F48">
        <f t="shared" ca="1" si="0"/>
        <v>809</v>
      </c>
      <c r="G48" t="str">
        <f t="shared" si="1"/>
        <v>ファイル名</v>
      </c>
    </row>
    <row r="49" spans="1:7" ht="11.25" customHeight="1" outlineLevel="1">
      <c r="A49" s="15"/>
      <c r="B49" s="31" t="s">
        <v>592</v>
      </c>
      <c r="C49" s="15" t="s">
        <v>591</v>
      </c>
      <c r="D49" s="17" t="s">
        <v>593</v>
      </c>
      <c r="F49">
        <f t="shared" ca="1" si="0"/>
        <v>810</v>
      </c>
      <c r="G49" t="str">
        <f t="shared" si="1"/>
        <v>ファイル拡張子</v>
      </c>
    </row>
    <row r="50" spans="1:7" ht="11.25" customHeight="1" outlineLevel="1">
      <c r="A50" s="15"/>
      <c r="B50" s="31" t="s">
        <v>595</v>
      </c>
      <c r="C50" s="15" t="s">
        <v>594</v>
      </c>
      <c r="D50" s="17" t="s">
        <v>596</v>
      </c>
      <c r="F50">
        <f t="shared" ca="1" si="0"/>
        <v>811</v>
      </c>
      <c r="G50" t="str">
        <f t="shared" si="1"/>
        <v>ファイル名.拡張子</v>
      </c>
    </row>
    <row r="51" spans="1:7" ht="11.25" customHeight="1" outlineLevel="1">
      <c r="A51" s="15"/>
      <c r="B51" s="15" t="s">
        <v>628</v>
      </c>
      <c r="C51" s="24" t="str">
        <f>"set CUR_DIR_PATH=%~dp0
for %%1 in (""%CUR_DIR_PATH:~0,-1%"") do set DIR_NAME=%%~nx1\"</f>
        <v>set CUR_DIR_PATH=%~dp0
for %%1 in ("%CUR_DIR_PATH:~0,-1%") do set DIR_NAME=%%~nx1\</v>
      </c>
      <c r="D51" s="17" t="s">
        <v>122</v>
      </c>
      <c r="F51">
        <f t="shared" ca="1" si="0"/>
        <v>812</v>
      </c>
      <c r="G51" t="str">
        <f t="shared" si="1"/>
        <v>フォルダ名</v>
      </c>
    </row>
    <row r="52" spans="1:7" ht="11.25" customHeight="1" outlineLevel="1">
      <c r="A52" s="15"/>
      <c r="B52" s="31" t="s">
        <v>598</v>
      </c>
      <c r="C52" s="15" t="s">
        <v>597</v>
      </c>
      <c r="D52" s="17" t="s">
        <v>599</v>
      </c>
      <c r="F52">
        <f t="shared" ca="1" si="0"/>
        <v>813</v>
      </c>
      <c r="G52" t="str">
        <f t="shared" si="1"/>
        <v>短いパス</v>
      </c>
    </row>
    <row r="53" spans="1:7" ht="11.25" customHeight="1" outlineLevel="1">
      <c r="A53" s="15"/>
      <c r="B53" s="31" t="s">
        <v>601</v>
      </c>
      <c r="C53" s="15" t="s">
        <v>600</v>
      </c>
      <c r="D53" s="17" t="s">
        <v>602</v>
      </c>
      <c r="F53">
        <f t="shared" ca="1" si="0"/>
        <v>814</v>
      </c>
      <c r="G53" t="str">
        <f t="shared" si="1"/>
        <v>ファイル属性</v>
      </c>
    </row>
    <row r="54" spans="1:7" ht="11.25" customHeight="1" outlineLevel="1">
      <c r="A54" s="15"/>
      <c r="B54" s="31" t="s">
        <v>604</v>
      </c>
      <c r="C54" s="15" t="s">
        <v>603</v>
      </c>
      <c r="D54" s="17" t="s">
        <v>605</v>
      </c>
      <c r="F54">
        <f t="shared" ca="1" si="0"/>
        <v>815</v>
      </c>
      <c r="G54" t="str">
        <f t="shared" si="1"/>
        <v>ファイル日付/時刻</v>
      </c>
    </row>
    <row r="55" spans="1:7" ht="11.25" customHeight="1" outlineLevel="1">
      <c r="A55" s="15"/>
      <c r="B55" s="31" t="s">
        <v>607</v>
      </c>
      <c r="C55" s="15" t="s">
        <v>606</v>
      </c>
      <c r="D55" s="17" t="s">
        <v>608</v>
      </c>
      <c r="F55">
        <f t="shared" ca="1" si="0"/>
        <v>816</v>
      </c>
      <c r="G55" t="str">
        <f t="shared" si="1"/>
        <v>ファイルサイズ</v>
      </c>
    </row>
    <row r="56" spans="1:7" ht="11.25" customHeight="1">
      <c r="A56" s="12" t="s">
        <v>345</v>
      </c>
      <c r="B56" s="13"/>
      <c r="C56" s="13"/>
      <c r="D56" s="14" t="s">
        <v>122</v>
      </c>
      <c r="E56" t="s">
        <v>122</v>
      </c>
      <c r="F56">
        <f t="shared" ca="1" si="0"/>
        <v>816</v>
      </c>
      <c r="G56" t="str">
        <f t="shared" si="1"/>
        <v/>
      </c>
    </row>
    <row r="57" spans="1:7" ht="11.25" customHeight="1" outlineLevel="1">
      <c r="A57" s="15"/>
      <c r="B57" s="15" t="s">
        <v>48</v>
      </c>
      <c r="C57" s="16" t="s">
        <v>501</v>
      </c>
      <c r="D57" s="51" t="s">
        <v>565</v>
      </c>
      <c r="F57">
        <f t="shared" ca="1" si="0"/>
        <v>817</v>
      </c>
      <c r="G57" t="str">
        <f t="shared" si="1"/>
        <v>ファイル 削除</v>
      </c>
    </row>
    <row r="58" spans="1:7" ht="11.25" customHeight="1" outlineLevel="1">
      <c r="A58" s="15"/>
      <c r="B58" s="15" t="s">
        <v>537</v>
      </c>
      <c r="C58" s="16" t="s">
        <v>502</v>
      </c>
      <c r="D58" s="17" t="s">
        <v>122</v>
      </c>
      <c r="F58">
        <f t="shared" ca="1" si="0"/>
        <v>818</v>
      </c>
      <c r="G58" t="str">
        <f t="shared" si="1"/>
        <v>ファイル 移動</v>
      </c>
    </row>
    <row r="59" spans="1:7" ht="11.25" customHeight="1" outlineLevel="1">
      <c r="A59" s="15"/>
      <c r="B59" s="15" t="s">
        <v>538</v>
      </c>
      <c r="C59" s="16" t="s">
        <v>503</v>
      </c>
      <c r="D59" s="17" t="s">
        <v>122</v>
      </c>
      <c r="F59">
        <f t="shared" ca="1" si="0"/>
        <v>819</v>
      </c>
      <c r="G59" t="str">
        <f t="shared" si="1"/>
        <v>ファイル コピー</v>
      </c>
    </row>
    <row r="60" spans="1:7" ht="11.25" customHeight="1" outlineLevel="1">
      <c r="A60" s="15"/>
      <c r="B60" s="15" t="s">
        <v>539</v>
      </c>
      <c r="C60" s="16" t="s">
        <v>504</v>
      </c>
      <c r="D60" s="51" t="s">
        <v>566</v>
      </c>
      <c r="F60">
        <f t="shared" ca="1" si="0"/>
        <v>820</v>
      </c>
      <c r="G60" t="str">
        <f t="shared" si="1"/>
        <v>フォルダ 名称変更</v>
      </c>
    </row>
    <row r="61" spans="1:7" ht="11.25" customHeight="1" outlineLevel="1">
      <c r="A61" s="15"/>
      <c r="B61" s="15" t="s">
        <v>59</v>
      </c>
      <c r="C61" s="16" t="s">
        <v>2360</v>
      </c>
      <c r="D61" s="17" t="s">
        <v>2361</v>
      </c>
      <c r="F61">
        <f t="shared" ca="1" si="0"/>
        <v>821</v>
      </c>
      <c r="G61" t="str">
        <f t="shared" si="1"/>
        <v>フォルダ 作成</v>
      </c>
    </row>
    <row r="62" spans="1:7" ht="11.25" customHeight="1" outlineLevel="1">
      <c r="A62" s="15"/>
      <c r="B62" s="15" t="s">
        <v>58</v>
      </c>
      <c r="C62" s="16" t="s">
        <v>505</v>
      </c>
      <c r="D62" s="51" t="s">
        <v>567</v>
      </c>
      <c r="F62">
        <f t="shared" ca="1" si="0"/>
        <v>822</v>
      </c>
      <c r="G62" t="str">
        <f t="shared" si="1"/>
        <v>フォルダ 削除</v>
      </c>
    </row>
    <row r="63" spans="1:7" ht="11.25" customHeight="1" outlineLevel="1">
      <c r="A63" s="15"/>
      <c r="B63" s="15" t="s">
        <v>540</v>
      </c>
      <c r="C63" s="16" t="s">
        <v>506</v>
      </c>
      <c r="D63" s="51" t="s">
        <v>568</v>
      </c>
      <c r="F63">
        <f t="shared" ca="1" si="0"/>
        <v>823</v>
      </c>
      <c r="G63" t="str">
        <f t="shared" si="1"/>
        <v>フォルダ 移動</v>
      </c>
    </row>
    <row r="64" spans="1:7" ht="11.25" customHeight="1" outlineLevel="1">
      <c r="A64" s="15"/>
      <c r="B64" s="15" t="s">
        <v>57</v>
      </c>
      <c r="C64" s="16" t="s">
        <v>507</v>
      </c>
      <c r="D64" s="51" t="s">
        <v>569</v>
      </c>
      <c r="F64">
        <f t="shared" ca="1" si="0"/>
        <v>824</v>
      </c>
      <c r="G64" t="str">
        <f t="shared" si="1"/>
        <v>フォルダ コピー</v>
      </c>
    </row>
    <row r="65" spans="1:7" ht="11.25" customHeight="1" outlineLevel="1">
      <c r="A65" s="15"/>
      <c r="B65" s="15" t="s">
        <v>541</v>
      </c>
      <c r="C65" s="16" t="s">
        <v>508</v>
      </c>
      <c r="D65" s="51" t="s">
        <v>570</v>
      </c>
      <c r="F65">
        <f t="shared" ca="1" si="0"/>
        <v>825</v>
      </c>
      <c r="G65" t="str">
        <f t="shared" si="1"/>
        <v>フォルダ同期</v>
      </c>
    </row>
    <row r="66" spans="1:7" ht="11.25" customHeight="1" outlineLevel="1">
      <c r="A66" s="15"/>
      <c r="B66" s="15" t="s">
        <v>542</v>
      </c>
      <c r="C66" s="16" t="s">
        <v>509</v>
      </c>
      <c r="D66" s="17" t="s">
        <v>571</v>
      </c>
      <c r="F66">
        <f t="shared" ca="1" si="0"/>
        <v>826</v>
      </c>
      <c r="G66" t="str">
        <f t="shared" si="1"/>
        <v>ファイル＆フォルダ ツリー取得(ファイル＆フォルダ)</v>
      </c>
    </row>
    <row r="67" spans="1:7" ht="11.25" customHeight="1" outlineLevel="1">
      <c r="A67" s="15"/>
      <c r="B67" s="15" t="s">
        <v>543</v>
      </c>
      <c r="C67" s="16" t="s">
        <v>510</v>
      </c>
      <c r="D67" s="17" t="s">
        <v>571</v>
      </c>
      <c r="F67">
        <f t="shared" ref="F67:F86" ca="1" si="2">IF(G67="",OFFSET(F67,-1,0),OFFSET(F67,-1,0)+1)</f>
        <v>827</v>
      </c>
      <c r="G67" t="str">
        <f t="shared" si="1"/>
        <v>ファイル＆フォルダ ツリー取得(フォルダのみ)</v>
      </c>
    </row>
    <row r="68" spans="1:7" ht="11.25" customHeight="1" outlineLevel="1">
      <c r="A68" s="15"/>
      <c r="B68" s="15" t="s">
        <v>544</v>
      </c>
      <c r="C68" s="16" t="s">
        <v>511</v>
      </c>
      <c r="D68" s="51" t="s">
        <v>564</v>
      </c>
      <c r="F68">
        <f t="shared" ca="1" si="2"/>
        <v>828</v>
      </c>
      <c r="G68" t="str">
        <f t="shared" ref="G68:G86" si="3">IF(B68="","",B68)</f>
        <v>パス一覧取得(ファイル＆フォルダ)</v>
      </c>
    </row>
    <row r="69" spans="1:7" ht="11.25" customHeight="1" outlineLevel="1">
      <c r="A69" s="15"/>
      <c r="B69" s="15" t="s">
        <v>545</v>
      </c>
      <c r="C69" s="16" t="s">
        <v>512</v>
      </c>
      <c r="D69" s="51" t="s">
        <v>564</v>
      </c>
      <c r="F69">
        <f t="shared" ca="1" si="2"/>
        <v>829</v>
      </c>
      <c r="G69" t="str">
        <f t="shared" si="3"/>
        <v>パス一覧取得(フォルダのみ)</v>
      </c>
    </row>
    <row r="70" spans="1:7" ht="11.25" customHeight="1" outlineLevel="1">
      <c r="A70" s="15"/>
      <c r="B70" s="15" t="s">
        <v>546</v>
      </c>
      <c r="C70" s="16" t="s">
        <v>513</v>
      </c>
      <c r="D70" s="51" t="s">
        <v>564</v>
      </c>
      <c r="F70">
        <f t="shared" ca="1" si="2"/>
        <v>830</v>
      </c>
      <c r="G70" t="str">
        <f t="shared" si="3"/>
        <v>パス一覧取得(ファイルのみ)</v>
      </c>
    </row>
    <row r="71" spans="1:7" ht="11.25" customHeight="1" outlineLevel="1">
      <c r="A71" s="15"/>
      <c r="B71" s="15" t="s">
        <v>561</v>
      </c>
      <c r="C71" s="16" t="s">
        <v>562</v>
      </c>
      <c r="D71" s="51" t="s">
        <v>563</v>
      </c>
      <c r="F71">
        <f t="shared" ca="1" si="2"/>
        <v>831</v>
      </c>
      <c r="G71" t="str">
        <f t="shared" si="3"/>
        <v>パス一覧取得(.c、.hファイルのみ)</v>
      </c>
    </row>
    <row r="72" spans="1:7" ht="11.25" customHeight="1" outlineLevel="1">
      <c r="A72" s="15"/>
      <c r="B72" s="15" t="s">
        <v>710</v>
      </c>
      <c r="C72" s="16" t="s">
        <v>708</v>
      </c>
      <c r="D72" s="17" t="s">
        <v>122</v>
      </c>
      <c r="F72">
        <f t="shared" ca="1" si="2"/>
        <v>832</v>
      </c>
      <c r="G72" t="str">
        <f t="shared" si="3"/>
        <v>シンボリックリンク作成（フォルダ）</v>
      </c>
    </row>
    <row r="73" spans="1:7" ht="11.25" customHeight="1" outlineLevel="1">
      <c r="A73" s="15"/>
      <c r="B73" s="15" t="s">
        <v>554</v>
      </c>
      <c r="C73" s="16" t="s">
        <v>521</v>
      </c>
      <c r="D73" s="17" t="s">
        <v>122</v>
      </c>
      <c r="F73">
        <f t="shared" ca="1" si="2"/>
        <v>833</v>
      </c>
      <c r="G73" t="str">
        <f t="shared" si="3"/>
        <v>シンボリックリンク作成（ファイル）</v>
      </c>
    </row>
    <row r="74" spans="1:7" ht="11.25" customHeight="1" outlineLevel="1">
      <c r="A74" s="15"/>
      <c r="B74" s="15" t="s">
        <v>711</v>
      </c>
      <c r="C74" s="16" t="s">
        <v>709</v>
      </c>
      <c r="D74" s="17" t="s">
        <v>712</v>
      </c>
      <c r="F74">
        <f t="shared" ca="1" si="2"/>
        <v>834</v>
      </c>
      <c r="G74" t="str">
        <f t="shared" si="3"/>
        <v>ショートカットファイル作成（フォルダ/ファイル）</v>
      </c>
    </row>
    <row r="75" spans="1:7" ht="11.25" customHeight="1" outlineLevel="1">
      <c r="A75" s="15"/>
      <c r="B75" s="15" t="s">
        <v>547</v>
      </c>
      <c r="C75" s="16" t="s">
        <v>514</v>
      </c>
      <c r="D75" s="17" t="s">
        <v>122</v>
      </c>
      <c r="F75">
        <f t="shared" ca="1" si="2"/>
        <v>835</v>
      </c>
      <c r="G75" t="str">
        <f t="shared" si="3"/>
        <v>システム属性設定</v>
      </c>
    </row>
    <row r="76" spans="1:7" ht="11.25" customHeight="1" outlineLevel="1">
      <c r="A76" s="15"/>
      <c r="B76" s="15" t="s">
        <v>548</v>
      </c>
      <c r="C76" s="16" t="s">
        <v>515</v>
      </c>
      <c r="D76" s="17" t="s">
        <v>122</v>
      </c>
      <c r="F76">
        <f t="shared" ca="1" si="2"/>
        <v>836</v>
      </c>
      <c r="G76" t="str">
        <f t="shared" si="3"/>
        <v>システム属性解除</v>
      </c>
    </row>
    <row r="77" spans="1:7" ht="11.25" customHeight="1" outlineLevel="1">
      <c r="A77" s="15"/>
      <c r="B77" s="15" t="s">
        <v>549</v>
      </c>
      <c r="C77" s="16" t="s">
        <v>516</v>
      </c>
      <c r="D77" s="17" t="s">
        <v>122</v>
      </c>
      <c r="F77">
        <f t="shared" ca="1" si="2"/>
        <v>837</v>
      </c>
      <c r="G77" t="str">
        <f t="shared" si="3"/>
        <v>隠し属性設定</v>
      </c>
    </row>
    <row r="78" spans="1:7" ht="11.25" customHeight="1" outlineLevel="1">
      <c r="A78" s="15"/>
      <c r="B78" s="15" t="s">
        <v>550</v>
      </c>
      <c r="C78" s="16" t="s">
        <v>517</v>
      </c>
      <c r="D78" s="17" t="s">
        <v>122</v>
      </c>
      <c r="F78">
        <f t="shared" ca="1" si="2"/>
        <v>838</v>
      </c>
      <c r="G78" t="str">
        <f t="shared" si="3"/>
        <v>隠し属性解除</v>
      </c>
    </row>
    <row r="79" spans="1:7" ht="11.25" customHeight="1">
      <c r="A79" s="12" t="s">
        <v>1903</v>
      </c>
      <c r="B79" s="13"/>
      <c r="C79" s="13"/>
      <c r="D79" s="14" t="s">
        <v>122</v>
      </c>
      <c r="E79" t="s">
        <v>122</v>
      </c>
      <c r="F79">
        <f t="shared" ca="1" si="2"/>
        <v>838</v>
      </c>
      <c r="G79" t="str">
        <f t="shared" si="3"/>
        <v/>
      </c>
    </row>
    <row r="80" spans="1:7" ht="11.25" customHeight="1" outlineLevel="1">
      <c r="A80" s="15"/>
      <c r="B80" s="15" t="s">
        <v>2079</v>
      </c>
      <c r="C80" s="16" t="s">
        <v>2076</v>
      </c>
      <c r="D80" s="17"/>
      <c r="F80">
        <f t="shared" ca="1" si="2"/>
        <v>839</v>
      </c>
      <c r="G80" t="str">
        <f t="shared" si="3"/>
        <v>静的IPアドレス化</v>
      </c>
    </row>
    <row r="81" spans="1:7" ht="11.25" customHeight="1" outlineLevel="1">
      <c r="A81" s="15"/>
      <c r="B81" s="15" t="s">
        <v>2078</v>
      </c>
      <c r="C81" s="16" t="s">
        <v>2077</v>
      </c>
      <c r="D81" s="17"/>
      <c r="F81">
        <f t="shared" ca="1" si="2"/>
        <v>840</v>
      </c>
      <c r="G81" t="str">
        <f t="shared" si="3"/>
        <v>動的IPアドレス化</v>
      </c>
    </row>
    <row r="82" spans="1:7" ht="11.25" customHeight="1" outlineLevel="1">
      <c r="A82" s="15"/>
      <c r="B82" s="15"/>
      <c r="C82" s="16"/>
      <c r="D82" s="17"/>
      <c r="F82">
        <f t="shared" ca="1" si="2"/>
        <v>840</v>
      </c>
      <c r="G82" t="str">
        <f t="shared" si="3"/>
        <v/>
      </c>
    </row>
    <row r="83" spans="1:7" ht="11.25" customHeight="1" outlineLevel="1">
      <c r="A83" s="15"/>
      <c r="B83" s="15"/>
      <c r="C83" s="16"/>
      <c r="D83" s="17"/>
      <c r="F83">
        <f t="shared" ca="1" si="2"/>
        <v>840</v>
      </c>
      <c r="G83" t="str">
        <f t="shared" si="3"/>
        <v/>
      </c>
    </row>
    <row r="84" spans="1:7" ht="11.25" customHeight="1" outlineLevel="1">
      <c r="A84" s="15"/>
      <c r="B84" s="15"/>
      <c r="C84" s="16"/>
      <c r="D84" s="17"/>
      <c r="F84">
        <f t="shared" ca="1" si="2"/>
        <v>840</v>
      </c>
      <c r="G84" t="str">
        <f t="shared" si="3"/>
        <v/>
      </c>
    </row>
    <row r="85" spans="1:7" ht="11.25" customHeight="1" outlineLevel="1">
      <c r="A85" s="15"/>
      <c r="B85" s="15"/>
      <c r="C85" s="16"/>
      <c r="D85" s="17"/>
      <c r="F85">
        <f t="shared" ca="1" si="2"/>
        <v>840</v>
      </c>
      <c r="G85" t="str">
        <f t="shared" si="3"/>
        <v/>
      </c>
    </row>
    <row r="86" spans="1:7" ht="11.25" customHeight="1" outlineLevel="1">
      <c r="A86" s="15"/>
      <c r="B86" s="15"/>
      <c r="C86" s="16"/>
      <c r="D86" s="17"/>
      <c r="F86">
        <f t="shared" ca="1" si="2"/>
        <v>840</v>
      </c>
      <c r="G86" t="str">
        <f t="shared" si="3"/>
        <v/>
      </c>
    </row>
    <row r="87" spans="1:7" ht="11.25" customHeight="1">
      <c r="A87" t="s">
        <v>122</v>
      </c>
      <c r="B87" t="s">
        <v>122</v>
      </c>
      <c r="C87" t="s">
        <v>122</v>
      </c>
      <c r="D87" t="s">
        <v>122</v>
      </c>
    </row>
  </sheetData>
  <autoFilter ref="A2:D2" xr:uid="{8778A135-8AEC-4627-8764-24E51DD70D16}"/>
  <phoneticPr fontId="4"/>
  <hyperlinks>
    <hyperlink ref="B10" r:id="rId1" xr:uid="{B737F66A-D676-4BA7-BF99-1511286B2A23}"/>
  </hyperlinks>
  <pageMargins left="0.7" right="0.7" top="0.75" bottom="0.75" header="0.3" footer="0.3"/>
  <pageSetup paperSize="9" scale="38" orientation="portrait"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569"/>
  <sheetViews>
    <sheetView showGridLines="0" tabSelected="1" view="pageBreakPreview" zoomScaleNormal="100" zoomScaleSheetLayoutView="100" workbookViewId="0">
      <pane xSplit="2" ySplit="2" topLeftCell="C418" activePane="bottomRight" state="frozen"/>
      <selection pane="topRight" activeCell="L1" sqref="L1"/>
      <selection pane="bottomLeft" activeCell="A2" sqref="A2"/>
      <selection pane="bottomRight" activeCell="B546" sqref="B546"/>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840</v>
      </c>
      <c r="G2" s="11"/>
    </row>
    <row r="3" spans="1:7" ht="11.25" customHeight="1">
      <c r="A3" s="12" t="s">
        <v>572</v>
      </c>
      <c r="B3" s="13"/>
      <c r="C3" s="13"/>
      <c r="D3" s="14" t="s">
        <v>122</v>
      </c>
      <c r="E3" t="s">
        <v>122</v>
      </c>
      <c r="F3">
        <f t="shared" ref="F3:F8" ca="1" si="0">IF(G3="",OFFSET(F3,-1,0),OFFSET(F3,-1,0)+1)</f>
        <v>840</v>
      </c>
      <c r="G3" t="str">
        <f t="shared" ref="G3:G8" si="1">IF(B3="","",B3)</f>
        <v/>
      </c>
    </row>
    <row r="4" spans="1:7" ht="11.25" customHeight="1" outlineLevel="1">
      <c r="A4" s="15"/>
      <c r="B4" s="15" t="s">
        <v>1875</v>
      </c>
      <c r="C4" s="16" t="s">
        <v>1874</v>
      </c>
      <c r="D4" s="17"/>
      <c r="F4">
        <f t="shared" ca="1" si="0"/>
        <v>841</v>
      </c>
      <c r="G4" t="str">
        <f t="shared" si="1"/>
        <v>シェバン(shebang)</v>
      </c>
    </row>
    <row r="5" spans="1:7" ht="11.25" customHeight="1" outlineLevel="1">
      <c r="A5" s="15"/>
      <c r="B5" s="15" t="s">
        <v>36</v>
      </c>
      <c r="C5" s="16" t="s">
        <v>1037</v>
      </c>
      <c r="D5" s="17"/>
      <c r="F5">
        <f t="shared" ca="1" si="0"/>
        <v>842</v>
      </c>
      <c r="G5" t="str">
        <f t="shared" si="1"/>
        <v>コマンド実行</v>
      </c>
    </row>
    <row r="6" spans="1:7" ht="11.25" customHeight="1" outlineLevel="1">
      <c r="A6" s="15"/>
      <c r="B6" s="15" t="s">
        <v>1036</v>
      </c>
      <c r="C6" s="16" t="s">
        <v>1035</v>
      </c>
      <c r="D6" s="17" t="s">
        <v>1038</v>
      </c>
      <c r="F6">
        <f t="shared" ca="1" si="0"/>
        <v>843</v>
      </c>
      <c r="G6" t="str">
        <f t="shared" si="1"/>
        <v>コマンド実行(非エイリアス)</v>
      </c>
    </row>
    <row r="7" spans="1:7" ht="11.25" customHeight="1" outlineLevel="1">
      <c r="A7" s="15"/>
      <c r="B7" s="18" t="s">
        <v>1039</v>
      </c>
      <c r="C7" s="16" t="s">
        <v>1040</v>
      </c>
      <c r="D7" s="17" t="s">
        <v>1041</v>
      </c>
      <c r="F7">
        <f t="shared" ca="1" si="0"/>
        <v>844</v>
      </c>
      <c r="G7" t="str">
        <f t="shared" si="1"/>
        <v>コマンド実行(直近実行コマンド)</v>
      </c>
    </row>
    <row r="8" spans="1:7" ht="11.25" customHeight="1" outlineLevel="1">
      <c r="A8" s="15"/>
      <c r="B8" s="3" t="s">
        <v>1042</v>
      </c>
      <c r="C8" s="16" t="s">
        <v>1043</v>
      </c>
      <c r="D8" s="17" t="s">
        <v>1044</v>
      </c>
      <c r="F8">
        <f t="shared" ca="1" si="0"/>
        <v>845</v>
      </c>
      <c r="G8" t="str">
        <f t="shared" si="1"/>
        <v>コマンド実行(直前コマンド)</v>
      </c>
    </row>
    <row r="9" spans="1:7" ht="11.25" customHeight="1" outlineLevel="1">
      <c r="A9" s="15"/>
      <c r="B9" s="15" t="s">
        <v>1187</v>
      </c>
      <c r="C9" s="16" t="s">
        <v>1188</v>
      </c>
      <c r="D9" s="17"/>
      <c r="F9">
        <f t="shared" ref="F9:F22" ca="1" si="2">IF(G9="",OFFSET(F9,-1,0),OFFSET(F9,-1,0)+1)</f>
        <v>846</v>
      </c>
      <c r="G9" t="str">
        <f t="shared" ref="G9:G22" si="3">IF(B9="","",B9)</f>
        <v>直前コマンドの最初の引数</v>
      </c>
    </row>
    <row r="10" spans="1:7" ht="11.25" customHeight="1" outlineLevel="1">
      <c r="A10" s="15"/>
      <c r="B10" s="15" t="s">
        <v>1189</v>
      </c>
      <c r="C10" s="16" t="s">
        <v>1190</v>
      </c>
      <c r="D10" s="17"/>
      <c r="F10">
        <f t="shared" ca="1" si="2"/>
        <v>847</v>
      </c>
      <c r="G10" t="str">
        <f t="shared" si="3"/>
        <v>直前コマンドの最終の引数</v>
      </c>
    </row>
    <row r="11" spans="1:7" ht="11.25" customHeight="1" outlineLevel="1">
      <c r="A11" s="15"/>
      <c r="B11" s="15" t="s">
        <v>1191</v>
      </c>
      <c r="C11" s="16" t="s">
        <v>1192</v>
      </c>
      <c r="D11" s="17"/>
      <c r="F11">
        <f t="shared" ca="1" si="2"/>
        <v>848</v>
      </c>
      <c r="G11" t="str">
        <f t="shared" si="3"/>
        <v>直前コマンドの全引数</v>
      </c>
    </row>
    <row r="12" spans="1:7" ht="11.25" customHeight="1" outlineLevel="1">
      <c r="A12" s="15"/>
      <c r="B12" s="15" t="s">
        <v>1193</v>
      </c>
      <c r="C12" s="16" t="s">
        <v>1194</v>
      </c>
      <c r="D12" s="17"/>
      <c r="F12">
        <f t="shared" ca="1" si="2"/>
        <v>849</v>
      </c>
      <c r="G12" t="str">
        <f t="shared" si="3"/>
        <v>直前コマンドの全引数(最終引数を除く)</v>
      </c>
    </row>
    <row r="13" spans="1:7" ht="11.25" customHeight="1" outlineLevel="1">
      <c r="A13" s="15"/>
      <c r="B13" s="15" t="s">
        <v>1195</v>
      </c>
      <c r="C13" s="16" t="s">
        <v>1186</v>
      </c>
      <c r="D13" s="17"/>
      <c r="F13">
        <f t="shared" ca="1" si="2"/>
        <v>850</v>
      </c>
      <c r="G13" t="str">
        <f t="shared" si="3"/>
        <v>直前コマンドの最終引数</v>
      </c>
    </row>
    <row r="14" spans="1:7" ht="11.25" customHeight="1" outlineLevel="1">
      <c r="A14" s="15"/>
      <c r="B14" s="15" t="s">
        <v>1908</v>
      </c>
      <c r="C14" s="16" t="s">
        <v>1907</v>
      </c>
      <c r="D14" s="17" t="s">
        <v>1915</v>
      </c>
      <c r="F14">
        <f t="shared" ca="1" si="2"/>
        <v>851</v>
      </c>
      <c r="G14" t="str">
        <f t="shared" si="3"/>
        <v>直前コマンドの実行結果</v>
      </c>
    </row>
    <row r="15" spans="1:7" ht="11.25" customHeight="1" outlineLevel="1">
      <c r="A15" s="15"/>
      <c r="B15" s="15" t="s">
        <v>1196</v>
      </c>
      <c r="C15" s="16" t="s">
        <v>1180</v>
      </c>
      <c r="D15" s="17"/>
      <c r="F15">
        <f t="shared" ca="1" si="2"/>
        <v>852</v>
      </c>
      <c r="G15" t="str">
        <f t="shared" si="3"/>
        <v>シェルのPID</v>
      </c>
    </row>
    <row r="16" spans="1:7" ht="11.25" customHeight="1" outlineLevel="1">
      <c r="A16" s="15"/>
      <c r="B16" s="15" t="s">
        <v>1197</v>
      </c>
      <c r="C16" s="16" t="s">
        <v>1198</v>
      </c>
      <c r="D16" s="17"/>
      <c r="F16">
        <f t="shared" ca="1" si="2"/>
        <v>853</v>
      </c>
      <c r="G16" t="str">
        <f t="shared" si="3"/>
        <v>直近n番目に実行したコマンド</v>
      </c>
    </row>
    <row r="17" spans="1:7" ht="11.25" customHeight="1" outlineLevel="1">
      <c r="A17" s="15"/>
      <c r="B17" s="15" t="s">
        <v>1199</v>
      </c>
      <c r="C17" s="16" t="s">
        <v>1200</v>
      </c>
      <c r="D17" s="17"/>
      <c r="F17">
        <f t="shared" ca="1" si="2"/>
        <v>854</v>
      </c>
      <c r="G17" t="str">
        <f t="shared" si="3"/>
        <v>直近n番目に実行したコマンド(ヒストリ)</v>
      </c>
    </row>
    <row r="18" spans="1:7" ht="11.25" customHeight="1" outlineLevel="1">
      <c r="A18" s="15"/>
      <c r="B18" s="15" t="s">
        <v>1201</v>
      </c>
      <c r="C18" s="16" t="s">
        <v>1202</v>
      </c>
      <c r="D18" s="17"/>
      <c r="F18">
        <f t="shared" ca="1" si="2"/>
        <v>855</v>
      </c>
      <c r="G18" t="str">
        <f t="shared" si="3"/>
        <v>直前コマンド最終引数のファイルベース名</v>
      </c>
    </row>
    <row r="19" spans="1:7" ht="11.25" customHeight="1" outlineLevel="1">
      <c r="A19" s="15"/>
      <c r="B19" s="15" t="s">
        <v>1203</v>
      </c>
      <c r="C19" s="16" t="s">
        <v>1204</v>
      </c>
      <c r="D19" s="17"/>
      <c r="F19">
        <f t="shared" ca="1" si="2"/>
        <v>856</v>
      </c>
      <c r="G19" t="str">
        <f t="shared" si="3"/>
        <v>直前コマンド最終引数のディレクトリパス</v>
      </c>
    </row>
    <row r="20" spans="1:7" ht="11.25" customHeight="1" outlineLevel="1">
      <c r="A20" s="15"/>
      <c r="B20" s="15" t="s">
        <v>1205</v>
      </c>
      <c r="C20" s="16" t="s">
        <v>1206</v>
      </c>
      <c r="D20" s="17"/>
      <c r="F20">
        <f t="shared" ca="1" si="2"/>
        <v>857</v>
      </c>
      <c r="G20" t="str">
        <f t="shared" si="3"/>
        <v>直前コマンドのn番目のトークン(0:コマンド名、1以降:引数)</v>
      </c>
    </row>
    <row r="21" spans="1:7" ht="11.25" customHeight="1" outlineLevel="1">
      <c r="A21" s="15"/>
      <c r="B21" s="15" t="s">
        <v>1207</v>
      </c>
      <c r="C21" s="16" t="s">
        <v>1208</v>
      </c>
      <c r="D21" s="17"/>
      <c r="F21">
        <f t="shared" ca="1" si="2"/>
        <v>858</v>
      </c>
      <c r="G21" t="str">
        <f t="shared" si="3"/>
        <v>直前コマンドのn～m番目のトークン</v>
      </c>
    </row>
    <row r="22" spans="1:7" ht="11.25" customHeight="1" outlineLevel="1">
      <c r="A22" s="15"/>
      <c r="B22" s="15" t="s">
        <v>1209</v>
      </c>
      <c r="C22" s="16" t="s">
        <v>1210</v>
      </c>
      <c r="D22" s="17"/>
      <c r="F22">
        <f t="shared" ca="1" si="2"/>
        <v>859</v>
      </c>
      <c r="G22" t="str">
        <f t="shared" si="3"/>
        <v>直前コマンドのn～最終トークン</v>
      </c>
    </row>
    <row r="23" spans="1:7" ht="11.25" customHeight="1" outlineLevel="1">
      <c r="A23" s="15"/>
      <c r="B23" s="15" t="s">
        <v>1050</v>
      </c>
      <c r="C23" s="16" t="s">
        <v>1045</v>
      </c>
      <c r="D23" s="17"/>
      <c r="F23">
        <f t="shared" ref="F23:F30" ca="1" si="4">IF(G23="",OFFSET(F23,-1,0),OFFSET(F23,-1,0)+1)</f>
        <v>860</v>
      </c>
      <c r="G23" t="str">
        <f t="shared" ref="G23:G30" si="5">IF(B23="","",B23)</f>
        <v>コマンド連続実行(逐次)(cmd1実行結果に関わらず)</v>
      </c>
    </row>
    <row r="24" spans="1:7" ht="11.25" customHeight="1" outlineLevel="1">
      <c r="A24" s="15"/>
      <c r="B24" s="15" t="s">
        <v>1051</v>
      </c>
      <c r="C24" s="16" t="s">
        <v>1046</v>
      </c>
      <c r="D24" s="17"/>
      <c r="F24">
        <f t="shared" ca="1" si="4"/>
        <v>861</v>
      </c>
      <c r="G24" t="str">
        <f t="shared" si="5"/>
        <v>コマンド連続実行(逐次)(cmd1正常終了時のみ)</v>
      </c>
    </row>
    <row r="25" spans="1:7" ht="11.25" customHeight="1" outlineLevel="1">
      <c r="A25" s="15"/>
      <c r="B25" s="15" t="s">
        <v>1052</v>
      </c>
      <c r="C25" s="16" t="s">
        <v>1047</v>
      </c>
      <c r="D25" s="17"/>
      <c r="F25">
        <f t="shared" ca="1" si="4"/>
        <v>862</v>
      </c>
      <c r="G25" t="str">
        <f t="shared" si="5"/>
        <v>コマンド連続実行(逐次)(cmd1異常終了時のみ)</v>
      </c>
    </row>
    <row r="26" spans="1:7" ht="11.25" customHeight="1" outlineLevel="1">
      <c r="A26" s="15"/>
      <c r="B26" s="15" t="s">
        <v>1053</v>
      </c>
      <c r="C26" s="16" t="s">
        <v>1906</v>
      </c>
      <c r="D26" s="17" t="s">
        <v>1905</v>
      </c>
      <c r="F26">
        <f t="shared" ca="1" si="4"/>
        <v>863</v>
      </c>
      <c r="G26" t="str">
        <f t="shared" si="5"/>
        <v>コマンド連続実行(並列)(cmd1実行結果に関わらず)</v>
      </c>
    </row>
    <row r="27" spans="1:7" ht="11.25" customHeight="1" outlineLevel="1">
      <c r="A27" s="15"/>
      <c r="B27" s="15" t="s">
        <v>1054</v>
      </c>
      <c r="C27" s="16" t="s">
        <v>1048</v>
      </c>
      <c r="D27" s="17"/>
      <c r="F27">
        <f t="shared" ca="1" si="4"/>
        <v>864</v>
      </c>
      <c r="G27" t="str">
        <f t="shared" si="5"/>
        <v>コマンド連続実行(実行結果引渡し)(cmd1標準出力→cmd2標準入力)</v>
      </c>
    </row>
    <row r="28" spans="1:7" ht="11.25" customHeight="1" outlineLevel="1">
      <c r="A28" s="15"/>
      <c r="B28" s="15" t="s">
        <v>1055</v>
      </c>
      <c r="C28" s="16" t="s">
        <v>1049</v>
      </c>
      <c r="D28" s="17"/>
      <c r="F28">
        <f t="shared" ca="1" si="4"/>
        <v>865</v>
      </c>
      <c r="G28" t="str">
        <f t="shared" si="5"/>
        <v>コマンド連続実行(実行結果引渡し)(cmd1標準出力＆エラー出力→cmd2標準入力)</v>
      </c>
    </row>
    <row r="29" spans="1:7" ht="11.25" customHeight="1" outlineLevel="1">
      <c r="A29" s="15"/>
      <c r="B29" s="15" t="s">
        <v>1058</v>
      </c>
      <c r="C29" s="16" t="s">
        <v>1056</v>
      </c>
      <c r="D29" s="17"/>
      <c r="F29">
        <f t="shared" ca="1" si="4"/>
        <v>866</v>
      </c>
      <c r="G29" t="str">
        <f t="shared" si="5"/>
        <v>まとめてコマンド実行(サブシェル)</v>
      </c>
    </row>
    <row r="30" spans="1:7" ht="11.25" customHeight="1" outlineLevel="1">
      <c r="A30" s="15"/>
      <c r="B30" s="15" t="s">
        <v>1059</v>
      </c>
      <c r="C30" s="16" t="s">
        <v>1057</v>
      </c>
      <c r="D30" s="17"/>
      <c r="F30">
        <f t="shared" ca="1" si="4"/>
        <v>867</v>
      </c>
      <c r="G30" t="str">
        <f t="shared" si="5"/>
        <v>まとめてコマンド実行(現在シェル)</v>
      </c>
    </row>
    <row r="31" spans="1:7" ht="11.25" customHeight="1" outlineLevel="1">
      <c r="A31" s="15"/>
      <c r="B31" s="15" t="s">
        <v>1147</v>
      </c>
      <c r="C31" s="16" t="s">
        <v>1148</v>
      </c>
      <c r="D31" s="17"/>
      <c r="F31">
        <f t="shared" ref="F31:F52" ca="1" si="6">IF(G31="",OFFSET(F31,-1,0),OFFSET(F31,-1,0)+1)</f>
        <v>868</v>
      </c>
      <c r="G31" t="str">
        <f t="shared" ref="G31:G52" si="7">IF(B31="","",B31)</f>
        <v>サブシェル実行結果保存1</v>
      </c>
    </row>
    <row r="32" spans="1:7" ht="11.25" customHeight="1" outlineLevel="1">
      <c r="A32" s="15"/>
      <c r="B32" s="15" t="s">
        <v>1149</v>
      </c>
      <c r="C32" s="16" t="s">
        <v>1150</v>
      </c>
      <c r="D32" s="17"/>
      <c r="F32">
        <f t="shared" ca="1" si="6"/>
        <v>869</v>
      </c>
      <c r="G32" t="str">
        <f t="shared" si="7"/>
        <v>サブシェル実行結果保存2</v>
      </c>
    </row>
    <row r="33" spans="1:7" ht="11.25" customHeight="1" outlineLevel="1">
      <c r="A33" s="15"/>
      <c r="B33" s="15" t="s">
        <v>1876</v>
      </c>
      <c r="C33" s="16" t="s">
        <v>1151</v>
      </c>
      <c r="D33" s="17"/>
      <c r="F33">
        <f t="shared" ca="1" si="6"/>
        <v>870</v>
      </c>
      <c r="G33" t="str">
        <f t="shared" si="7"/>
        <v>コメント</v>
      </c>
    </row>
    <row r="34" spans="1:7" ht="11.25" customHeight="1" outlineLevel="1">
      <c r="A34" s="15"/>
      <c r="B34" s="15" t="s">
        <v>1169</v>
      </c>
      <c r="C34" s="16" t="s">
        <v>1160</v>
      </c>
      <c r="D34" s="17"/>
      <c r="F34">
        <f t="shared" ca="1" si="6"/>
        <v>871</v>
      </c>
      <c r="G34" t="str">
        <f t="shared" si="7"/>
        <v>シェルスクリプト実行(現在シェル)</v>
      </c>
    </row>
    <row r="35" spans="1:7" ht="11.25" customHeight="1" outlineLevel="1">
      <c r="A35" s="15"/>
      <c r="B35" s="15" t="s">
        <v>1169</v>
      </c>
      <c r="C35" s="16" t="s">
        <v>1161</v>
      </c>
      <c r="D35" s="17"/>
      <c r="F35">
        <f t="shared" ca="1" si="6"/>
        <v>872</v>
      </c>
      <c r="G35" t="str">
        <f t="shared" si="7"/>
        <v>シェルスクリプト実行(現在シェル)</v>
      </c>
    </row>
    <row r="36" spans="1:7" ht="11.25" customHeight="1" outlineLevel="1">
      <c r="A36" s="15"/>
      <c r="B36" s="15" t="s">
        <v>1170</v>
      </c>
      <c r="C36" s="16" t="s">
        <v>2759</v>
      </c>
      <c r="D36" s="17"/>
      <c r="F36">
        <f t="shared" ca="1" si="6"/>
        <v>873</v>
      </c>
      <c r="G36" t="str">
        <f t="shared" si="7"/>
        <v>シェルスクリプト実行(サブシェル)</v>
      </c>
    </row>
    <row r="37" spans="1:7" ht="11.25" customHeight="1" outlineLevel="1">
      <c r="A37" s="15"/>
      <c r="B37" s="15" t="s">
        <v>1170</v>
      </c>
      <c r="C37" s="16" t="s">
        <v>1171</v>
      </c>
      <c r="D37" s="17"/>
      <c r="F37">
        <f ca="1">IF(G37="",OFFSET(F37,-1,0),OFFSET(F37,-1,0)+1)</f>
        <v>874</v>
      </c>
      <c r="G37" t="str">
        <f>IF(B37="","",B37)</f>
        <v>シェルスクリプト実行(サブシェル)</v>
      </c>
    </row>
    <row r="38" spans="1:7" ht="11.25" customHeight="1" outlineLevel="1">
      <c r="A38" s="15"/>
      <c r="B38" s="15" t="s">
        <v>529</v>
      </c>
      <c r="C38" s="16" t="s">
        <v>1162</v>
      </c>
      <c r="D38" s="17"/>
      <c r="F38">
        <f t="shared" ca="1" si="6"/>
        <v>875</v>
      </c>
      <c r="G38" t="str">
        <f t="shared" si="7"/>
        <v>変数定義</v>
      </c>
    </row>
    <row r="39" spans="1:7" ht="11.25" customHeight="1" outlineLevel="1">
      <c r="A39" s="15"/>
      <c r="B39" s="15" t="s">
        <v>1152</v>
      </c>
      <c r="C39" s="16" t="s">
        <v>1909</v>
      </c>
      <c r="D39" s="17" t="s">
        <v>1910</v>
      </c>
      <c r="F39">
        <f t="shared" ca="1" si="6"/>
        <v>876</v>
      </c>
      <c r="G39" t="str">
        <f t="shared" si="7"/>
        <v>変数参照</v>
      </c>
    </row>
    <row r="40" spans="1:7" ht="11.25" customHeight="1" outlineLevel="1">
      <c r="A40" s="15"/>
      <c r="B40" s="15" t="s">
        <v>1152</v>
      </c>
      <c r="C40" s="16" t="s">
        <v>1911</v>
      </c>
      <c r="D40" s="17" t="s">
        <v>1912</v>
      </c>
      <c r="F40">
        <f t="shared" ca="1" si="6"/>
        <v>877</v>
      </c>
      <c r="G40" t="str">
        <f t="shared" si="7"/>
        <v>変数参照</v>
      </c>
    </row>
    <row r="41" spans="1:7" ht="11.25" customHeight="1" outlineLevel="1">
      <c r="A41" s="15"/>
      <c r="B41" s="15" t="s">
        <v>1152</v>
      </c>
      <c r="C41" s="16" t="s">
        <v>1913</v>
      </c>
      <c r="D41" s="17" t="s">
        <v>1914</v>
      </c>
      <c r="F41">
        <f t="shared" ca="1" si="6"/>
        <v>878</v>
      </c>
      <c r="G41" t="str">
        <f t="shared" si="7"/>
        <v>変数参照</v>
      </c>
    </row>
    <row r="42" spans="1:7" ht="11.25" customHeight="1" outlineLevel="1">
      <c r="A42" s="15"/>
      <c r="B42" s="15" t="s">
        <v>1153</v>
      </c>
      <c r="C42" s="16" t="s">
        <v>1163</v>
      </c>
      <c r="D42" s="17"/>
      <c r="F42">
        <f t="shared" ca="1" si="6"/>
        <v>879</v>
      </c>
      <c r="G42" t="str">
        <f t="shared" si="7"/>
        <v>変数参照(非空文字列時word返却＆var非保存)</v>
      </c>
    </row>
    <row r="43" spans="1:7" ht="11.25" customHeight="1" outlineLevel="1">
      <c r="A43" s="15"/>
      <c r="B43" s="15" t="s">
        <v>1154</v>
      </c>
      <c r="C43" s="16" t="s">
        <v>1164</v>
      </c>
      <c r="D43" s="17"/>
      <c r="F43">
        <f t="shared" ca="1" si="6"/>
        <v>880</v>
      </c>
      <c r="G43" t="str">
        <f t="shared" si="7"/>
        <v>変数参照(　空文字列時word返却＆var非保存)</v>
      </c>
    </row>
    <row r="44" spans="1:7" ht="11.25" customHeight="1" outlineLevel="1">
      <c r="A44" s="15"/>
      <c r="B44" s="15" t="s">
        <v>1155</v>
      </c>
      <c r="C44" s="16" t="s">
        <v>1165</v>
      </c>
      <c r="D44" s="17"/>
      <c r="F44">
        <f t="shared" ca="1" si="6"/>
        <v>881</v>
      </c>
      <c r="G44" t="str">
        <f t="shared" si="7"/>
        <v>変数参照(　空文字列時word返却＆var　保存)</v>
      </c>
    </row>
    <row r="45" spans="1:7" ht="11.25" customHeight="1" outlineLevel="1">
      <c r="A45" s="15"/>
      <c r="B45" s="15" t="s">
        <v>1156</v>
      </c>
      <c r="C45" s="16" t="s">
        <v>1166</v>
      </c>
      <c r="D45" s="17"/>
      <c r="F45">
        <f t="shared" ca="1" si="6"/>
        <v>882</v>
      </c>
      <c r="G45" t="str">
        <f t="shared" si="7"/>
        <v>変数参照(　空文字列時標準エラー出力表示)</v>
      </c>
    </row>
    <row r="46" spans="1:7" ht="11.25" customHeight="1" outlineLevel="1">
      <c r="A46" s="15"/>
      <c r="B46" s="15" t="s">
        <v>2760</v>
      </c>
      <c r="C46" s="16" t="s">
        <v>1167</v>
      </c>
      <c r="D46" s="17"/>
      <c r="F46">
        <f t="shared" ca="1" si="6"/>
        <v>883</v>
      </c>
      <c r="G46" t="str">
        <f t="shared" si="7"/>
        <v>変数定義(配列)１</v>
      </c>
    </row>
    <row r="47" spans="1:7" ht="11.25" customHeight="1" outlineLevel="1">
      <c r="A47" s="15"/>
      <c r="B47" s="15" t="s">
        <v>2761</v>
      </c>
      <c r="C47" s="16" t="str">
        <f>"ARRAY[0]=item1
ARRAY[1]=item2
ARRAY[2]=item3
ARRAY[3]=item4"</f>
        <v>ARRAY[0]=item1
ARRAY[1]=item2
ARRAY[2]=item3
ARRAY[3]=item4</v>
      </c>
      <c r="D47" s="17"/>
      <c r="F47">
        <f ca="1">IF(G47="",OFFSET(F47,-1,0),OFFSET(F47,-1,0)+1)</f>
        <v>884</v>
      </c>
      <c r="G47" t="str">
        <f>IF(B47="","",B47)</f>
        <v>変数定義(配列)２</v>
      </c>
    </row>
    <row r="48" spans="1:7" ht="11.25" customHeight="1" outlineLevel="1">
      <c r="A48" s="15"/>
      <c r="B48" s="15" t="s">
        <v>2763</v>
      </c>
      <c r="C48" s="16" t="s">
        <v>2765</v>
      </c>
      <c r="D48" s="17" t="s">
        <v>2783</v>
      </c>
      <c r="F48">
        <f t="shared" ca="1" si="6"/>
        <v>885</v>
      </c>
      <c r="G48" t="str">
        <f t="shared" si="7"/>
        <v>変数参照(配列)</v>
      </c>
    </row>
    <row r="49" spans="1:7" ht="11.25" customHeight="1" outlineLevel="1">
      <c r="A49" s="15"/>
      <c r="B49" s="15" t="s">
        <v>2764</v>
      </c>
      <c r="C49" s="16" t="s">
        <v>2782</v>
      </c>
      <c r="D49" s="17"/>
      <c r="F49">
        <f t="shared" ca="1" si="6"/>
        <v>886</v>
      </c>
      <c r="G49" t="str">
        <f t="shared" si="7"/>
        <v>変数参照(配列サイズ)</v>
      </c>
    </row>
    <row r="50" spans="1:7" ht="11.25" customHeight="1" outlineLevel="1">
      <c r="A50" s="15"/>
      <c r="B50" s="15" t="s">
        <v>2784</v>
      </c>
      <c r="C50" s="16" t="s">
        <v>2762</v>
      </c>
      <c r="D50" s="17"/>
      <c r="F50">
        <f ca="1">IF(G50="",OFFSET(F50,-1,0),OFFSET(F50,-1,0)+1)</f>
        <v>887</v>
      </c>
      <c r="G50" t="str">
        <f>IF(B50="","",B50)</f>
        <v>変数参照(配列全要素取り出し)</v>
      </c>
    </row>
    <row r="51" spans="1:7" ht="11.25" customHeight="1" outlineLevel="1">
      <c r="A51" s="15"/>
      <c r="B51" s="15" t="s">
        <v>7</v>
      </c>
      <c r="C51" s="16" t="str">
        <f>"function lsmo() {
    ls -la | more
}"</f>
        <v>function lsmo() {
    ls -la | more
}</v>
      </c>
      <c r="D51" s="17"/>
      <c r="F51">
        <f t="shared" ca="1" si="6"/>
        <v>888</v>
      </c>
      <c r="G51" t="str">
        <f t="shared" si="7"/>
        <v>関数定義</v>
      </c>
    </row>
    <row r="52" spans="1:7" ht="11.25" customHeight="1" outlineLevel="1">
      <c r="A52" s="15"/>
      <c r="B52" s="15" t="s">
        <v>1159</v>
      </c>
      <c r="C52" s="16" t="s">
        <v>1168</v>
      </c>
      <c r="D52" s="17"/>
      <c r="F52">
        <f t="shared" ca="1" si="6"/>
        <v>889</v>
      </c>
      <c r="G52" t="str">
        <f t="shared" si="7"/>
        <v>関数定義削除</v>
      </c>
    </row>
    <row r="53" spans="1:7" ht="11.25" customHeight="1" outlineLevel="1">
      <c r="A53" s="15"/>
      <c r="B53" s="15" t="s">
        <v>1326</v>
      </c>
      <c r="C53" s="16" t="s">
        <v>1325</v>
      </c>
      <c r="D53" s="17"/>
      <c r="F53">
        <f ca="1">IF(G53="",OFFSET(F53,-1,0),OFFSET(F53,-1,0)+1)</f>
        <v>890</v>
      </c>
      <c r="G53" t="str">
        <f>IF(B53="","",B53)</f>
        <v>シェル変数設定</v>
      </c>
    </row>
    <row r="54" spans="1:7" ht="11.25" customHeight="1" outlineLevel="1">
      <c r="A54" s="15"/>
      <c r="B54" s="18" t="s">
        <v>1882</v>
      </c>
      <c r="C54" s="16" t="s">
        <v>1878</v>
      </c>
      <c r="D54" s="17"/>
      <c r="F54">
        <f ca="1">IF(G54="",OFFSET(F54,-1,0),OFFSET(F54,-1,0)+1)</f>
        <v>891</v>
      </c>
      <c r="G54" t="str">
        <f>IF(B54="","",B54)</f>
        <v>xargs コマンドライン引数受取後実行</v>
      </c>
    </row>
    <row r="55" spans="1:7" ht="11.25" customHeight="1" outlineLevel="1">
      <c r="A55" s="15"/>
      <c r="B55" s="15" t="s">
        <v>1881</v>
      </c>
      <c r="C55" s="16" t="s">
        <v>1879</v>
      </c>
      <c r="D55" s="17" t="s">
        <v>1880</v>
      </c>
      <c r="F55">
        <f ca="1">IF(G55="",OFFSET(F55,-1,0),OFFSET(F55,-1,0)+1)</f>
        <v>892</v>
      </c>
      <c r="G55" t="str">
        <f>IF(B55="","",B55)</f>
        <v>xargs コマンドの間に展開(-I)</v>
      </c>
    </row>
    <row r="56" spans="1:7" ht="11.25" customHeight="1" outlineLevel="1">
      <c r="A56" s="15"/>
      <c r="B56" s="15" t="s">
        <v>1342</v>
      </c>
      <c r="C56" s="16" t="s">
        <v>1343</v>
      </c>
      <c r="D56" s="17"/>
      <c r="F56">
        <f t="shared" ref="F56:F64" ca="1" si="8">IF(G56="",OFFSET(F56,-1,0),OFFSET(F56,-1,0)+1)</f>
        <v>893</v>
      </c>
      <c r="G56" t="str">
        <f t="shared" ref="G56:G64" si="9">IF(B56="","",B56)</f>
        <v>標準出力書き出し(改行付与)</v>
      </c>
    </row>
    <row r="57" spans="1:7" ht="11.25" customHeight="1" outlineLevel="1">
      <c r="A57" s="15"/>
      <c r="B57" s="15" t="s">
        <v>1344</v>
      </c>
      <c r="C57" s="16" t="s">
        <v>1345</v>
      </c>
      <c r="D57" s="17"/>
      <c r="F57">
        <f t="shared" ca="1" si="8"/>
        <v>894</v>
      </c>
      <c r="G57" t="str">
        <f t="shared" si="9"/>
        <v>標準出力書き出し(改行なし)</v>
      </c>
    </row>
    <row r="58" spans="1:7" ht="11.25" customHeight="1" outlineLevel="1">
      <c r="A58" s="15"/>
      <c r="B58" s="15" t="s">
        <v>1211</v>
      </c>
      <c r="C58" s="16" t="s">
        <v>1212</v>
      </c>
      <c r="D58" s="17"/>
      <c r="F58">
        <f ca="1">IF(G58="",OFFSET(F58,-1,0),OFFSET(F58,-1,0)+1)</f>
        <v>895</v>
      </c>
      <c r="G58" t="str">
        <f>IF(B58="","",B58)</f>
        <v>標準入力取得１</v>
      </c>
    </row>
    <row r="59" spans="1:7" ht="11.25" customHeight="1" outlineLevel="1">
      <c r="A59" s="15"/>
      <c r="B59" s="15" t="s">
        <v>1213</v>
      </c>
      <c r="C59" s="16" t="s">
        <v>1214</v>
      </c>
      <c r="D59" s="17"/>
      <c r="F59">
        <f ca="1">IF(G59="",OFFSET(F59,-1,0),OFFSET(F59,-1,0)+1)</f>
        <v>896</v>
      </c>
      <c r="G59" t="str">
        <f>IF(B59="","",B59)</f>
        <v>標準入力取得２</v>
      </c>
    </row>
    <row r="60" spans="1:7" ht="11.25" customHeight="1" outlineLevel="1">
      <c r="A60" s="15"/>
      <c r="B60" s="15" t="s">
        <v>1346</v>
      </c>
      <c r="C60" s="16" t="s">
        <v>1966</v>
      </c>
      <c r="D60" s="19" t="s">
        <v>1967</v>
      </c>
      <c r="F60">
        <f t="shared" ca="1" si="8"/>
        <v>897</v>
      </c>
      <c r="G60" t="str">
        <f t="shared" si="9"/>
        <v>C言語のprintfと同等</v>
      </c>
    </row>
    <row r="61" spans="1:7" ht="11.25" customHeight="1" outlineLevel="1">
      <c r="A61" s="15"/>
      <c r="B61" s="15" t="s">
        <v>1347</v>
      </c>
      <c r="C61" s="16" t="s">
        <v>1348</v>
      </c>
      <c r="D61" s="17"/>
      <c r="F61">
        <f t="shared" ca="1" si="8"/>
        <v>898</v>
      </c>
      <c r="G61" t="str">
        <f t="shared" si="9"/>
        <v>永遠文字列表示</v>
      </c>
    </row>
    <row r="62" spans="1:7" ht="11.25" customHeight="1" outlineLevel="1">
      <c r="A62" s="15"/>
      <c r="B62" s="15" t="s">
        <v>1349</v>
      </c>
      <c r="C62" s="20" t="s">
        <v>1381</v>
      </c>
      <c r="D62" s="17"/>
      <c r="F62">
        <f t="shared" ca="1" si="8"/>
        <v>899</v>
      </c>
      <c r="G62" t="str">
        <f t="shared" si="9"/>
        <v>何もしない(戻り値1)</v>
      </c>
    </row>
    <row r="63" spans="1:7" ht="11.25" customHeight="1" outlineLevel="1">
      <c r="A63" s="15"/>
      <c r="B63" s="15" t="s">
        <v>1350</v>
      </c>
      <c r="C63" s="20" t="s">
        <v>1382</v>
      </c>
      <c r="D63" s="17"/>
      <c r="F63">
        <f t="shared" ca="1" si="8"/>
        <v>900</v>
      </c>
      <c r="G63" t="str">
        <f t="shared" si="9"/>
        <v>何もしない(戻り値0)</v>
      </c>
    </row>
    <row r="64" spans="1:7" ht="11.25" customHeight="1" outlineLevel="1">
      <c r="A64" s="15"/>
      <c r="B64" s="15" t="s">
        <v>1351</v>
      </c>
      <c r="C64" s="16" t="s">
        <v>1352</v>
      </c>
      <c r="D64" s="17"/>
      <c r="F64">
        <f t="shared" ca="1" si="8"/>
        <v>901</v>
      </c>
      <c r="G64" t="str">
        <f t="shared" si="9"/>
        <v>コマンド戻り値判定</v>
      </c>
    </row>
    <row r="65" spans="1:7" ht="11.25" customHeight="1" outlineLevel="1">
      <c r="A65" s="15"/>
      <c r="B65" s="15" t="s">
        <v>1353</v>
      </c>
      <c r="C65" s="16" t="s">
        <v>1354</v>
      </c>
      <c r="D65" s="17" t="s">
        <v>1383</v>
      </c>
      <c r="F65">
        <f t="shared" ref="F65:F76" ca="1" si="10">IF(G65="",OFFSET(F65,-1,0),OFFSET(F65,-1,0)+1)</f>
        <v>902</v>
      </c>
      <c r="G65" t="str">
        <f t="shared" ref="G65:G76" si="11">IF(B65="","",B65)</f>
        <v>出力を複数ファイルやプロセスに渡す</v>
      </c>
    </row>
    <row r="66" spans="1:7" ht="11.25" customHeight="1" outlineLevel="1">
      <c r="A66" s="15"/>
      <c r="B66" s="15" t="s">
        <v>1355</v>
      </c>
      <c r="C66" s="16" t="s">
        <v>1356</v>
      </c>
      <c r="D66" s="17"/>
      <c r="F66">
        <f t="shared" ca="1" si="10"/>
        <v>903</v>
      </c>
      <c r="G66" t="str">
        <f t="shared" si="11"/>
        <v>エイリアス設定</v>
      </c>
    </row>
    <row r="67" spans="1:7" ht="11.25" customHeight="1" outlineLevel="1">
      <c r="A67" s="15"/>
      <c r="B67" s="15" t="s">
        <v>1357</v>
      </c>
      <c r="C67" s="16" t="s">
        <v>1358</v>
      </c>
      <c r="D67" s="17"/>
      <c r="F67">
        <f t="shared" ca="1" si="10"/>
        <v>904</v>
      </c>
      <c r="G67" t="str">
        <f t="shared" si="11"/>
        <v>エイリアス解除</v>
      </c>
    </row>
    <row r="68" spans="1:7" ht="11.25" customHeight="1" outlineLevel="1">
      <c r="A68" s="15"/>
      <c r="B68" s="15" t="s">
        <v>1368</v>
      </c>
      <c r="C68" s="16" t="s">
        <v>1369</v>
      </c>
      <c r="D68" s="17"/>
      <c r="F68">
        <f t="shared" ca="1" si="10"/>
        <v>905</v>
      </c>
      <c r="G68" t="str">
        <f t="shared" si="11"/>
        <v>管理者権限実行</v>
      </c>
    </row>
    <row r="69" spans="1:7" ht="11.25" customHeight="1" outlineLevel="1">
      <c r="A69" s="15"/>
      <c r="B69" s="15" t="s">
        <v>1366</v>
      </c>
      <c r="C69" s="16" t="s">
        <v>1367</v>
      </c>
      <c r="D69" s="17"/>
      <c r="F69">
        <f t="shared" ca="1" si="10"/>
        <v>906</v>
      </c>
      <c r="G69" t="str">
        <f t="shared" si="11"/>
        <v>ユーザ切り替え</v>
      </c>
    </row>
    <row r="70" spans="1:7" ht="11.25" customHeight="1" outlineLevel="1">
      <c r="A70" s="15"/>
      <c r="B70" s="15" t="s">
        <v>1330</v>
      </c>
      <c r="C70" s="16" t="s">
        <v>1331</v>
      </c>
      <c r="D70" s="17"/>
      <c r="F70">
        <f t="shared" ca="1" si="10"/>
        <v>907</v>
      </c>
      <c r="G70" t="str">
        <f t="shared" si="11"/>
        <v>コマンド履歴表示</v>
      </c>
    </row>
    <row r="71" spans="1:7" ht="11.25" customHeight="1" outlineLevel="1">
      <c r="A71" s="15"/>
      <c r="B71" s="15" t="s">
        <v>1370</v>
      </c>
      <c r="C71" s="16" t="s">
        <v>1371</v>
      </c>
      <c r="D71" s="17"/>
      <c r="F71">
        <f t="shared" ca="1" si="10"/>
        <v>908</v>
      </c>
      <c r="G71" t="str">
        <f t="shared" si="11"/>
        <v>タイムリミット設定後コマンド実行</v>
      </c>
    </row>
    <row r="72" spans="1:7" ht="11.25" customHeight="1" outlineLevel="1">
      <c r="A72" s="15"/>
      <c r="B72" s="15" t="s">
        <v>1372</v>
      </c>
      <c r="C72" s="16" t="s">
        <v>1373</v>
      </c>
      <c r="D72" s="17"/>
      <c r="F72">
        <f t="shared" ca="1" si="10"/>
        <v>909</v>
      </c>
      <c r="G72" t="str">
        <f t="shared" si="11"/>
        <v>実行遅延</v>
      </c>
    </row>
    <row r="73" spans="1:7" ht="11.25" customHeight="1" outlineLevel="1">
      <c r="A73" s="15"/>
      <c r="B73" s="15" t="s">
        <v>1904</v>
      </c>
      <c r="C73" s="16" t="s">
        <v>1833</v>
      </c>
      <c r="D73" s="17"/>
      <c r="F73">
        <f t="shared" ca="1" si="10"/>
        <v>910</v>
      </c>
      <c r="G73" t="str">
        <f t="shared" si="11"/>
        <v>現在シェル表示</v>
      </c>
    </row>
    <row r="74" spans="1:7" ht="11.25" customHeight="1" outlineLevel="1">
      <c r="A74" s="15"/>
      <c r="B74" s="15" t="s">
        <v>2787</v>
      </c>
      <c r="C74" s="16" t="s">
        <v>2789</v>
      </c>
      <c r="D74" s="17" t="s">
        <v>2788</v>
      </c>
      <c r="F74">
        <f ca="1">IF(G74="",OFFSET(F74,-1,0),OFFSET(F74,-1,0)+1)</f>
        <v>911</v>
      </c>
      <c r="G74" t="str">
        <f>IF(B74="","",B74)</f>
        <v>終了コマンド(関数)</v>
      </c>
    </row>
    <row r="75" spans="1:7" ht="11.25" customHeight="1" outlineLevel="1">
      <c r="A75" s="15"/>
      <c r="B75" s="15" t="s">
        <v>2786</v>
      </c>
      <c r="C75" s="16" t="s">
        <v>2790</v>
      </c>
      <c r="D75" s="17"/>
      <c r="F75">
        <f ca="1">IF(G75="",OFFSET(F75,-1,0),OFFSET(F75,-1,0)+1)</f>
        <v>912</v>
      </c>
      <c r="G75" t="str">
        <f>IF(B75="","",B75)</f>
        <v>終了コマンド(スクリプト/ターミナル)</v>
      </c>
    </row>
    <row r="76" spans="1:7" ht="11.25" customHeight="1">
      <c r="A76" s="12" t="s">
        <v>1948</v>
      </c>
      <c r="B76" s="13"/>
      <c r="C76" s="13"/>
      <c r="D76" s="14" t="s">
        <v>122</v>
      </c>
      <c r="E76" t="s">
        <v>122</v>
      </c>
      <c r="F76">
        <f t="shared" ca="1" si="10"/>
        <v>912</v>
      </c>
      <c r="G76" t="str">
        <f t="shared" si="11"/>
        <v/>
      </c>
    </row>
    <row r="77" spans="1:7" ht="11.25" customHeight="1" outlineLevel="1">
      <c r="A77" s="15"/>
      <c r="B77" s="18" t="s">
        <v>1938</v>
      </c>
      <c r="C77" s="16" t="s">
        <v>1921</v>
      </c>
      <c r="D77" s="17"/>
      <c r="F77">
        <f t="shared" ref="F77:F100" ca="1" si="12">IF(G77="",OFFSET(F77,-1,0),OFFSET(F77,-1,0)+1)</f>
        <v>913</v>
      </c>
      <c r="G77" t="str">
        <f t="shared" ref="G77:G100" si="13">IF(B77="","",B77)</f>
        <v>set(変数一覧表示)</v>
      </c>
    </row>
    <row r="78" spans="1:7" ht="11.25" customHeight="1" outlineLevel="1">
      <c r="A78" s="15"/>
      <c r="B78" s="15" t="s">
        <v>1939</v>
      </c>
      <c r="C78" s="16" t="s">
        <v>1922</v>
      </c>
      <c r="D78" s="17"/>
      <c r="F78">
        <f t="shared" ca="1" si="12"/>
        <v>914</v>
      </c>
      <c r="G78" t="str">
        <f t="shared" si="13"/>
        <v>set(シェルオプション表示)</v>
      </c>
    </row>
    <row r="79" spans="1:7" ht="11.25" customHeight="1" outlineLevel="1">
      <c r="A79" s="15"/>
      <c r="B79" s="15" t="s">
        <v>1940</v>
      </c>
      <c r="C79" s="16" t="s">
        <v>1926</v>
      </c>
      <c r="D79" s="17" t="s">
        <v>1927</v>
      </c>
      <c r="F79">
        <f t="shared" ca="1" si="12"/>
        <v>915</v>
      </c>
      <c r="G79" t="str">
        <f t="shared" si="13"/>
        <v>set(エラー発生時強制終了)</v>
      </c>
    </row>
    <row r="80" spans="1:7" ht="11.25" customHeight="1" outlineLevel="1">
      <c r="A80" s="15"/>
      <c r="B80" s="15" t="s">
        <v>1941</v>
      </c>
      <c r="C80" s="16" t="s">
        <v>1923</v>
      </c>
      <c r="D80" s="17"/>
      <c r="F80">
        <f t="shared" ca="1" si="12"/>
        <v>916</v>
      </c>
      <c r="G80" t="str">
        <f t="shared" si="13"/>
        <v>set(未定義変数使用時強制終了)</v>
      </c>
    </row>
    <row r="81" spans="1:7" ht="11.25" customHeight="1" outlineLevel="1">
      <c r="A81" s="15"/>
      <c r="B81" s="15" t="s">
        <v>1942</v>
      </c>
      <c r="C81" s="16" t="s">
        <v>1928</v>
      </c>
      <c r="D81" s="17" t="s">
        <v>1929</v>
      </c>
      <c r="F81">
        <f t="shared" ca="1" si="12"/>
        <v>917</v>
      </c>
      <c r="G81" t="str">
        <f t="shared" si="13"/>
        <v>set(パス名展開無効化)</v>
      </c>
    </row>
    <row r="82" spans="1:7" ht="11.25" customHeight="1" outlineLevel="1">
      <c r="A82" s="15"/>
      <c r="B82" s="15" t="s">
        <v>1943</v>
      </c>
      <c r="C82" s="16" t="s">
        <v>1924</v>
      </c>
      <c r="D82" s="17"/>
      <c r="F82">
        <f t="shared" ca="1" si="12"/>
        <v>918</v>
      </c>
      <c r="G82" t="str">
        <f t="shared" si="13"/>
        <v>set(実行コマンド出力)</v>
      </c>
    </row>
    <row r="83" spans="1:7" ht="11.25" customHeight="1" outlineLevel="1">
      <c r="A83" s="15"/>
      <c r="B83" s="15" t="s">
        <v>1943</v>
      </c>
      <c r="C83" s="16" t="s">
        <v>1925</v>
      </c>
      <c r="D83" s="17"/>
      <c r="F83">
        <f t="shared" ca="1" si="12"/>
        <v>919</v>
      </c>
      <c r="G83" t="str">
        <f t="shared" si="13"/>
        <v>set(実行コマンド出力)</v>
      </c>
    </row>
    <row r="84" spans="1:7" ht="11.25" customHeight="1" outlineLevel="1">
      <c r="A84" s="15"/>
      <c r="B84" s="15" t="s">
        <v>1944</v>
      </c>
      <c r="C84" s="16" t="s">
        <v>1930</v>
      </c>
      <c r="D84" s="17" t="s">
        <v>1931</v>
      </c>
      <c r="F84">
        <f t="shared" ca="1" si="12"/>
        <v>920</v>
      </c>
      <c r="G84" t="str">
        <f t="shared" si="13"/>
        <v>set(構文チェックのみ実施(実行しない))</v>
      </c>
    </row>
    <row r="85" spans="1:7" ht="11.25" customHeight="1" outlineLevel="1">
      <c r="A85" s="15"/>
      <c r="B85" s="15" t="s">
        <v>1945</v>
      </c>
      <c r="C85" s="16" t="s">
        <v>1932</v>
      </c>
      <c r="D85" s="17" t="s">
        <v>1933</v>
      </c>
      <c r="F85">
        <f t="shared" ca="1" si="12"/>
        <v>921</v>
      </c>
      <c r="G85" t="str">
        <f t="shared" si="13"/>
        <v>set(ブレース展開無効化)</v>
      </c>
    </row>
    <row r="86" spans="1:7" ht="11.25" customHeight="1" outlineLevel="1">
      <c r="A86" s="15"/>
      <c r="B86" s="15" t="s">
        <v>1946</v>
      </c>
      <c r="C86" s="16" t="s">
        <v>1934</v>
      </c>
      <c r="D86" s="17" t="s">
        <v>1935</v>
      </c>
      <c r="F86">
        <f t="shared" ca="1" si="12"/>
        <v>922</v>
      </c>
      <c r="G86" t="str">
        <f t="shared" si="13"/>
        <v>set(リダイレクト時ファイル上書き無効化)</v>
      </c>
    </row>
    <row r="87" spans="1:7" ht="11.25" customHeight="1" outlineLevel="1">
      <c r="A87" s="15"/>
      <c r="B87" s="15" t="s">
        <v>1947</v>
      </c>
      <c r="C87" s="16" t="s">
        <v>1936</v>
      </c>
      <c r="D87" s="17" t="s">
        <v>1937</v>
      </c>
      <c r="F87">
        <f t="shared" ca="1" si="12"/>
        <v>923</v>
      </c>
      <c r="G87" t="str">
        <f t="shared" si="13"/>
        <v>set(作成/変更変数の自動的エクスポート)</v>
      </c>
    </row>
    <row r="88" spans="1:7" ht="11.25" customHeight="1" outlineLevel="1">
      <c r="A88" s="15"/>
      <c r="B88" s="18" t="s">
        <v>1960</v>
      </c>
      <c r="C88" s="16" t="s">
        <v>1962</v>
      </c>
      <c r="D88" s="17"/>
      <c r="F88">
        <f t="shared" ca="1" si="12"/>
        <v>924</v>
      </c>
      <c r="G88" t="str">
        <f t="shared" si="13"/>
        <v>bash動作設定(シェルオプション)</v>
      </c>
    </row>
    <row r="89" spans="1:7" ht="11.25" customHeight="1" outlineLevel="1">
      <c r="A89" s="15"/>
      <c r="B89" s="15" t="s">
        <v>1949</v>
      </c>
      <c r="C89" s="16" t="s">
        <v>1961</v>
      </c>
      <c r="D89" s="17" t="s">
        <v>1950</v>
      </c>
      <c r="F89">
        <f t="shared" ca="1" si="12"/>
        <v>925</v>
      </c>
      <c r="G89" t="str">
        <f t="shared" si="13"/>
        <v>不一致globsを除去</v>
      </c>
    </row>
    <row r="90" spans="1:7" ht="11.25" customHeight="1" outlineLevel="1">
      <c r="A90" s="15"/>
      <c r="B90" s="15" t="s">
        <v>1951</v>
      </c>
      <c r="C90" s="16" t="s">
        <v>1952</v>
      </c>
      <c r="D90" s="17"/>
      <c r="F90">
        <f t="shared" ca="1" si="12"/>
        <v>926</v>
      </c>
      <c r="G90" t="str">
        <f t="shared" si="13"/>
        <v>不一致globsはエラーにする</v>
      </c>
    </row>
    <row r="91" spans="1:7" ht="11.25" customHeight="1" outlineLevel="1">
      <c r="A91" s="15"/>
      <c r="B91" s="15" t="s">
        <v>1953</v>
      </c>
      <c r="C91" s="16" t="s">
        <v>1954</v>
      </c>
      <c r="D91" s="17"/>
      <c r="F91">
        <f t="shared" ca="1" si="12"/>
        <v>927</v>
      </c>
      <c r="G91" t="str">
        <f t="shared" si="13"/>
        <v>globsの大文字小文字を区別しない</v>
      </c>
    </row>
    <row r="92" spans="1:7" ht="11.25" customHeight="1" outlineLevel="1">
      <c r="A92" s="15"/>
      <c r="B92" s="15" t="s">
        <v>1963</v>
      </c>
      <c r="C92" s="16" t="s">
        <v>1955</v>
      </c>
      <c r="D92" s="17" t="s">
        <v>1956</v>
      </c>
      <c r="F92">
        <f t="shared" ca="1" si="12"/>
        <v>928</v>
      </c>
      <c r="G92" t="str">
        <f t="shared" si="13"/>
        <v>dotfilesもワイルドカードにマッチさせる</v>
      </c>
    </row>
    <row r="93" spans="1:7" ht="11.25" customHeight="1" outlineLevel="1">
      <c r="A93" s="15"/>
      <c r="B93" s="15" t="s">
        <v>1957</v>
      </c>
      <c r="C93" s="16" t="s">
        <v>1958</v>
      </c>
      <c r="D93" s="17" t="s">
        <v>1959</v>
      </c>
      <c r="F93">
        <f t="shared" ca="1" si="12"/>
        <v>929</v>
      </c>
      <c r="G93" t="str">
        <f t="shared" si="13"/>
        <v>「**」を再帰マッチにする</v>
      </c>
    </row>
    <row r="94" spans="1:7" ht="11.25" customHeight="1" outlineLevel="1">
      <c r="A94" s="15"/>
      <c r="B94" s="18" t="s">
        <v>2377</v>
      </c>
      <c r="C94" s="16" t="s">
        <v>2375</v>
      </c>
      <c r="D94" s="17" t="s">
        <v>2992</v>
      </c>
      <c r="F94">
        <f t="shared" ca="1" si="12"/>
        <v>930</v>
      </c>
      <c r="G94" t="str">
        <f t="shared" si="13"/>
        <v>ログ出力先指定toファイル（標準出力）</v>
      </c>
    </row>
    <row r="95" spans="1:7" ht="11.25" customHeight="1" outlineLevel="1">
      <c r="A95" s="15"/>
      <c r="B95" s="18" t="s">
        <v>2378</v>
      </c>
      <c r="C95" s="16" t="s">
        <v>2376</v>
      </c>
      <c r="D95" s="17" t="s">
        <v>2991</v>
      </c>
      <c r="F95">
        <f t="shared" ca="1" si="12"/>
        <v>931</v>
      </c>
      <c r="G95" t="str">
        <f t="shared" si="13"/>
        <v>ログ出力先指定toファイル（標準エラー出力）</v>
      </c>
    </row>
    <row r="96" spans="1:7" ht="11.25" customHeight="1" outlineLevel="1">
      <c r="A96" s="15"/>
      <c r="B96" s="18" t="s">
        <v>2380</v>
      </c>
      <c r="C96" s="16" t="s">
        <v>2756</v>
      </c>
      <c r="D96" s="17" t="s">
        <v>2990</v>
      </c>
      <c r="F96">
        <f t="shared" ca="1" si="12"/>
        <v>932</v>
      </c>
      <c r="G96" t="str">
        <f t="shared" si="13"/>
        <v>ログ出力先指定toファイル＆画面（標準出力）</v>
      </c>
    </row>
    <row r="97" spans="1:7" ht="11.25" customHeight="1" outlineLevel="1">
      <c r="A97" s="15"/>
      <c r="B97" s="18" t="s">
        <v>2379</v>
      </c>
      <c r="C97" s="16" t="s">
        <v>2757</v>
      </c>
      <c r="D97" s="17" t="s">
        <v>2989</v>
      </c>
      <c r="F97">
        <f t="shared" ca="1" si="12"/>
        <v>933</v>
      </c>
      <c r="G97" t="str">
        <f t="shared" si="13"/>
        <v>ログ出力先指定toファイル＆画面（標準エラー出力）</v>
      </c>
    </row>
    <row r="98" spans="1:7" ht="11.25" customHeight="1" outlineLevel="1">
      <c r="A98" s="93"/>
      <c r="B98" t="s">
        <v>2984</v>
      </c>
      <c r="C98" s="94" t="s">
        <v>2983</v>
      </c>
      <c r="D98" s="95" t="s">
        <v>2988</v>
      </c>
      <c r="F98">
        <f t="shared" ca="1" si="12"/>
        <v>934</v>
      </c>
      <c r="G98" t="str">
        <f t="shared" si="13"/>
        <v>ログ出力先指定toファイル＆画面（標準出力＆標準エラー出力）</v>
      </c>
    </row>
    <row r="99" spans="1:7" ht="11.25" customHeight="1" outlineLevel="1">
      <c r="A99" s="15"/>
      <c r="B99" s="15" t="s">
        <v>2986</v>
      </c>
      <c r="C99" s="16" t="s">
        <v>2985</v>
      </c>
      <c r="D99" s="17" t="s">
        <v>2987</v>
      </c>
      <c r="F99">
        <f ca="1">IF(G99="",OFFSET(F99,-1,0),OFFSET(F99,-1,0)+1)</f>
        <v>935</v>
      </c>
      <c r="G99" t="str">
        <f>IF(B99="","",B99)</f>
        <v>ログ出力先指定to画面（標準出力＆標準エラー出力）</v>
      </c>
    </row>
    <row r="100" spans="1:7" ht="11.25" customHeight="1">
      <c r="A100" s="12" t="s">
        <v>1319</v>
      </c>
      <c r="B100" s="13"/>
      <c r="C100" s="13"/>
      <c r="D100" s="14" t="s">
        <v>122</v>
      </c>
      <c r="E100" t="s">
        <v>122</v>
      </c>
      <c r="F100">
        <f t="shared" ca="1" si="12"/>
        <v>935</v>
      </c>
      <c r="G100" t="str">
        <f t="shared" si="13"/>
        <v/>
      </c>
    </row>
    <row r="101" spans="1:7" ht="11.25" customHeight="1" outlineLevel="1">
      <c r="A101" s="15"/>
      <c r="B101" s="15" t="s">
        <v>1293</v>
      </c>
      <c r="C101" s="16" t="s">
        <v>1294</v>
      </c>
      <c r="D101" s="17"/>
      <c r="F101">
        <f t="shared" ref="F101:F106" ca="1" si="14">IF(G101="",OFFSET(F101,-1,0),OFFSET(F101,-1,0)+1)</f>
        <v>936</v>
      </c>
      <c r="G101" t="str">
        <f t="shared" ref="G101:G107" si="15">IF(B101="","",B101)</f>
        <v>算術演算</v>
      </c>
    </row>
    <row r="102" spans="1:7" ht="11.25" customHeight="1" outlineLevel="1">
      <c r="A102" s="15"/>
      <c r="B102" s="15" t="s">
        <v>1288</v>
      </c>
      <c r="C102" s="16" t="s">
        <v>1320</v>
      </c>
      <c r="D102" s="17"/>
      <c r="F102">
        <f t="shared" ca="1" si="14"/>
        <v>937</v>
      </c>
      <c r="G102" t="str">
        <f t="shared" si="15"/>
        <v>算術演算(加)</v>
      </c>
    </row>
    <row r="103" spans="1:7" ht="11.25" customHeight="1" outlineLevel="1">
      <c r="A103" s="15"/>
      <c r="B103" s="15" t="s">
        <v>1289</v>
      </c>
      <c r="C103" s="16" t="s">
        <v>1321</v>
      </c>
      <c r="D103" s="17"/>
      <c r="F103">
        <f t="shared" ca="1" si="14"/>
        <v>938</v>
      </c>
      <c r="G103" t="str">
        <f t="shared" si="15"/>
        <v>算術演算(減)</v>
      </c>
    </row>
    <row r="104" spans="1:7" ht="11.25" customHeight="1" outlineLevel="1">
      <c r="A104" s="15"/>
      <c r="B104" s="15" t="s">
        <v>1290</v>
      </c>
      <c r="C104" s="16" t="s">
        <v>1322</v>
      </c>
      <c r="D104" s="17"/>
      <c r="F104">
        <f t="shared" ca="1" si="14"/>
        <v>939</v>
      </c>
      <c r="G104" t="str">
        <f t="shared" si="15"/>
        <v>算術演算(乗)</v>
      </c>
    </row>
    <row r="105" spans="1:7" ht="11.25" customHeight="1" outlineLevel="1">
      <c r="A105" s="15"/>
      <c r="B105" s="15" t="s">
        <v>1291</v>
      </c>
      <c r="C105" s="16" t="s">
        <v>1323</v>
      </c>
      <c r="D105" s="17"/>
      <c r="F105">
        <f t="shared" ca="1" si="14"/>
        <v>940</v>
      </c>
      <c r="G105" t="str">
        <f t="shared" si="15"/>
        <v>算術演算(割)</v>
      </c>
    </row>
    <row r="106" spans="1:7" ht="11.25" customHeight="1" outlineLevel="1">
      <c r="A106" s="15"/>
      <c r="B106" s="15" t="s">
        <v>1292</v>
      </c>
      <c r="C106" s="16" t="s">
        <v>1324</v>
      </c>
      <c r="D106" s="17"/>
      <c r="F106">
        <f t="shared" ca="1" si="14"/>
        <v>941</v>
      </c>
      <c r="G106" t="str">
        <f t="shared" si="15"/>
        <v>算術演算(剰余)</v>
      </c>
    </row>
    <row r="107" spans="1:7" ht="11.25" customHeight="1">
      <c r="A107" s="21" t="s">
        <v>1085</v>
      </c>
      <c r="B107" s="13"/>
      <c r="C107" s="13"/>
      <c r="D107" s="14" t="s">
        <v>122</v>
      </c>
      <c r="E107" t="s">
        <v>122</v>
      </c>
      <c r="F107">
        <f t="shared" ref="F107:F138" ca="1" si="16">IF(G107="",OFFSET(F107,-1,0),OFFSET(F107,-1,0)+1)</f>
        <v>941</v>
      </c>
      <c r="G107" t="str">
        <f t="shared" si="15"/>
        <v/>
      </c>
    </row>
    <row r="108" spans="1:7" ht="11.25" customHeight="1" outlineLevel="1">
      <c r="A108" s="15"/>
      <c r="B108" s="15" t="s">
        <v>1060</v>
      </c>
      <c r="C108" s="16" t="s">
        <v>1061</v>
      </c>
      <c r="D108" s="17" t="s">
        <v>1062</v>
      </c>
      <c r="F108">
        <f t="shared" ca="1" si="16"/>
        <v>942</v>
      </c>
      <c r="G108" t="str">
        <f t="shared" ref="G108:G154" si="17">IF(B108="","",B108)</f>
        <v>ブレース展開(例01)</v>
      </c>
    </row>
    <row r="109" spans="1:7" ht="11.25" customHeight="1" outlineLevel="1">
      <c r="A109" s="15"/>
      <c r="B109" s="15" t="s">
        <v>1063</v>
      </c>
      <c r="C109" s="16" t="s">
        <v>1064</v>
      </c>
      <c r="D109" s="17" t="s">
        <v>1065</v>
      </c>
      <c r="F109">
        <f t="shared" ca="1" si="16"/>
        <v>943</v>
      </c>
      <c r="G109" t="str">
        <f t="shared" si="17"/>
        <v>ブレース展開(例02)</v>
      </c>
    </row>
    <row r="110" spans="1:7" ht="11.25" customHeight="1" outlineLevel="1">
      <c r="A110" s="15"/>
      <c r="B110" s="15" t="s">
        <v>1066</v>
      </c>
      <c r="C110" s="16" t="s">
        <v>1067</v>
      </c>
      <c r="D110" s="17" t="s">
        <v>1068</v>
      </c>
      <c r="F110">
        <f t="shared" ca="1" si="16"/>
        <v>944</v>
      </c>
      <c r="G110" t="str">
        <f t="shared" si="17"/>
        <v>ブレース展開(例03)</v>
      </c>
    </row>
    <row r="111" spans="1:7" ht="11.25" customHeight="1" outlineLevel="1">
      <c r="A111" s="15"/>
      <c r="B111" s="15" t="s">
        <v>1086</v>
      </c>
      <c r="C111" s="16" t="s">
        <v>1069</v>
      </c>
      <c r="D111" s="17" t="s">
        <v>1070</v>
      </c>
      <c r="F111">
        <f t="shared" ca="1" si="16"/>
        <v>945</v>
      </c>
      <c r="G111" t="str">
        <f t="shared" si="17"/>
        <v>ブレース展開(例04)</v>
      </c>
    </row>
    <row r="112" spans="1:7" ht="11.25" customHeight="1" outlineLevel="1">
      <c r="A112" s="15"/>
      <c r="B112" s="15" t="s">
        <v>1087</v>
      </c>
      <c r="C112" s="16" t="s">
        <v>1071</v>
      </c>
      <c r="D112" s="17" t="s">
        <v>1072</v>
      </c>
      <c r="F112">
        <f t="shared" ca="1" si="16"/>
        <v>946</v>
      </c>
      <c r="G112" t="str">
        <f t="shared" si="17"/>
        <v>ブレース展開(例05)</v>
      </c>
    </row>
    <row r="113" spans="1:7" ht="11.25" customHeight="1" outlineLevel="1">
      <c r="A113" s="15"/>
      <c r="B113" s="15" t="s">
        <v>1088</v>
      </c>
      <c r="C113" s="16" t="s">
        <v>1073</v>
      </c>
      <c r="D113" s="17" t="s">
        <v>1074</v>
      </c>
      <c r="F113">
        <f t="shared" ca="1" si="16"/>
        <v>947</v>
      </c>
      <c r="G113" t="str">
        <f t="shared" si="17"/>
        <v>ブレース展開(例06)</v>
      </c>
    </row>
    <row r="114" spans="1:7" ht="11.25" customHeight="1" outlineLevel="1">
      <c r="A114" s="15"/>
      <c r="B114" s="15" t="s">
        <v>1089</v>
      </c>
      <c r="C114" s="16" t="s">
        <v>1075</v>
      </c>
      <c r="D114" s="17" t="s">
        <v>1076</v>
      </c>
      <c r="F114">
        <f t="shared" ca="1" si="16"/>
        <v>948</v>
      </c>
      <c r="G114" t="str">
        <f t="shared" si="17"/>
        <v>ブレース展開(例07)</v>
      </c>
    </row>
    <row r="115" spans="1:7" ht="11.25" customHeight="1" outlineLevel="1">
      <c r="A115" s="15"/>
      <c r="B115" s="15" t="s">
        <v>1090</v>
      </c>
      <c r="C115" s="16" t="s">
        <v>1077</v>
      </c>
      <c r="D115" s="17" t="s">
        <v>1078</v>
      </c>
      <c r="F115">
        <f t="shared" ca="1" si="16"/>
        <v>949</v>
      </c>
      <c r="G115" t="str">
        <f t="shared" si="17"/>
        <v>ブレース展開(例08)</v>
      </c>
    </row>
    <row r="116" spans="1:7" ht="11.25" customHeight="1" outlineLevel="1">
      <c r="A116" s="15"/>
      <c r="B116" s="15" t="s">
        <v>1091</v>
      </c>
      <c r="C116" s="16" t="s">
        <v>1079</v>
      </c>
      <c r="D116" s="17" t="s">
        <v>1080</v>
      </c>
      <c r="F116">
        <f t="shared" ca="1" si="16"/>
        <v>950</v>
      </c>
      <c r="G116" t="str">
        <f t="shared" si="17"/>
        <v>ブレース展開(例09)</v>
      </c>
    </row>
    <row r="117" spans="1:7" ht="11.25" customHeight="1" outlineLevel="1">
      <c r="A117" s="15"/>
      <c r="B117" s="15" t="s">
        <v>1092</v>
      </c>
      <c r="C117" s="16" t="s">
        <v>1081</v>
      </c>
      <c r="D117" s="17" t="s">
        <v>1082</v>
      </c>
      <c r="F117">
        <f t="shared" ca="1" si="16"/>
        <v>951</v>
      </c>
      <c r="G117" t="str">
        <f t="shared" si="17"/>
        <v>ブレース展開(例10)</v>
      </c>
    </row>
    <row r="118" spans="1:7" ht="11.25" customHeight="1" outlineLevel="1">
      <c r="A118" s="15"/>
      <c r="B118" s="15" t="s">
        <v>1093</v>
      </c>
      <c r="C118" s="16" t="s">
        <v>1083</v>
      </c>
      <c r="D118" s="17" t="s">
        <v>1084</v>
      </c>
      <c r="F118">
        <f t="shared" ca="1" si="16"/>
        <v>952</v>
      </c>
      <c r="G118" t="str">
        <f t="shared" si="17"/>
        <v>ブレース展開(例11)</v>
      </c>
    </row>
    <row r="119" spans="1:7" ht="11.25" customHeight="1">
      <c r="A119" s="21" t="s">
        <v>1094</v>
      </c>
      <c r="B119" s="13"/>
      <c r="C119" s="13"/>
      <c r="D119" s="14" t="s">
        <v>122</v>
      </c>
      <c r="E119" t="s">
        <v>122</v>
      </c>
      <c r="F119">
        <f t="shared" ca="1" si="16"/>
        <v>952</v>
      </c>
      <c r="G119" t="str">
        <f t="shared" si="17"/>
        <v/>
      </c>
    </row>
    <row r="120" spans="1:7" ht="11.25" customHeight="1" outlineLevel="1">
      <c r="A120" s="15"/>
      <c r="B120" s="15" t="s">
        <v>1095</v>
      </c>
      <c r="C120" s="16" t="s">
        <v>1096</v>
      </c>
      <c r="D120" s="17"/>
      <c r="F120">
        <f t="shared" ca="1" si="16"/>
        <v>953</v>
      </c>
      <c r="G120" t="str">
        <f t="shared" si="17"/>
        <v>参照</v>
      </c>
    </row>
    <row r="121" spans="1:7" ht="11.25" customHeight="1" outlineLevel="1">
      <c r="A121" s="15"/>
      <c r="B121" s="15" t="s">
        <v>1097</v>
      </c>
      <c r="C121" s="16" t="s">
        <v>2355</v>
      </c>
      <c r="D121" s="17" t="s">
        <v>1098</v>
      </c>
      <c r="F121">
        <f t="shared" ca="1" si="16"/>
        <v>954</v>
      </c>
      <c r="G121" t="str">
        <f t="shared" si="17"/>
        <v>空変数時デフォルト値参照</v>
      </c>
    </row>
    <row r="122" spans="1:7" ht="11.25" customHeight="1" outlineLevel="1">
      <c r="A122" s="15"/>
      <c r="B122" s="15" t="s">
        <v>1099</v>
      </c>
      <c r="C122" s="16" t="s">
        <v>1100</v>
      </c>
      <c r="D122" s="17" t="s">
        <v>1101</v>
      </c>
      <c r="F122">
        <f t="shared" ca="1" si="16"/>
        <v>955</v>
      </c>
      <c r="G122" t="str">
        <f t="shared" si="17"/>
        <v>空変数時デフォルト値代入</v>
      </c>
    </row>
    <row r="123" spans="1:7" ht="11.25" customHeight="1" outlineLevel="1">
      <c r="A123" s="15"/>
      <c r="B123" s="15" t="s">
        <v>1102</v>
      </c>
      <c r="C123" s="16" t="s">
        <v>1103</v>
      </c>
      <c r="D123" s="17" t="s">
        <v>1098</v>
      </c>
      <c r="F123">
        <f t="shared" ca="1" si="16"/>
        <v>956</v>
      </c>
      <c r="G123" t="str">
        <f t="shared" si="17"/>
        <v>変数未定義時デフォルト値参照</v>
      </c>
    </row>
    <row r="124" spans="1:7" ht="11.25" customHeight="1" outlineLevel="1">
      <c r="A124" s="15"/>
      <c r="B124" s="15" t="s">
        <v>1104</v>
      </c>
      <c r="C124" s="16" t="s">
        <v>1105</v>
      </c>
      <c r="D124" s="17" t="s">
        <v>1101</v>
      </c>
      <c r="F124">
        <f t="shared" ca="1" si="16"/>
        <v>957</v>
      </c>
      <c r="G124" t="str">
        <f t="shared" si="17"/>
        <v>変数未定義時デフォルト値代入</v>
      </c>
    </row>
    <row r="125" spans="1:7" ht="11.25" customHeight="1" outlineLevel="1">
      <c r="A125" s="15"/>
      <c r="B125" s="15" t="s">
        <v>1106</v>
      </c>
      <c r="C125" s="16" t="s">
        <v>1107</v>
      </c>
      <c r="D125" s="17"/>
      <c r="F125">
        <f t="shared" ca="1" si="16"/>
        <v>958</v>
      </c>
      <c r="G125" t="str">
        <f t="shared" si="17"/>
        <v>変数未定義時エラー出力</v>
      </c>
    </row>
    <row r="126" spans="1:7" ht="11.25" customHeight="1" outlineLevel="1">
      <c r="A126" s="15"/>
      <c r="B126" s="15" t="s">
        <v>1108</v>
      </c>
      <c r="C126" s="16" t="s">
        <v>1109</v>
      </c>
      <c r="D126" s="17"/>
      <c r="F126">
        <f t="shared" ca="1" si="16"/>
        <v>959</v>
      </c>
      <c r="G126" t="str">
        <f t="shared" si="17"/>
        <v>非空変数時代用代入</v>
      </c>
    </row>
    <row r="127" spans="1:7" ht="11.25" customHeight="1" outlineLevel="1">
      <c r="A127" s="15"/>
      <c r="B127" s="15" t="s">
        <v>1110</v>
      </c>
      <c r="C127" s="16" t="s">
        <v>1111</v>
      </c>
      <c r="D127" s="17"/>
      <c r="F127">
        <f t="shared" ca="1" si="16"/>
        <v>960</v>
      </c>
      <c r="G127" t="str">
        <f t="shared" si="17"/>
        <v>非空変数時代用参照</v>
      </c>
    </row>
    <row r="128" spans="1:7" ht="11.25" customHeight="1" outlineLevel="1">
      <c r="A128" s="15"/>
      <c r="B128" s="15" t="s">
        <v>1112</v>
      </c>
      <c r="C128" s="16" t="s">
        <v>1113</v>
      </c>
      <c r="D128" s="17" t="s">
        <v>1114</v>
      </c>
      <c r="F128">
        <f t="shared" ca="1" si="16"/>
        <v>961</v>
      </c>
      <c r="G128" t="str">
        <f t="shared" si="17"/>
        <v>文字列抽出</v>
      </c>
    </row>
    <row r="129" spans="1:7" ht="11.25" customHeight="1" outlineLevel="1">
      <c r="A129" s="15"/>
      <c r="B129" s="15" t="s">
        <v>1112</v>
      </c>
      <c r="C129" s="16" t="s">
        <v>1115</v>
      </c>
      <c r="D129" s="17" t="s">
        <v>1116</v>
      </c>
      <c r="F129">
        <f t="shared" ca="1" si="16"/>
        <v>962</v>
      </c>
      <c r="G129" t="str">
        <f t="shared" si="17"/>
        <v>文字列抽出</v>
      </c>
    </row>
    <row r="130" spans="1:7" ht="11.25" customHeight="1" outlineLevel="1">
      <c r="A130" s="15"/>
      <c r="B130" s="15" t="s">
        <v>1112</v>
      </c>
      <c r="C130" s="16" t="s">
        <v>1117</v>
      </c>
      <c r="D130" s="17" t="s">
        <v>1118</v>
      </c>
      <c r="F130">
        <f t="shared" ca="1" si="16"/>
        <v>963</v>
      </c>
      <c r="G130" t="str">
        <f t="shared" si="17"/>
        <v>文字列抽出</v>
      </c>
    </row>
    <row r="131" spans="1:7" ht="11.25" customHeight="1" outlineLevel="1">
      <c r="A131" s="15"/>
      <c r="B131" s="15" t="s">
        <v>1119</v>
      </c>
      <c r="C131" s="16" t="s">
        <v>1120</v>
      </c>
      <c r="D131" s="17" t="s">
        <v>1121</v>
      </c>
      <c r="F131">
        <f t="shared" ca="1" si="16"/>
        <v>964</v>
      </c>
      <c r="G131" t="str">
        <f t="shared" si="17"/>
        <v>文字数出力</v>
      </c>
    </row>
    <row r="132" spans="1:7" ht="11.25" customHeight="1" outlineLevel="1">
      <c r="A132" s="15"/>
      <c r="B132" s="15" t="s">
        <v>1122</v>
      </c>
      <c r="C132" s="16" t="s">
        <v>1123</v>
      </c>
      <c r="D132" s="17"/>
      <c r="F132">
        <f t="shared" ca="1" si="16"/>
        <v>965</v>
      </c>
      <c r="G132" t="str">
        <f t="shared" si="17"/>
        <v>配列要素数出力</v>
      </c>
    </row>
    <row r="133" spans="1:7" ht="11.25" customHeight="1" outlineLevel="1">
      <c r="A133" s="15"/>
      <c r="B133" s="15" t="s">
        <v>1124</v>
      </c>
      <c r="C133" s="16" t="s">
        <v>2794</v>
      </c>
      <c r="D133" s="17" t="s">
        <v>2795</v>
      </c>
      <c r="F133">
        <f t="shared" ca="1" si="16"/>
        <v>966</v>
      </c>
      <c r="G133" t="str">
        <f t="shared" si="17"/>
        <v>前方一致除去(最短一致)</v>
      </c>
    </row>
    <row r="134" spans="1:7" ht="11.25" customHeight="1" outlineLevel="1">
      <c r="A134" s="15"/>
      <c r="B134" s="15" t="s">
        <v>1125</v>
      </c>
      <c r="C134" s="16" t="s">
        <v>2793</v>
      </c>
      <c r="D134" s="17" t="s">
        <v>2796</v>
      </c>
      <c r="F134">
        <f t="shared" ca="1" si="16"/>
        <v>967</v>
      </c>
      <c r="G134" t="str">
        <f t="shared" si="17"/>
        <v>前方一致除去(最長一致)</v>
      </c>
    </row>
    <row r="135" spans="1:7" ht="11.25" customHeight="1" outlineLevel="1">
      <c r="A135" s="15"/>
      <c r="B135" s="15" t="s">
        <v>1126</v>
      </c>
      <c r="C135" s="16" t="s">
        <v>2791</v>
      </c>
      <c r="D135" s="17" t="s">
        <v>2797</v>
      </c>
      <c r="F135">
        <f t="shared" ca="1" si="16"/>
        <v>968</v>
      </c>
      <c r="G135" t="str">
        <f t="shared" si="17"/>
        <v>後方一致除去(最短一致)</v>
      </c>
    </row>
    <row r="136" spans="1:7" ht="11.25" customHeight="1" outlineLevel="1">
      <c r="A136" s="15"/>
      <c r="B136" s="15" t="s">
        <v>1127</v>
      </c>
      <c r="C136" s="16" t="s">
        <v>2792</v>
      </c>
      <c r="D136" s="17" t="s">
        <v>2798</v>
      </c>
      <c r="F136">
        <f t="shared" ca="1" si="16"/>
        <v>969</v>
      </c>
      <c r="G136" t="str">
        <f t="shared" si="17"/>
        <v>後方一致除去(最長一致)</v>
      </c>
    </row>
    <row r="137" spans="1:7" ht="11.25" customHeight="1" outlineLevel="1">
      <c r="A137" s="15"/>
      <c r="B137" s="15" t="s">
        <v>1128</v>
      </c>
      <c r="C137" s="16" t="s">
        <v>1129</v>
      </c>
      <c r="D137" s="17" t="s">
        <v>1130</v>
      </c>
      <c r="F137">
        <f t="shared" ca="1" si="16"/>
        <v>970</v>
      </c>
      <c r="G137" t="str">
        <f t="shared" si="17"/>
        <v>文字列置換(先頭単語のみ)</v>
      </c>
    </row>
    <row r="138" spans="1:7" ht="11.25" customHeight="1" outlineLevel="1">
      <c r="A138" s="15"/>
      <c r="B138" s="15" t="s">
        <v>1131</v>
      </c>
      <c r="C138" s="16" t="s">
        <v>1132</v>
      </c>
      <c r="D138" s="17"/>
      <c r="F138">
        <f t="shared" ca="1" si="16"/>
        <v>971</v>
      </c>
      <c r="G138" t="str">
        <f t="shared" si="17"/>
        <v>文字列置換(全単語)</v>
      </c>
    </row>
    <row r="139" spans="1:7" ht="11.25" customHeight="1" outlineLevel="1">
      <c r="A139" s="15"/>
      <c r="B139" s="15" t="s">
        <v>1133</v>
      </c>
      <c r="C139" s="16" t="s">
        <v>1134</v>
      </c>
      <c r="D139" s="17"/>
      <c r="F139">
        <f t="shared" ref="F139:F155" ca="1" si="18">IF(G139="",OFFSET(F139,-1,0),OFFSET(F139,-1,0)+1)</f>
        <v>972</v>
      </c>
      <c r="G139" t="str">
        <f t="shared" si="17"/>
        <v>大文字化(先頭文字)</v>
      </c>
    </row>
    <row r="140" spans="1:7" ht="11.25" customHeight="1" outlineLevel="1">
      <c r="A140" s="15"/>
      <c r="B140" s="15" t="s">
        <v>1135</v>
      </c>
      <c r="C140" s="16" t="s">
        <v>1136</v>
      </c>
      <c r="D140" s="17"/>
      <c r="F140">
        <f t="shared" ca="1" si="18"/>
        <v>973</v>
      </c>
      <c r="G140" t="str">
        <f t="shared" si="17"/>
        <v>大文字化(全文字)</v>
      </c>
    </row>
    <row r="141" spans="1:7" ht="11.25" customHeight="1" outlineLevel="1">
      <c r="A141" s="15"/>
      <c r="B141" s="15" t="s">
        <v>1137</v>
      </c>
      <c r="C141" s="16" t="s">
        <v>1138</v>
      </c>
      <c r="D141" s="17"/>
      <c r="F141">
        <f t="shared" ca="1" si="18"/>
        <v>974</v>
      </c>
      <c r="G141" t="str">
        <f t="shared" si="17"/>
        <v>小文字化(先頭文字)</v>
      </c>
    </row>
    <row r="142" spans="1:7" ht="11.25" customHeight="1" outlineLevel="1">
      <c r="A142" s="15"/>
      <c r="B142" s="15" t="s">
        <v>1139</v>
      </c>
      <c r="C142" s="16" t="s">
        <v>1140</v>
      </c>
      <c r="D142" s="17"/>
      <c r="F142">
        <f t="shared" ca="1" si="18"/>
        <v>975</v>
      </c>
      <c r="G142" t="str">
        <f t="shared" si="17"/>
        <v>小文字化(全文字)</v>
      </c>
    </row>
    <row r="143" spans="1:7" ht="11.25" customHeight="1" outlineLevel="1">
      <c r="A143" s="15"/>
      <c r="B143" s="15" t="s">
        <v>1141</v>
      </c>
      <c r="C143" s="16" t="s">
        <v>1142</v>
      </c>
      <c r="D143" s="17"/>
      <c r="F143">
        <f t="shared" ca="1" si="18"/>
        <v>976</v>
      </c>
      <c r="G143" t="str">
        <f t="shared" si="17"/>
        <v>大文字小文字反転(先頭文字)</v>
      </c>
    </row>
    <row r="144" spans="1:7" ht="11.25" customHeight="1" outlineLevel="1">
      <c r="A144" s="15"/>
      <c r="B144" s="15" t="s">
        <v>1143</v>
      </c>
      <c r="C144" s="16" t="s">
        <v>1144</v>
      </c>
      <c r="D144" s="17"/>
      <c r="F144">
        <f t="shared" ca="1" si="18"/>
        <v>977</v>
      </c>
      <c r="G144" t="str">
        <f t="shared" si="17"/>
        <v>大文字小文字反転(全文字)</v>
      </c>
    </row>
    <row r="145" spans="1:7" ht="11.25" customHeight="1" outlineLevel="1">
      <c r="A145" s="15"/>
      <c r="B145" s="15" t="s">
        <v>1145</v>
      </c>
      <c r="C145" s="16" t="s">
        <v>1146</v>
      </c>
      <c r="D145" s="17"/>
      <c r="F145">
        <f t="shared" ca="1" si="18"/>
        <v>978</v>
      </c>
      <c r="G145" t="str">
        <f t="shared" si="17"/>
        <v>数式展開</v>
      </c>
    </row>
    <row r="146" spans="1:7" ht="11.25" customHeight="1" outlineLevel="1">
      <c r="A146" s="15"/>
      <c r="B146" s="15" t="s">
        <v>1172</v>
      </c>
      <c r="C146" s="16" t="s">
        <v>1173</v>
      </c>
      <c r="D146" s="17"/>
      <c r="F146">
        <f t="shared" ca="1" si="18"/>
        <v>979</v>
      </c>
      <c r="G146" t="str">
        <f t="shared" si="17"/>
        <v>特殊変数 引数の数</v>
      </c>
    </row>
    <row r="147" spans="1:7" ht="11.25" customHeight="1" outlineLevel="1">
      <c r="A147" s="15"/>
      <c r="B147" s="15" t="s">
        <v>1174</v>
      </c>
      <c r="C147" s="16" t="s">
        <v>1175</v>
      </c>
      <c r="D147" s="17"/>
      <c r="F147">
        <f t="shared" ca="1" si="18"/>
        <v>980</v>
      </c>
      <c r="G147" t="str">
        <f t="shared" si="17"/>
        <v>特殊変数 引数の値</v>
      </c>
    </row>
    <row r="148" spans="1:7" ht="11.25" customHeight="1" outlineLevel="1">
      <c r="A148" s="15"/>
      <c r="B148" s="15" t="s">
        <v>1176</v>
      </c>
      <c r="C148" s="22" t="s">
        <v>1230</v>
      </c>
      <c r="D148" s="17"/>
      <c r="F148">
        <f t="shared" ca="1" si="18"/>
        <v>981</v>
      </c>
      <c r="G148" t="str">
        <f t="shared" si="17"/>
        <v>特殊変数 シェルスクリプトファイル名</v>
      </c>
    </row>
    <row r="149" spans="1:7" ht="11.25" customHeight="1" outlineLevel="1">
      <c r="A149" s="15"/>
      <c r="B149" s="15" t="s">
        <v>1177</v>
      </c>
      <c r="C149" s="23" t="s">
        <v>1231</v>
      </c>
      <c r="D149" s="17" t="s">
        <v>1232</v>
      </c>
      <c r="F149">
        <f t="shared" ca="1" si="18"/>
        <v>982</v>
      </c>
      <c r="G149" t="str">
        <f t="shared" si="17"/>
        <v>特殊変数 全ての引数(区切りはスペース)</v>
      </c>
    </row>
    <row r="150" spans="1:7" ht="11.25" customHeight="1" outlineLevel="1">
      <c r="A150" s="15"/>
      <c r="B150" s="15" t="s">
        <v>1178</v>
      </c>
      <c r="C150" s="16" t="s">
        <v>1233</v>
      </c>
      <c r="D150" s="17" t="s">
        <v>1234</v>
      </c>
      <c r="F150">
        <f t="shared" ca="1" si="18"/>
        <v>983</v>
      </c>
      <c r="G150" t="str">
        <f t="shared" si="17"/>
        <v>特殊変数 全ての引数(区切りは環境変数IFSで指定したもの)</v>
      </c>
    </row>
    <row r="151" spans="1:7" ht="11.25" customHeight="1" outlineLevel="1">
      <c r="A151" s="15"/>
      <c r="B151" s="15" t="s">
        <v>1179</v>
      </c>
      <c r="C151" s="16" t="s">
        <v>1180</v>
      </c>
      <c r="D151" s="17"/>
      <c r="F151">
        <f t="shared" ca="1" si="18"/>
        <v>984</v>
      </c>
      <c r="G151" t="str">
        <f t="shared" si="17"/>
        <v>特殊変数 現在実行シェルプロセスID</v>
      </c>
    </row>
    <row r="152" spans="1:7" ht="11.25" customHeight="1" outlineLevel="1">
      <c r="A152" s="15"/>
      <c r="B152" s="15" t="s">
        <v>1181</v>
      </c>
      <c r="C152" s="16" t="s">
        <v>1182</v>
      </c>
      <c r="D152" s="17"/>
      <c r="F152">
        <f t="shared" ca="1" si="18"/>
        <v>985</v>
      </c>
      <c r="G152" t="str">
        <f t="shared" si="17"/>
        <v>特殊変数 最終実行バックグラウンドプロセスID</v>
      </c>
    </row>
    <row r="153" spans="1:7" ht="11.25" customHeight="1" outlineLevel="1">
      <c r="A153" s="15"/>
      <c r="B153" s="15" t="s">
        <v>2843</v>
      </c>
      <c r="C153" s="16" t="s">
        <v>1184</v>
      </c>
      <c r="D153" s="17" t="s">
        <v>2842</v>
      </c>
      <c r="F153">
        <f t="shared" ca="1" si="18"/>
        <v>986</v>
      </c>
      <c r="G153" t="str">
        <f t="shared" si="17"/>
        <v>特殊変数 直前実行したコマンド終了ステータス</v>
      </c>
    </row>
    <row r="154" spans="1:7" ht="11.25" customHeight="1" outlineLevel="1">
      <c r="A154" s="15"/>
      <c r="B154" s="15" t="s">
        <v>1185</v>
      </c>
      <c r="C154" s="16" t="s">
        <v>1186</v>
      </c>
      <c r="D154" s="17"/>
      <c r="F154">
        <f t="shared" ca="1" si="18"/>
        <v>987</v>
      </c>
      <c r="G154" t="str">
        <f t="shared" si="17"/>
        <v>特殊変数 最終実行コマンド最終引数</v>
      </c>
    </row>
    <row r="155" spans="1:7" ht="11.25" customHeight="1">
      <c r="A155" s="12" t="s">
        <v>1305</v>
      </c>
      <c r="B155" s="13"/>
      <c r="C155" s="13"/>
      <c r="D155" s="14" t="s">
        <v>122</v>
      </c>
      <c r="E155" t="s">
        <v>122</v>
      </c>
      <c r="F155">
        <f t="shared" ca="1" si="18"/>
        <v>987</v>
      </c>
      <c r="G155" t="str">
        <f t="shared" ref="G155:G172" si="19">IF(B155="","",B155)</f>
        <v/>
      </c>
    </row>
    <row r="156" spans="1:7" ht="11.25" customHeight="1" outlineLevel="1">
      <c r="A156" s="15"/>
      <c r="B156" s="15" t="s">
        <v>532</v>
      </c>
      <c r="C156"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56" s="25" t="s">
        <v>1306</v>
      </c>
      <c r="F156">
        <f t="shared" ref="F156:F172" ca="1" si="20">IF(G156="",OFFSET(F156,-1,0),OFFSET(F156,-1,0)+1)</f>
        <v>988</v>
      </c>
      <c r="G156" t="str">
        <f t="shared" si="19"/>
        <v>if</v>
      </c>
    </row>
    <row r="157" spans="1:7" ht="11.25" customHeight="1" outlineLevel="1">
      <c r="A157" s="15"/>
      <c r="B157" s="15" t="s">
        <v>2043</v>
      </c>
      <c r="C157" s="24" t="s">
        <v>2042</v>
      </c>
      <c r="D157" s="17"/>
      <c r="F157">
        <f ca="1">IF(G157="",OFFSET(F157,-1,0),OFFSET(F157,-1,0)+1)</f>
        <v>989</v>
      </c>
      <c r="G157" t="str">
        <f>IF(B157="","",B157)</f>
        <v>if (何もしない)</v>
      </c>
    </row>
    <row r="158" spans="1:7" ht="11.25" customHeight="1" outlineLevel="1">
      <c r="A158" s="15"/>
      <c r="B158" s="15" t="s">
        <v>2400</v>
      </c>
      <c r="C158" s="16" t="s">
        <v>2396</v>
      </c>
      <c r="D158" s="17"/>
      <c r="F158">
        <f ca="1">IF(G158="",OFFSET(F158,-1,0),OFFSET(F158,-1,0)+1)</f>
        <v>990</v>
      </c>
      <c r="G158" t="str">
        <f>IF(B158="","",B158)</f>
        <v>if (否定)</v>
      </c>
    </row>
    <row r="159" spans="1:7" ht="11.25" customHeight="1" outlineLevel="1">
      <c r="A159" s="15"/>
      <c r="B159" s="15" t="s">
        <v>2397</v>
      </c>
      <c r="C159" s="16" t="s">
        <v>2394</v>
      </c>
      <c r="D159" s="25" t="s">
        <v>2391</v>
      </c>
      <c r="F159">
        <f ca="1">IF(G159="",OFFSET(F159,-1,0),OFFSET(F159,-1,0)+1)</f>
        <v>991</v>
      </c>
      <c r="G159" t="str">
        <f>IF(B159="","",B159)</f>
        <v>if 論理結合(AND)</v>
      </c>
    </row>
    <row r="160" spans="1:7" ht="11.25" customHeight="1" outlineLevel="1">
      <c r="A160" s="15"/>
      <c r="B160" s="15" t="s">
        <v>2398</v>
      </c>
      <c r="C160" s="16" t="s">
        <v>2395</v>
      </c>
      <c r="D160" s="25" t="s">
        <v>2392</v>
      </c>
      <c r="F160">
        <f ca="1">IF(G160="",OFFSET(F160,-1,0),OFFSET(F160,-1,0)+1)</f>
        <v>992</v>
      </c>
      <c r="G160" t="str">
        <f>IF(B160="","",B160)</f>
        <v>if 論理結合(OR)</v>
      </c>
    </row>
    <row r="161" spans="1:7" ht="11.25" customHeight="1" outlineLevel="1">
      <c r="A161" s="15"/>
      <c r="B161" s="15" t="s">
        <v>2399</v>
      </c>
      <c r="C161" s="16" t="s">
        <v>2393</v>
      </c>
      <c r="D161" s="17"/>
      <c r="F161">
        <f ca="1">IF(G161="",OFFSET(F161,-1,0),OFFSET(F161,-1,0)+1)</f>
        <v>993</v>
      </c>
      <c r="G161" t="str">
        <f>IF(B161="","",B161)</f>
        <v>if 論理結合(AND+OR)</v>
      </c>
    </row>
    <row r="162" spans="1:7" ht="11.25" customHeight="1" outlineLevel="1">
      <c r="A162" s="15"/>
      <c r="B162" s="15" t="s">
        <v>1295</v>
      </c>
      <c r="C162" s="24" t="str">
        <f>"case 変数 in
    パターン1)
        コマンド
        ;;
    パターン2)
        コマンド
        ;;
    \*)
        コマンド
        ;;
esac"</f>
        <v>case 変数 in
    パターン1)
        コマンド
        ;;
    パターン2)
        コマンド
        ;;
    \*)
        コマンド
        ;;
esac</v>
      </c>
      <c r="D162" s="17"/>
      <c r="F162">
        <f t="shared" ca="1" si="20"/>
        <v>994</v>
      </c>
      <c r="G162" t="str">
        <f t="shared" si="19"/>
        <v>switch</v>
      </c>
    </row>
    <row r="163" spans="1:7" ht="11.25" customHeight="1" outlineLevel="1">
      <c r="A163" s="15"/>
      <c r="B163" s="15" t="s">
        <v>1297</v>
      </c>
      <c r="C163" s="24" t="str">
        <f>"for NUM in `seq 1 3`
do
    echo LinuC Level $NUM
done"</f>
        <v>for NUM in `seq 1 3`
do
    echo LinuC Level $NUM
done</v>
      </c>
      <c r="D163" s="17"/>
      <c r="F163">
        <f t="shared" ca="1" si="20"/>
        <v>995</v>
      </c>
      <c r="G163" t="str">
        <f t="shared" si="19"/>
        <v>for(数値指定1)</v>
      </c>
    </row>
    <row r="164" spans="1:7" ht="11.25" customHeight="1" outlineLevel="1">
      <c r="A164" s="15"/>
      <c r="B164" s="15" t="s">
        <v>1298</v>
      </c>
      <c r="C164" s="24" t="str">
        <f>"for ((i = 0; i &lt;= 10; i++)) {
    echo ""$i""
}"</f>
        <v>for ((i = 0; i &lt;= 10; i++)) {
    echo "$i"
}</v>
      </c>
      <c r="D164" s="17"/>
      <c r="F164">
        <f t="shared" ca="1" si="20"/>
        <v>996</v>
      </c>
      <c r="G164" t="str">
        <f t="shared" si="19"/>
        <v>for(数値指定2)</v>
      </c>
    </row>
    <row r="165" spans="1:7" ht="11.25" customHeight="1" outlineLevel="1">
      <c r="A165" s="15"/>
      <c r="B165" s="15" t="s">
        <v>2845</v>
      </c>
      <c r="C165" s="16" t="str">
        <f>"LIST=""aaa bbb cccc d""
for VAR in $LIST
do
    echo $VAR
done"</f>
        <v>LIST="aaa bbb cccc d"
for VAR in $LIST
do
    echo $VAR
done</v>
      </c>
      <c r="D165" s="17"/>
      <c r="F165">
        <f ca="1">IF(G165="",OFFSET(F165,-1,0),OFFSET(F165,-1,0)+1)</f>
        <v>997</v>
      </c>
      <c r="G165" t="str">
        <f>IF(B165="","",B165)</f>
        <v>for(文字列リスト指定)</v>
      </c>
    </row>
    <row r="166" spans="1:7" ht="11.25" customHeight="1" outlineLevel="1">
      <c r="A166" s="15"/>
      <c r="B166" s="15" t="s">
        <v>2846</v>
      </c>
      <c r="C166" s="24" t="str">
        <f>"LIST=(aaa bbb ccc d)
for VAR in ""${LIST[@]}""
do
    echo $VAR
done"</f>
        <v>LIST=(aaa bbb ccc d)
for VAR in "${LIST[@]}"
do
    echo $VAR
done</v>
      </c>
      <c r="D166" s="17"/>
      <c r="F166">
        <f t="shared" ca="1" si="20"/>
        <v>998</v>
      </c>
      <c r="G166" t="str">
        <f t="shared" si="19"/>
        <v>for(配列指定)</v>
      </c>
    </row>
    <row r="167" spans="1:7" ht="11.25" customHeight="1" outlineLevel="1">
      <c r="A167" s="15"/>
      <c r="B167" s="15" t="s">
        <v>2847</v>
      </c>
      <c r="C167" s="24" t="str">
        <f>"LIST=$(cat list.txt)
for var in $LIST
do
    echo $var
done"</f>
        <v>LIST=$(cat list.txt)
for var in $LIST
do
    echo $var
done</v>
      </c>
      <c r="D167" s="17"/>
      <c r="F167">
        <f t="shared" ca="1" si="20"/>
        <v>999</v>
      </c>
      <c r="G167" t="str">
        <f t="shared" si="19"/>
        <v>for(ファイル指定)</v>
      </c>
    </row>
    <row r="168" spans="1:7" ht="11.25" customHeight="1" outlineLevel="1">
      <c r="A168" s="15"/>
      <c r="B168" s="15" t="s">
        <v>2045</v>
      </c>
      <c r="C168" s="16" t="str">
        <f>"idx=1
for arg in ""$@""
do
    echo ""${idx} ${arg}""
    idx=$((idx + 1))
done
"</f>
        <v xml:space="preserve">idx=1
for arg in "$@"
do
    echo "${idx} ${arg}"
    idx=$((idx + 1))
done
</v>
      </c>
      <c r="D168" s="17"/>
      <c r="F168">
        <f t="shared" ca="1" si="20"/>
        <v>1000</v>
      </c>
      <c r="G168" t="str">
        <f t="shared" si="19"/>
        <v>for(引数操作＠for each形式)</v>
      </c>
    </row>
    <row r="169" spans="1:7" ht="11.25" customHeight="1" outlineLevel="1">
      <c r="A169" s="15"/>
      <c r="B169" s="15" t="s">
        <v>2046</v>
      </c>
      <c r="C169" s="16" t="str">
        <f>"argv=(""$@"")
for i in $(seq 0 $(($# - 1)))
do
    echo ${argv[$i]}
done"</f>
        <v>argv=("$@")
for i in $(seq 0 $(($# - 1)))
do
    echo ${argv[$i]}
done</v>
      </c>
      <c r="D169" s="17"/>
      <c r="F169">
        <f ca="1">IF(G169="",OFFSET(F169,-1,0),OFFSET(F169,-1,0)+1)</f>
        <v>1001</v>
      </c>
      <c r="G169" t="str">
        <f>IF(B169="","",B169)</f>
        <v>for(引数操作＠配列形式)</v>
      </c>
    </row>
    <row r="170" spans="1:7" ht="11.25" customHeight="1" outlineLevel="1">
      <c r="A170" s="15"/>
      <c r="B170" s="15" t="s">
        <v>1918</v>
      </c>
      <c r="C170" s="24" t="str">
        <f>"while true
do
    echo aaa
done"</f>
        <v>while true
do
    echo aaa
done</v>
      </c>
      <c r="D170" s="17"/>
      <c r="F170">
        <f t="shared" ca="1" si="20"/>
        <v>1002</v>
      </c>
      <c r="G170" t="str">
        <f t="shared" si="19"/>
        <v>while(無限ループ)</v>
      </c>
    </row>
    <row r="171" spans="1:7" ht="11.25" customHeight="1" outlineLevel="1">
      <c r="A171" s="15"/>
      <c r="B171" s="15" t="s">
        <v>1299</v>
      </c>
      <c r="C171" s="24" t="str">
        <f>"idx=0
while [ ${idx} -lt 5 ]
do
    echo ${idx}
    idx=`expr ${idx} + 1`
done"</f>
        <v>idx=0
while [ ${idx} -lt 5 ]
do
    echo ${idx}
    idx=`expr ${idx} + 1`
done</v>
      </c>
      <c r="D171" s="17" t="s">
        <v>1920</v>
      </c>
      <c r="F171">
        <f t="shared" ca="1" si="20"/>
        <v>1003</v>
      </c>
      <c r="G171" t="str">
        <f t="shared" si="19"/>
        <v>while</v>
      </c>
    </row>
    <row r="172" spans="1:7" ht="11.25" customHeight="1" outlineLevel="1">
      <c r="A172" s="15"/>
      <c r="B172" s="15" t="s">
        <v>1300</v>
      </c>
      <c r="C172" s="24" t="str">
        <f>"idx=5
until [ ${idx} -le 0 ]
do
    echo ${idx}
    idx=`expr ${idx} - 1`
done"</f>
        <v>idx=5
until [ ${idx} -le 0 ]
do
    echo ${idx}
    idx=`expr ${idx} - 1`
done</v>
      </c>
      <c r="D172" s="17" t="s">
        <v>1919</v>
      </c>
      <c r="F172">
        <f t="shared" ca="1" si="20"/>
        <v>1004</v>
      </c>
      <c r="G172" t="str">
        <f t="shared" si="19"/>
        <v>until</v>
      </c>
    </row>
    <row r="173" spans="1:7" ht="11.25" customHeight="1" outlineLevel="1">
      <c r="A173" s="15"/>
      <c r="B173" s="15" t="s">
        <v>1215</v>
      </c>
      <c r="C173" s="16" t="s">
        <v>1235</v>
      </c>
      <c r="D173" s="17" t="s">
        <v>1236</v>
      </c>
      <c r="F173">
        <f t="shared" ref="F173:F209" ca="1" si="21">IF(G173="",OFFSET(F173,-1,0),OFFSET(F173,-1,0)+1)</f>
        <v>1005</v>
      </c>
      <c r="G173" t="str">
        <f t="shared" ref="G173:G186" si="22">IF(B173="","",B173)</f>
        <v>数値比較(＝)</v>
      </c>
    </row>
    <row r="174" spans="1:7" ht="11.25" customHeight="1" outlineLevel="1">
      <c r="A174" s="15"/>
      <c r="B174" s="15" t="s">
        <v>1216</v>
      </c>
      <c r="C174" s="16" t="s">
        <v>1237</v>
      </c>
      <c r="D174" s="17" t="s">
        <v>1238</v>
      </c>
      <c r="F174">
        <f t="shared" ca="1" si="21"/>
        <v>1006</v>
      </c>
      <c r="G174" t="str">
        <f t="shared" si="22"/>
        <v>数値比較(≠)</v>
      </c>
    </row>
    <row r="175" spans="1:7" ht="11.25" customHeight="1" outlineLevel="1">
      <c r="A175" s="15"/>
      <c r="B175" s="15" t="s">
        <v>1217</v>
      </c>
      <c r="C175" s="16" t="s">
        <v>1239</v>
      </c>
      <c r="D175" s="17" t="s">
        <v>1240</v>
      </c>
      <c r="F175">
        <f t="shared" ca="1" si="21"/>
        <v>1007</v>
      </c>
      <c r="G175" t="str">
        <f t="shared" si="22"/>
        <v>数値比較(≧)</v>
      </c>
    </row>
    <row r="176" spans="1:7" ht="11.25" customHeight="1" outlineLevel="1">
      <c r="A176" s="15"/>
      <c r="B176" s="15" t="s">
        <v>1218</v>
      </c>
      <c r="C176" s="16" t="s">
        <v>1241</v>
      </c>
      <c r="D176" s="17" t="s">
        <v>1242</v>
      </c>
      <c r="F176">
        <f t="shared" ca="1" si="21"/>
        <v>1008</v>
      </c>
      <c r="G176" t="str">
        <f t="shared" si="22"/>
        <v>数値比較(＞)</v>
      </c>
    </row>
    <row r="177" spans="1:7" ht="11.25" customHeight="1" outlineLevel="1">
      <c r="A177" s="15"/>
      <c r="B177" s="15" t="s">
        <v>1219</v>
      </c>
      <c r="C177" s="16" t="s">
        <v>1243</v>
      </c>
      <c r="D177" s="17" t="s">
        <v>1244</v>
      </c>
      <c r="F177">
        <f t="shared" ca="1" si="21"/>
        <v>1009</v>
      </c>
      <c r="G177" t="str">
        <f t="shared" si="22"/>
        <v>数値比較(≦)</v>
      </c>
    </row>
    <row r="178" spans="1:7" ht="11.25" customHeight="1" outlineLevel="1">
      <c r="A178" s="15"/>
      <c r="B178" s="15" t="s">
        <v>1220</v>
      </c>
      <c r="C178" s="16" t="s">
        <v>1245</v>
      </c>
      <c r="D178" s="17" t="s">
        <v>1246</v>
      </c>
      <c r="F178">
        <f t="shared" ca="1" si="21"/>
        <v>1010</v>
      </c>
      <c r="G178" t="str">
        <f t="shared" si="22"/>
        <v>数値比較(＜)</v>
      </c>
    </row>
    <row r="179" spans="1:7" ht="11.25" customHeight="1" outlineLevel="1">
      <c r="A179" s="15"/>
      <c r="B179" s="15" t="s">
        <v>1221</v>
      </c>
      <c r="C179" s="16" t="s">
        <v>1250</v>
      </c>
      <c r="D179" s="17" t="s">
        <v>1257</v>
      </c>
      <c r="F179">
        <f t="shared" ca="1" si="21"/>
        <v>1011</v>
      </c>
      <c r="G179" t="str">
        <f t="shared" si="22"/>
        <v>文字列比較(＝)</v>
      </c>
    </row>
    <row r="180" spans="1:7" ht="11.25" customHeight="1" outlineLevel="1">
      <c r="A180" s="15"/>
      <c r="B180" s="15" t="s">
        <v>1222</v>
      </c>
      <c r="C180" s="16" t="s">
        <v>1251</v>
      </c>
      <c r="D180" s="17" t="s">
        <v>1254</v>
      </c>
      <c r="F180">
        <f t="shared" ca="1" si="21"/>
        <v>1012</v>
      </c>
      <c r="G180" t="str">
        <f t="shared" si="22"/>
        <v>文字列比較(≠)</v>
      </c>
    </row>
    <row r="181" spans="1:7" ht="11.25" customHeight="1" outlineLevel="1">
      <c r="A181" s="15"/>
      <c r="B181" s="15" t="s">
        <v>1223</v>
      </c>
      <c r="C181" s="16" t="s">
        <v>1252</v>
      </c>
      <c r="D181" s="17" t="s">
        <v>1255</v>
      </c>
      <c r="F181">
        <f t="shared" ca="1" si="21"/>
        <v>1013</v>
      </c>
      <c r="G181" t="str">
        <f t="shared" si="22"/>
        <v>空文字列判定</v>
      </c>
    </row>
    <row r="182" spans="1:7" ht="11.25" customHeight="1" outlineLevel="1">
      <c r="A182" s="15"/>
      <c r="B182" s="15" t="s">
        <v>1224</v>
      </c>
      <c r="C182" s="16" t="s">
        <v>1253</v>
      </c>
      <c r="D182" s="17" t="s">
        <v>1256</v>
      </c>
      <c r="F182">
        <f t="shared" ca="1" si="21"/>
        <v>1014</v>
      </c>
      <c r="G182" t="str">
        <f t="shared" si="22"/>
        <v>非空文字列判定</v>
      </c>
    </row>
    <row r="183" spans="1:7" ht="11.25" customHeight="1" outlineLevel="1">
      <c r="A183" s="15"/>
      <c r="B183" s="15" t="s">
        <v>1225</v>
      </c>
      <c r="C183" s="16" t="s">
        <v>1226</v>
      </c>
      <c r="D183" s="17"/>
      <c r="F183">
        <f t="shared" ca="1" si="21"/>
        <v>1015</v>
      </c>
      <c r="G183" t="str">
        <f t="shared" si="22"/>
        <v>存在確認</v>
      </c>
    </row>
    <row r="184" spans="1:7" ht="11.25" customHeight="1" outlineLevel="1">
      <c r="A184" s="15"/>
      <c r="B184" s="15" t="s">
        <v>1227</v>
      </c>
      <c r="C184" s="16" t="s">
        <v>2401</v>
      </c>
      <c r="D184" s="17" t="s">
        <v>1248</v>
      </c>
      <c r="F184">
        <f t="shared" ca="1" si="21"/>
        <v>1016</v>
      </c>
      <c r="G184" t="str">
        <f t="shared" si="22"/>
        <v>存在確認(ファイルのみ)</v>
      </c>
    </row>
    <row r="185" spans="1:7" ht="11.25" customHeight="1" outlineLevel="1">
      <c r="A185" s="15"/>
      <c r="B185" s="15" t="s">
        <v>1228</v>
      </c>
      <c r="C185" s="16" t="s">
        <v>1249</v>
      </c>
      <c r="D185" s="17" t="s">
        <v>1248</v>
      </c>
      <c r="F185">
        <f t="shared" ca="1" si="21"/>
        <v>1017</v>
      </c>
      <c r="G185" t="str">
        <f t="shared" si="22"/>
        <v>存在確認(ディレクトリのみ)</v>
      </c>
    </row>
    <row r="186" spans="1:7" ht="11.25" customHeight="1" outlineLevel="1">
      <c r="A186" s="15"/>
      <c r="B186" s="15" t="s">
        <v>1229</v>
      </c>
      <c r="C186" s="16" t="s">
        <v>2402</v>
      </c>
      <c r="D186" s="17"/>
      <c r="F186">
        <f t="shared" ca="1" si="21"/>
        <v>1018</v>
      </c>
      <c r="G186" t="str">
        <f t="shared" si="22"/>
        <v>存在確認(シンボリックリンク)</v>
      </c>
    </row>
    <row r="187" spans="1:7" ht="11.25" customHeight="1" outlineLevel="1">
      <c r="A187" s="15"/>
      <c r="B187" s="15" t="s">
        <v>1313</v>
      </c>
      <c r="C187" s="16" t="s">
        <v>1258</v>
      </c>
      <c r="D187" s="17"/>
      <c r="F187">
        <f t="shared" ca="1" si="21"/>
        <v>1019</v>
      </c>
      <c r="G187" t="str">
        <f t="shared" ref="G187:G209" si="23">IF(B187="","",B187)</f>
        <v>ファイル種別判定(0バイト以上)</v>
      </c>
    </row>
    <row r="188" spans="1:7" ht="11.25" customHeight="1" outlineLevel="1">
      <c r="A188" s="15"/>
      <c r="B188" s="15" t="s">
        <v>1259</v>
      </c>
      <c r="C188" s="16" t="s">
        <v>1247</v>
      </c>
      <c r="D188" s="17"/>
      <c r="F188">
        <f t="shared" ca="1" si="21"/>
        <v>1020</v>
      </c>
      <c r="G188" t="str">
        <f t="shared" si="23"/>
        <v>ファイル種別判定(レギュラーファイル)</v>
      </c>
    </row>
    <row r="189" spans="1:7" ht="11.25" customHeight="1" outlineLevel="1">
      <c r="A189" s="15"/>
      <c r="B189" s="15" t="s">
        <v>1260</v>
      </c>
      <c r="C189" s="16" t="s">
        <v>1261</v>
      </c>
      <c r="D189" s="17"/>
      <c r="F189">
        <f t="shared" ca="1" si="21"/>
        <v>1021</v>
      </c>
      <c r="G189" t="str">
        <f t="shared" si="23"/>
        <v>ファイル種別判定(読込み可)</v>
      </c>
    </row>
    <row r="190" spans="1:7" ht="11.25" customHeight="1" outlineLevel="1">
      <c r="A190" s="15"/>
      <c r="B190" s="15" t="s">
        <v>1262</v>
      </c>
      <c r="C190" s="16" t="s">
        <v>1263</v>
      </c>
      <c r="D190" s="17"/>
      <c r="F190">
        <f t="shared" ca="1" si="21"/>
        <v>1022</v>
      </c>
      <c r="G190" t="str">
        <f t="shared" si="23"/>
        <v>ファイル種別判定(書込み可)</v>
      </c>
    </row>
    <row r="191" spans="1:7" ht="11.25" customHeight="1" outlineLevel="1">
      <c r="A191" s="15"/>
      <c r="B191" s="15" t="s">
        <v>1264</v>
      </c>
      <c r="C191" s="16" t="s">
        <v>1265</v>
      </c>
      <c r="D191" s="17"/>
      <c r="F191">
        <f t="shared" ca="1" si="21"/>
        <v>1023</v>
      </c>
      <c r="G191" t="str">
        <f t="shared" si="23"/>
        <v>ファイル種別判定(実行可能)(ディレクトリの場合は移動可能)</v>
      </c>
    </row>
    <row r="192" spans="1:7" ht="11.25" customHeight="1" outlineLevel="1">
      <c r="A192" s="15"/>
      <c r="B192" s="15" t="s">
        <v>1266</v>
      </c>
      <c r="C192" s="16" t="s">
        <v>1267</v>
      </c>
      <c r="D192" s="17"/>
      <c r="F192">
        <f t="shared" ca="1" si="21"/>
        <v>1024</v>
      </c>
      <c r="G192" t="str">
        <f t="shared" si="23"/>
        <v>ファイル種別判定(シンボリックリンクファイル)</v>
      </c>
    </row>
    <row r="193" spans="1:7" ht="11.25" customHeight="1" outlineLevel="1">
      <c r="A193" s="15"/>
      <c r="B193" s="15" t="s">
        <v>1266</v>
      </c>
      <c r="C193" s="16" t="s">
        <v>1268</v>
      </c>
      <c r="D193" s="17"/>
      <c r="F193">
        <f t="shared" ca="1" si="21"/>
        <v>1025</v>
      </c>
      <c r="G193" t="str">
        <f t="shared" si="23"/>
        <v>ファイル種別判定(シンボリックリンクファイル)</v>
      </c>
    </row>
    <row r="194" spans="1:7" ht="11.25" customHeight="1" outlineLevel="1">
      <c r="A194" s="15"/>
      <c r="B194" s="15" t="s">
        <v>1269</v>
      </c>
      <c r="C194" s="16" t="s">
        <v>1270</v>
      </c>
      <c r="D194" s="17"/>
      <c r="F194">
        <f t="shared" ca="1" si="21"/>
        <v>1026</v>
      </c>
      <c r="G194" t="str">
        <f t="shared" si="23"/>
        <v>ファイル種別判定(ブロックデバイスファイル)</v>
      </c>
    </row>
    <row r="195" spans="1:7" ht="11.25" customHeight="1" outlineLevel="1">
      <c r="A195" s="15"/>
      <c r="B195" s="15" t="s">
        <v>1271</v>
      </c>
      <c r="C195" s="16" t="s">
        <v>1272</v>
      </c>
      <c r="D195" s="17"/>
      <c r="F195">
        <f t="shared" ca="1" si="21"/>
        <v>1027</v>
      </c>
      <c r="G195" t="str">
        <f t="shared" si="23"/>
        <v>ファイル種別判定(キャラクタデバイスファイル)</v>
      </c>
    </row>
    <row r="196" spans="1:7" ht="11.25" customHeight="1" outlineLevel="1">
      <c r="A196" s="15"/>
      <c r="B196" s="15" t="s">
        <v>1273</v>
      </c>
      <c r="C196" s="16" t="s">
        <v>1274</v>
      </c>
      <c r="D196" s="17"/>
      <c r="F196">
        <f t="shared" ca="1" si="21"/>
        <v>1028</v>
      </c>
      <c r="G196" t="str">
        <f t="shared" si="23"/>
        <v>ファイル種別判定(名前付きパイプ)</v>
      </c>
    </row>
    <row r="197" spans="1:7" ht="11.25" customHeight="1" outlineLevel="1">
      <c r="A197" s="15"/>
      <c r="B197" s="15" t="s">
        <v>1275</v>
      </c>
      <c r="C197" s="16" t="s">
        <v>1276</v>
      </c>
      <c r="D197" s="17"/>
      <c r="F197">
        <f t="shared" ca="1" si="21"/>
        <v>1029</v>
      </c>
      <c r="G197" t="str">
        <f t="shared" si="23"/>
        <v>ファイル種別判定(ソケットファイル)</v>
      </c>
    </row>
    <row r="198" spans="1:7" ht="11.25" customHeight="1" outlineLevel="1">
      <c r="A198" s="15"/>
      <c r="B198" s="15" t="s">
        <v>1277</v>
      </c>
      <c r="C198" s="16" t="s">
        <v>1311</v>
      </c>
      <c r="D198" s="17" t="s">
        <v>1307</v>
      </c>
      <c r="F198">
        <f t="shared" ca="1" si="21"/>
        <v>1030</v>
      </c>
      <c r="G198" t="str">
        <f t="shared" si="23"/>
        <v>ファイル種別判定(スティッキービット設定)</v>
      </c>
    </row>
    <row r="199" spans="1:7" ht="11.25" customHeight="1" outlineLevel="1">
      <c r="A199" s="15"/>
      <c r="B199" s="15" t="s">
        <v>1278</v>
      </c>
      <c r="C199" s="16" t="s">
        <v>1312</v>
      </c>
      <c r="D199" s="17" t="s">
        <v>1308</v>
      </c>
      <c r="F199">
        <f t="shared" ca="1" si="21"/>
        <v>1031</v>
      </c>
      <c r="G199" t="str">
        <f t="shared" si="23"/>
        <v>ファイル種別判定(セットユーザIDビット設定)</v>
      </c>
    </row>
    <row r="200" spans="1:7" ht="11.25" customHeight="1" outlineLevel="1">
      <c r="A200" s="15"/>
      <c r="B200" s="15" t="s">
        <v>1279</v>
      </c>
      <c r="C200" s="16" t="s">
        <v>1310</v>
      </c>
      <c r="D200" s="17" t="s">
        <v>1309</v>
      </c>
      <c r="F200">
        <f t="shared" ca="1" si="21"/>
        <v>1032</v>
      </c>
      <c r="G200" t="str">
        <f t="shared" si="23"/>
        <v>ファイル種別判定(セットグループIDビット設定)</v>
      </c>
    </row>
    <row r="201" spans="1:7" ht="11.25" customHeight="1" outlineLevel="1">
      <c r="A201" s="15"/>
      <c r="B201" s="15" t="s">
        <v>1280</v>
      </c>
      <c r="C201" s="16" t="s">
        <v>1281</v>
      </c>
      <c r="D201" s="17"/>
      <c r="F201">
        <f t="shared" ca="1" si="21"/>
        <v>1033</v>
      </c>
      <c r="G201" t="str">
        <f t="shared" si="23"/>
        <v>ファイル種別判定(実効ユーザID所有)</v>
      </c>
    </row>
    <row r="202" spans="1:7" ht="11.25" customHeight="1" outlineLevel="1">
      <c r="A202" s="15"/>
      <c r="B202" s="15" t="s">
        <v>1282</v>
      </c>
      <c r="C202" s="16" t="s">
        <v>1283</v>
      </c>
      <c r="D202" s="17"/>
      <c r="F202">
        <f t="shared" ca="1" si="21"/>
        <v>1034</v>
      </c>
      <c r="G202" t="str">
        <f t="shared" si="23"/>
        <v>ファイル種別判定(実効グループID所有)</v>
      </c>
    </row>
    <row r="203" spans="1:7" ht="11.25" customHeight="1" outlineLevel="1">
      <c r="A203" s="15"/>
      <c r="B203" s="18" t="s">
        <v>2005</v>
      </c>
      <c r="C203" s="16" t="str">
        <f>"if [[ ""aaa bbbb ccc"" =~ ^(aaa[^\S]bbbb).* ]]; then
 echo ""${BASH_REMATCH[1]}""
fi"</f>
        <v>if [[ "aaa bbbb ccc" =~ ^(aaa[^\S]bbbb).* ]]; then
 echo "${BASH_REMATCH[1]}"
fi</v>
      </c>
      <c r="D203" s="17" t="s">
        <v>2006</v>
      </c>
      <c r="F203">
        <f t="shared" ca="1" si="21"/>
        <v>1035</v>
      </c>
      <c r="G203" t="str">
        <f t="shared" si="23"/>
        <v>正規表現一致確認</v>
      </c>
    </row>
    <row r="204" spans="1:7" ht="11.25" customHeight="1" outlineLevel="1">
      <c r="A204" s="15"/>
      <c r="B204" s="15" t="s">
        <v>1286</v>
      </c>
      <c r="C204" s="16" t="s">
        <v>1317</v>
      </c>
      <c r="D204" s="17" t="s">
        <v>1316</v>
      </c>
      <c r="F204">
        <f t="shared" ca="1" si="21"/>
        <v>1036</v>
      </c>
      <c r="G204" t="str">
        <f t="shared" si="23"/>
        <v>文字数値変換(文字→数値)</v>
      </c>
    </row>
    <row r="205" spans="1:7" ht="11.25" customHeight="1" outlineLevel="1">
      <c r="A205" s="15"/>
      <c r="B205" s="15" t="s">
        <v>1287</v>
      </c>
      <c r="C205" s="16" t="s">
        <v>1318</v>
      </c>
      <c r="D205" s="17" t="s">
        <v>875</v>
      </c>
      <c r="F205">
        <f t="shared" ca="1" si="21"/>
        <v>1037</v>
      </c>
      <c r="G205" t="str">
        <f t="shared" si="23"/>
        <v>文字数値変換(数値→文字)</v>
      </c>
    </row>
    <row r="206" spans="1:7" ht="11.25" customHeight="1">
      <c r="A206" s="12" t="s">
        <v>345</v>
      </c>
      <c r="B206" s="13"/>
      <c r="C206" s="13"/>
      <c r="D206" s="14" t="s">
        <v>122</v>
      </c>
      <c r="E206" t="s">
        <v>122</v>
      </c>
      <c r="F206">
        <f t="shared" ca="1" si="21"/>
        <v>1037</v>
      </c>
      <c r="G206" t="str">
        <f t="shared" si="23"/>
        <v/>
      </c>
    </row>
    <row r="207" spans="1:7" ht="11.25" customHeight="1" outlineLevel="1">
      <c r="A207" s="15"/>
      <c r="B207" s="15" t="s">
        <v>1393</v>
      </c>
      <c r="C207" s="16" t="s">
        <v>1394</v>
      </c>
      <c r="D207" s="17"/>
      <c r="F207">
        <f t="shared" ca="1" si="21"/>
        <v>1038</v>
      </c>
      <c r="G207" t="str">
        <f t="shared" si="23"/>
        <v>ファイル作成</v>
      </c>
    </row>
    <row r="208" spans="1:7" ht="11.25" customHeight="1" outlineLevel="1">
      <c r="A208" s="15"/>
      <c r="B208" s="15" t="s">
        <v>1301</v>
      </c>
      <c r="C208" s="16" t="s">
        <v>1883</v>
      </c>
      <c r="D208" s="17" t="s">
        <v>1328</v>
      </c>
      <c r="F208">
        <f t="shared" ca="1" si="21"/>
        <v>1039</v>
      </c>
      <c r="G208" t="str">
        <f t="shared" si="23"/>
        <v>ファイル名取得</v>
      </c>
    </row>
    <row r="209" spans="1:7" ht="11.25" customHeight="1" outlineLevel="1">
      <c r="A209" s="15"/>
      <c r="B209" s="15" t="s">
        <v>1916</v>
      </c>
      <c r="C209" s="16" t="str">
        <f>"FILES=$(find . -maxdepth 1 -type f -or -type l | cut -c 3-)
for file in $FILES
do
    echo $file
done"</f>
        <v>FILES=$(find . -maxdepth 1 -type f -or -type l | cut -c 3-)
for file in $FILES
do
    echo $file
done</v>
      </c>
      <c r="D209" s="17"/>
      <c r="F209">
        <f t="shared" ca="1" si="21"/>
        <v>1040</v>
      </c>
      <c r="G209" t="str">
        <f t="shared" si="23"/>
        <v>ファイル名取得＆操作</v>
      </c>
    </row>
    <row r="210" spans="1:7" ht="11.25" customHeight="1" outlineLevel="1">
      <c r="A210" s="15"/>
      <c r="B210" s="15" t="s">
        <v>1397</v>
      </c>
      <c r="C210" s="16" t="s">
        <v>1398</v>
      </c>
      <c r="D210" s="17"/>
      <c r="F210">
        <f t="shared" ref="F210:F224" ca="1" si="24">IF(G210="",OFFSET(F210,-1,0),OFFSET(F210,-1,0)+1)</f>
        <v>1041</v>
      </c>
      <c r="G210" t="str">
        <f t="shared" ref="G210:G224" si="25">IF(B210="","",B210)</f>
        <v>ファイル削除</v>
      </c>
    </row>
    <row r="211" spans="1:7" ht="11.25" customHeight="1" outlineLevel="1">
      <c r="A211" s="15"/>
      <c r="B211" s="15" t="s">
        <v>1404</v>
      </c>
      <c r="C211" s="16" t="s">
        <v>1405</v>
      </c>
      <c r="D211" s="17"/>
      <c r="F211">
        <f t="shared" ca="1" si="24"/>
        <v>1042</v>
      </c>
      <c r="G211" t="str">
        <f t="shared" si="25"/>
        <v>ファイル完全削除</v>
      </c>
    </row>
    <row r="212" spans="1:7" ht="11.25" customHeight="1" outlineLevel="1">
      <c r="A212" s="15"/>
      <c r="B212" s="15" t="s">
        <v>1406</v>
      </c>
      <c r="C212" s="16" t="s">
        <v>1407</v>
      </c>
      <c r="D212" s="17"/>
      <c r="F212">
        <f t="shared" ca="1" si="24"/>
        <v>1043</v>
      </c>
      <c r="G212" t="str">
        <f t="shared" si="25"/>
        <v>ファイル移動</v>
      </c>
    </row>
    <row r="213" spans="1:7" ht="11.25" customHeight="1" outlineLevel="1">
      <c r="A213" s="15"/>
      <c r="B213" s="15" t="s">
        <v>2015</v>
      </c>
      <c r="C213" s="16" t="s">
        <v>1884</v>
      </c>
      <c r="D213" s="17"/>
      <c r="F213">
        <f t="shared" ca="1" si="24"/>
        <v>1044</v>
      </c>
      <c r="G213" t="str">
        <f t="shared" si="25"/>
        <v>ファイルリネーム1</v>
      </c>
    </row>
    <row r="214" spans="1:7" ht="11.25" customHeight="1" outlineLevel="1">
      <c r="A214" s="15"/>
      <c r="B214" s="15" t="s">
        <v>2016</v>
      </c>
      <c r="C214" s="16" t="s">
        <v>1885</v>
      </c>
      <c r="D214" s="17"/>
      <c r="F214">
        <f t="shared" ca="1" si="24"/>
        <v>1045</v>
      </c>
      <c r="G214" t="str">
        <f t="shared" si="25"/>
        <v>ファイルリネーム2</v>
      </c>
    </row>
    <row r="215" spans="1:7" ht="11.25" customHeight="1" outlineLevel="1">
      <c r="A215" s="15"/>
      <c r="B215" s="15" t="s">
        <v>1411</v>
      </c>
      <c r="C215" s="16" t="s">
        <v>1412</v>
      </c>
      <c r="D215" s="17"/>
      <c r="F215">
        <f t="shared" ca="1" si="24"/>
        <v>1046</v>
      </c>
      <c r="G215" t="str">
        <f t="shared" si="25"/>
        <v>ファイルコピー1</v>
      </c>
    </row>
    <row r="216" spans="1:7" ht="11.25" customHeight="1" outlineLevel="1">
      <c r="A216" s="15"/>
      <c r="B216" s="15" t="s">
        <v>1413</v>
      </c>
      <c r="C216" s="16" t="s">
        <v>1414</v>
      </c>
      <c r="D216" s="17"/>
      <c r="F216">
        <f t="shared" ca="1" si="24"/>
        <v>1047</v>
      </c>
      <c r="G216" t="str">
        <f t="shared" si="25"/>
        <v>ファイルコピー2</v>
      </c>
    </row>
    <row r="217" spans="1:7" ht="11.25" customHeight="1" outlineLevel="1">
      <c r="A217" s="15"/>
      <c r="B217" s="15" t="s">
        <v>2021</v>
      </c>
      <c r="C217" s="20" t="s">
        <v>2022</v>
      </c>
      <c r="D217" s="52" t="s">
        <v>2023</v>
      </c>
      <c r="F217">
        <f t="shared" ca="1" si="24"/>
        <v>1048</v>
      </c>
      <c r="G217" t="str">
        <f>IF(B217="","",B217)</f>
        <v>ファイルコピー(ディレクトリ作成＆コピー)</v>
      </c>
    </row>
    <row r="218" spans="1:7" ht="11.25" customHeight="1" outlineLevel="1">
      <c r="A218" s="15"/>
      <c r="B218" s="15" t="s">
        <v>1415</v>
      </c>
      <c r="C218" s="16" t="s">
        <v>1480</v>
      </c>
      <c r="D218" s="17"/>
      <c r="F218">
        <f t="shared" ca="1" si="24"/>
        <v>1049</v>
      </c>
      <c r="G218" t="str">
        <f t="shared" si="25"/>
        <v>ファイルコピー(シンボリックリンク)</v>
      </c>
    </row>
    <row r="219" spans="1:7" ht="11.25" customHeight="1" outlineLevel="1">
      <c r="A219" s="15"/>
      <c r="B219" s="15" t="s">
        <v>2017</v>
      </c>
      <c r="C219" s="20" t="s">
        <v>2018</v>
      </c>
      <c r="D219" s="17" t="s">
        <v>1482</v>
      </c>
      <c r="F219">
        <f t="shared" ca="1" si="24"/>
        <v>1050</v>
      </c>
      <c r="G219" t="str">
        <f t="shared" si="25"/>
        <v>ファイルコピー(パーミッション保持)</v>
      </c>
    </row>
    <row r="220" spans="1:7" ht="11.25" customHeight="1" outlineLevel="1">
      <c r="A220" s="15"/>
      <c r="B220" s="18" t="s">
        <v>1479</v>
      </c>
      <c r="C220" s="16" t="s">
        <v>1417</v>
      </c>
      <c r="D220" s="17"/>
      <c r="F220">
        <f t="shared" ca="1" si="24"/>
        <v>1051</v>
      </c>
      <c r="G220" t="str">
        <f t="shared" si="25"/>
        <v>ファイルコピー(ブロック単位)</v>
      </c>
    </row>
    <row r="221" spans="1:7" ht="11.25" customHeight="1" outlineLevel="1">
      <c r="A221" s="15"/>
      <c r="B221" s="15" t="s">
        <v>1418</v>
      </c>
      <c r="C221" s="16" t="s">
        <v>1478</v>
      </c>
      <c r="D221" s="17"/>
      <c r="F221">
        <f t="shared" ca="1" si="24"/>
        <v>1052</v>
      </c>
      <c r="G221" t="str">
        <f t="shared" si="25"/>
        <v>ファイルコピー＆アクセス権設定</v>
      </c>
    </row>
    <row r="222" spans="1:7" ht="11.25" customHeight="1" outlineLevel="1">
      <c r="A222" s="15"/>
      <c r="B222" s="15" t="s">
        <v>1419</v>
      </c>
      <c r="C222" s="16" t="s">
        <v>1420</v>
      </c>
      <c r="D222" s="17"/>
      <c r="F222">
        <f t="shared" ca="1" si="24"/>
        <v>1053</v>
      </c>
      <c r="G222" t="str">
        <f t="shared" si="25"/>
        <v>ファイル分割(行番号指定)</v>
      </c>
    </row>
    <row r="223" spans="1:7" ht="11.25" customHeight="1" outlineLevel="1">
      <c r="A223" s="15"/>
      <c r="B223" s="15" t="s">
        <v>1421</v>
      </c>
      <c r="C223" s="16" t="s">
        <v>1422</v>
      </c>
      <c r="D223" s="17"/>
      <c r="F223">
        <f t="shared" ca="1" si="24"/>
        <v>1054</v>
      </c>
      <c r="G223" t="str">
        <f t="shared" si="25"/>
        <v>ファイル分割(文脈指定)</v>
      </c>
    </row>
    <row r="224" spans="1:7" ht="11.25" customHeight="1" outlineLevel="1">
      <c r="A224" s="15"/>
      <c r="B224" s="15" t="s">
        <v>1302</v>
      </c>
      <c r="C224" s="16" t="s">
        <v>1329</v>
      </c>
      <c r="D224" s="17" t="s">
        <v>1327</v>
      </c>
      <c r="F224">
        <f t="shared" ca="1" si="24"/>
        <v>1055</v>
      </c>
      <c r="G224" t="str">
        <f t="shared" si="25"/>
        <v>ディレクトリパス取得</v>
      </c>
    </row>
    <row r="225" spans="1:7" ht="11.25" customHeight="1" outlineLevel="1">
      <c r="A225" s="15"/>
      <c r="B225" s="15" t="s">
        <v>1303</v>
      </c>
      <c r="C225" s="16" t="str">
        <f>"DIRS=$(find . -maxdepth 1 -type d | cut -c 3-)
for dir in $DIRS
do
    echo $dir
done"</f>
        <v>DIRS=$(find . -maxdepth 1 -type d | cut -c 3-)
for dir in $DIRS
do
    echo $dir
done</v>
      </c>
      <c r="D225" s="17"/>
      <c r="F225">
        <f t="shared" ref="F225:F230" ca="1" si="26">IF(G225="",OFFSET(F225,-1,0),OFFSET(F225,-1,0)+1)</f>
        <v>1056</v>
      </c>
      <c r="G225" t="str">
        <f t="shared" ref="G225:G230" si="27">IF(B225="","",B225)</f>
        <v>ディレクトリ名取得＆操作</v>
      </c>
    </row>
    <row r="226" spans="1:7" ht="11.25" customHeight="1" outlineLevel="1">
      <c r="A226" s="15"/>
      <c r="B226" s="15" t="s">
        <v>1386</v>
      </c>
      <c r="C226" s="16" t="s">
        <v>289</v>
      </c>
      <c r="D226" s="17"/>
      <c r="F226">
        <f t="shared" ca="1" si="26"/>
        <v>1057</v>
      </c>
      <c r="G226" t="str">
        <f t="shared" si="27"/>
        <v>ディレクトリ移動</v>
      </c>
    </row>
    <row r="227" spans="1:7" ht="11.25" customHeight="1" outlineLevel="1">
      <c r="A227" s="15"/>
      <c r="B227" s="15" t="s">
        <v>1387</v>
      </c>
      <c r="C227" s="16" t="s">
        <v>1388</v>
      </c>
      <c r="D227" s="17"/>
      <c r="F227">
        <f t="shared" ca="1" si="26"/>
        <v>1058</v>
      </c>
      <c r="G227" t="str">
        <f t="shared" si="27"/>
        <v>ディレクトリ移動(直前)</v>
      </c>
    </row>
    <row r="228" spans="1:7" ht="11.25" customHeight="1" outlineLevel="1">
      <c r="A228" s="15"/>
      <c r="B228" s="15" t="s">
        <v>1389</v>
      </c>
      <c r="C228" s="16" t="s">
        <v>1390</v>
      </c>
      <c r="D228" s="17"/>
      <c r="F228">
        <f t="shared" ca="1" si="26"/>
        <v>1059</v>
      </c>
      <c r="G228" t="str">
        <f t="shared" si="27"/>
        <v>ディレクトリ移動([mv後のディレクトリへ](https://qiita.com/arene-calix/items/41d8d4ba572f1d652727))</v>
      </c>
    </row>
    <row r="229" spans="1:7" ht="11.25" customHeight="1" outlineLevel="1">
      <c r="A229" s="15"/>
      <c r="B229" s="15" t="s">
        <v>1391</v>
      </c>
      <c r="C229" s="16" t="s">
        <v>1392</v>
      </c>
      <c r="D229" s="17"/>
      <c r="F229">
        <f t="shared" ca="1" si="26"/>
        <v>1060</v>
      </c>
      <c r="G229" t="str">
        <f t="shared" si="27"/>
        <v>ディレクトリ移動(保存)</v>
      </c>
    </row>
    <row r="230" spans="1:7" ht="11.25" customHeight="1" outlineLevel="1">
      <c r="A230" s="15"/>
      <c r="B230" s="15" t="s">
        <v>1395</v>
      </c>
      <c r="C230" s="16" t="s">
        <v>1396</v>
      </c>
      <c r="D230" s="17"/>
      <c r="F230">
        <f t="shared" ca="1" si="26"/>
        <v>1061</v>
      </c>
      <c r="G230" t="str">
        <f t="shared" si="27"/>
        <v>ディレクトリ作成(再帰的)</v>
      </c>
    </row>
    <row r="231" spans="1:7" ht="11.25" customHeight="1" outlineLevel="1">
      <c r="A231" s="15"/>
      <c r="B231" s="15" t="s">
        <v>1399</v>
      </c>
      <c r="C231" s="16" t="s">
        <v>1400</v>
      </c>
      <c r="D231" s="17"/>
      <c r="F231">
        <f t="shared" ref="F231:F254" ca="1" si="28">IF(G231="",OFFSET(F231,-1,0),OFFSET(F231,-1,0)+1)</f>
        <v>1062</v>
      </c>
      <c r="G231" t="str">
        <f t="shared" ref="G231:G254" si="29">IF(B231="","",B231)</f>
        <v>ディレクトリ削除(再帰的1)</v>
      </c>
    </row>
    <row r="232" spans="1:7" ht="11.25" customHeight="1" outlineLevel="1">
      <c r="A232" s="15"/>
      <c r="B232" s="15" t="s">
        <v>1401</v>
      </c>
      <c r="C232" s="16" t="s">
        <v>1402</v>
      </c>
      <c r="D232" s="17" t="s">
        <v>1403</v>
      </c>
      <c r="F232">
        <f t="shared" ca="1" si="28"/>
        <v>1063</v>
      </c>
      <c r="G232" t="str">
        <f t="shared" si="29"/>
        <v>ディレクトリ削除(再帰的2)</v>
      </c>
    </row>
    <row r="233" spans="1:7" ht="11.25" customHeight="1" outlineLevel="1">
      <c r="A233" s="15"/>
      <c r="B233" s="15" t="s">
        <v>1386</v>
      </c>
      <c r="C233" s="16" t="s">
        <v>1408</v>
      </c>
      <c r="D233" s="17" t="s">
        <v>1409</v>
      </c>
      <c r="F233">
        <f t="shared" ca="1" si="28"/>
        <v>1064</v>
      </c>
      <c r="G233" t="str">
        <f t="shared" si="29"/>
        <v>ディレクトリ移動</v>
      </c>
    </row>
    <row r="234" spans="1:7" ht="11.25" customHeight="1" outlineLevel="1">
      <c r="A234" s="15"/>
      <c r="B234" s="15" t="s">
        <v>3004</v>
      </c>
      <c r="C234" s="16" t="s">
        <v>3005</v>
      </c>
      <c r="D234" s="17" t="s">
        <v>122</v>
      </c>
      <c r="F234">
        <f t="shared" ref="F234" ca="1" si="30">IF(G234="",OFFSET(F234,-1,0),OFFSET(F234,-1,0)+1)</f>
        <v>1065</v>
      </c>
      <c r="G234" t="str">
        <f t="shared" ref="G234" si="31">IF(B234="","",B234)</f>
        <v>空ディレクトリ一覧作成</v>
      </c>
    </row>
    <row r="235" spans="1:7" ht="11.25" customHeight="1" outlineLevel="1">
      <c r="A235" s="15"/>
      <c r="B235" s="15" t="s">
        <v>3373</v>
      </c>
      <c r="C235" s="16" t="s">
        <v>3006</v>
      </c>
      <c r="D235" s="17" t="s">
        <v>122</v>
      </c>
      <c r="F235">
        <f t="shared" ref="F235" ca="1" si="32">IF(G235="",OFFSET(F235,-1,0),OFFSET(F235,-1,0)+1)</f>
        <v>1066</v>
      </c>
      <c r="G235" t="str">
        <f t="shared" ref="G235" si="33">IF(B235="","",B235)</f>
        <v>ディレクトリ一括削除（空ディレクトリ）</v>
      </c>
    </row>
    <row r="236" spans="1:7" ht="11.25" customHeight="1" outlineLevel="1">
      <c r="A236" s="15"/>
      <c r="B236" s="15" t="s">
        <v>3372</v>
      </c>
      <c r="C236" s="16" t="s">
        <v>3371</v>
      </c>
      <c r="D236" s="17" t="s">
        <v>122</v>
      </c>
      <c r="F236">
        <f t="shared" ref="F236" ca="1" si="34">IF(G236="",OFFSET(F236,-1,0),OFFSET(F236,-1,0)+1)</f>
        <v>1067</v>
      </c>
      <c r="G236" t="str">
        <f t="shared" ref="G236" si="35">IF(B236="","",B236)</f>
        <v>ファイル一括削除（特定拡張子）</v>
      </c>
    </row>
    <row r="237" spans="1:7" ht="11.25" customHeight="1" outlineLevel="1">
      <c r="A237" s="15"/>
      <c r="B237" s="3" t="s">
        <v>1968</v>
      </c>
      <c r="C237" s="16" t="s">
        <v>1410</v>
      </c>
      <c r="D237" s="17"/>
      <c r="F237">
        <f t="shared" ca="1" si="28"/>
        <v>1068</v>
      </c>
      <c r="G237" t="str">
        <f t="shared" si="29"/>
        <v>セクションサイズ取得</v>
      </c>
    </row>
    <row r="238" spans="1:7" ht="11.25" customHeight="1" outlineLevel="1">
      <c r="A238" s="15"/>
      <c r="B238" s="15" t="s">
        <v>1416</v>
      </c>
      <c r="C238" s="16" t="s">
        <v>1481</v>
      </c>
      <c r="D238" s="17"/>
      <c r="F238">
        <f t="shared" ca="1" si="28"/>
        <v>1069</v>
      </c>
      <c r="G238" t="str">
        <f t="shared" si="29"/>
        <v>ディレクトリコピー(再帰的)</v>
      </c>
    </row>
    <row r="239" spans="1:7" ht="11.25" customHeight="1" outlineLevel="1">
      <c r="A239" s="15"/>
      <c r="B239" s="15" t="s">
        <v>2019</v>
      </c>
      <c r="C239" s="16" t="str">
        <f>"while IFS= read line
do
    echo ${line}
done &lt; input.txt"</f>
        <v>while IFS= read line
do
    echo ${line}
done &lt; input.txt</v>
      </c>
      <c r="D239" s="17" t="s">
        <v>1304</v>
      </c>
      <c r="F239">
        <f ca="1">IF(G239="",OFFSET(F239,-1,0),OFFSET(F239,-1,0)+1)</f>
        <v>1070</v>
      </c>
      <c r="G239" t="str">
        <f>IF(B239="","",B239)</f>
        <v>ファイル読込（一行ずつ）</v>
      </c>
    </row>
    <row r="240" spans="1:7" ht="11.25" customHeight="1" outlineLevel="1">
      <c r="A240" s="15"/>
      <c r="B240" s="15" t="s">
        <v>1974</v>
      </c>
      <c r="C240" s="16" t="s">
        <v>1973</v>
      </c>
      <c r="D240" s="17"/>
      <c r="F240">
        <f t="shared" ca="1" si="28"/>
        <v>1071</v>
      </c>
      <c r="G240" t="str">
        <f t="shared" si="29"/>
        <v>文字コード判定</v>
      </c>
    </row>
    <row r="241" spans="1:7" ht="11.25" customHeight="1" outlineLevel="1">
      <c r="A241" s="15"/>
      <c r="B241" s="15" t="s">
        <v>1423</v>
      </c>
      <c r="C241" s="16" t="s">
        <v>1424</v>
      </c>
      <c r="D241" s="17"/>
      <c r="F241">
        <f t="shared" ca="1" si="28"/>
        <v>1072</v>
      </c>
      <c r="G241" t="str">
        <f t="shared" si="29"/>
        <v>文字コード変換(sjis→utf8)(iconv)</v>
      </c>
    </row>
    <row r="242" spans="1:7" ht="11.25" customHeight="1" outlineLevel="1">
      <c r="A242" s="15"/>
      <c r="B242" s="18" t="s">
        <v>1483</v>
      </c>
      <c r="C242" s="16" t="s">
        <v>1425</v>
      </c>
      <c r="D242" s="17"/>
      <c r="F242">
        <f t="shared" ca="1" si="28"/>
        <v>1073</v>
      </c>
      <c r="G242" t="str">
        <f t="shared" si="29"/>
        <v>文字コード変換(sjis→utf8)(nkf)</v>
      </c>
    </row>
    <row r="243" spans="1:7" ht="11.25" customHeight="1" outlineLevel="1">
      <c r="A243" s="15"/>
      <c r="B243" s="15" t="s">
        <v>1985</v>
      </c>
      <c r="C243" s="16" t="s">
        <v>1973</v>
      </c>
      <c r="D243" s="17"/>
      <c r="F243">
        <f ca="1">IF(G243="",OFFSET(F243,-1,0),OFFSET(F243,-1,0)+1)</f>
        <v>1074</v>
      </c>
      <c r="G243" t="str">
        <f>IF(B243="","",B243)</f>
        <v>改行コード判定＠nkf</v>
      </c>
    </row>
    <row r="244" spans="1:7" ht="11.25" customHeight="1" outlineLevel="1">
      <c r="A244" s="15"/>
      <c r="B244" s="15" t="s">
        <v>1978</v>
      </c>
      <c r="C244" s="16" t="s">
        <v>1977</v>
      </c>
      <c r="D244" s="17"/>
      <c r="F244">
        <f t="shared" ca="1" si="28"/>
        <v>1075</v>
      </c>
      <c r="G244" t="str">
        <f t="shared" si="29"/>
        <v>改行コード変換＠sed(Mac→Unix)</v>
      </c>
    </row>
    <row r="245" spans="1:7" ht="11.25" customHeight="1" outlineLevel="1">
      <c r="A245" s="15"/>
      <c r="B245" s="15" t="s">
        <v>1979</v>
      </c>
      <c r="C245" s="16" t="s">
        <v>1976</v>
      </c>
      <c r="D245" s="17"/>
      <c r="F245">
        <f t="shared" ca="1" si="28"/>
        <v>1076</v>
      </c>
      <c r="G245" t="str">
        <f t="shared" si="29"/>
        <v>改行コード変換＠sed(Windows→Unix)</v>
      </c>
    </row>
    <row r="246" spans="1:7" ht="11.25" customHeight="1" outlineLevel="1">
      <c r="A246" s="15"/>
      <c r="B246" s="15" t="s">
        <v>1980</v>
      </c>
      <c r="C246" s="16" t="s">
        <v>1975</v>
      </c>
      <c r="D246" s="17"/>
      <c r="F246">
        <f t="shared" ca="1" si="28"/>
        <v>1077</v>
      </c>
      <c r="G246" t="str">
        <f t="shared" si="29"/>
        <v>改行コード変換＠sed(Unix→Windows)</v>
      </c>
    </row>
    <row r="247" spans="1:7" ht="11.25" customHeight="1" outlineLevel="1">
      <c r="A247" s="15"/>
      <c r="B247" s="15" t="s">
        <v>1981</v>
      </c>
      <c r="C247" s="16" t="s">
        <v>1970</v>
      </c>
      <c r="D247" s="17"/>
      <c r="F247">
        <f ca="1">IF(G247="",OFFSET(F247,-1,0),OFFSET(F247,-1,0)+1)</f>
        <v>1078</v>
      </c>
      <c r="G247" t="str">
        <f>IF(B247="","",B247)</f>
        <v>改行コード変換＠nkf(xxx→Unix)</v>
      </c>
    </row>
    <row r="248" spans="1:7" ht="11.25" customHeight="1" outlineLevel="1">
      <c r="A248" s="15"/>
      <c r="B248" s="15" t="s">
        <v>1982</v>
      </c>
      <c r="C248" s="16" t="s">
        <v>1971</v>
      </c>
      <c r="D248" s="17"/>
      <c r="F248">
        <f ca="1">IF(G248="",OFFSET(F248,-1,0),OFFSET(F248,-1,0)+1)</f>
        <v>1079</v>
      </c>
      <c r="G248" t="str">
        <f>IF(B248="","",B248)</f>
        <v>改行コード変換＠nkf(xxx→Windows)</v>
      </c>
    </row>
    <row r="249" spans="1:7" ht="11.25" customHeight="1" outlineLevel="1">
      <c r="A249" s="15"/>
      <c r="B249" s="15" t="s">
        <v>1983</v>
      </c>
      <c r="C249" s="16" t="s">
        <v>1969</v>
      </c>
      <c r="D249" s="17"/>
      <c r="F249">
        <f t="shared" ca="1" si="28"/>
        <v>1080</v>
      </c>
      <c r="G249" t="str">
        <f t="shared" si="29"/>
        <v>改行コード変換＠nkf(xxx→Mac)</v>
      </c>
    </row>
    <row r="250" spans="1:7" ht="11.25" customHeight="1" outlineLevel="1">
      <c r="A250" s="15"/>
      <c r="B250" s="15" t="s">
        <v>1984</v>
      </c>
      <c r="C250" s="16" t="s">
        <v>1972</v>
      </c>
      <c r="D250" s="17"/>
      <c r="F250">
        <f ca="1">IF(G250="",OFFSET(F250,-1,0),OFFSET(F250,-1,0)+1)</f>
        <v>1081</v>
      </c>
      <c r="G250" t="str">
        <f>IF(B250="","",B250)</f>
        <v>改行コード変換＠nkf 上書き</v>
      </c>
    </row>
    <row r="251" spans="1:7" ht="11.25" customHeight="1" outlineLevel="1">
      <c r="A251" s="15"/>
      <c r="B251" s="15" t="s">
        <v>1426</v>
      </c>
      <c r="C251" s="16" t="s">
        <v>1427</v>
      </c>
      <c r="D251" s="17"/>
      <c r="F251">
        <f t="shared" ca="1" si="28"/>
        <v>1082</v>
      </c>
      <c r="G251" t="str">
        <f t="shared" si="29"/>
        <v>ハードリンク作成</v>
      </c>
    </row>
    <row r="252" spans="1:7" ht="11.25" customHeight="1" outlineLevel="1">
      <c r="A252" s="15"/>
      <c r="B252" s="15" t="s">
        <v>1428</v>
      </c>
      <c r="C252" s="16" t="s">
        <v>1429</v>
      </c>
      <c r="D252" s="17"/>
      <c r="F252">
        <f t="shared" ca="1" si="28"/>
        <v>1083</v>
      </c>
      <c r="G252" t="str">
        <f t="shared" si="29"/>
        <v>シンボリックリンク作成</v>
      </c>
    </row>
    <row r="253" spans="1:7" ht="11.25" customHeight="1" outlineLevel="1">
      <c r="A253" s="15"/>
      <c r="B253" s="15" t="s">
        <v>1430</v>
      </c>
      <c r="C253" s="16" t="s">
        <v>1431</v>
      </c>
      <c r="D253" s="17"/>
      <c r="F253">
        <f t="shared" ca="1" si="28"/>
        <v>1084</v>
      </c>
      <c r="G253" t="str">
        <f t="shared" si="29"/>
        <v>リンク指示先表示</v>
      </c>
    </row>
    <row r="254" spans="1:7" ht="11.25" customHeight="1" outlineLevel="1">
      <c r="A254" s="15"/>
      <c r="B254" s="15" t="s">
        <v>1432</v>
      </c>
      <c r="C254" s="16" t="s">
        <v>1886</v>
      </c>
      <c r="D254" s="17"/>
      <c r="F254">
        <f t="shared" ca="1" si="28"/>
        <v>1085</v>
      </c>
      <c r="G254" t="str">
        <f t="shared" si="29"/>
        <v>リンク指示先表示(シンボリックリンク解決済み絶対パス)</v>
      </c>
    </row>
    <row r="255" spans="1:7" ht="11.25" customHeight="1" outlineLevel="1">
      <c r="A255" s="15"/>
      <c r="B255" s="15" t="s">
        <v>1433</v>
      </c>
      <c r="C255" s="16" t="s">
        <v>1434</v>
      </c>
      <c r="D255" s="17"/>
      <c r="F255">
        <f t="shared" ref="F255:F290" ca="1" si="36">IF(G255="",OFFSET(F255,-1,0),OFFSET(F255,-1,0)+1)</f>
        <v>1086</v>
      </c>
      <c r="G255" t="str">
        <f t="shared" ref="G255:G290" si="37">IF(B255="","",B255)</f>
        <v>リンクファイル削除1</v>
      </c>
    </row>
    <row r="256" spans="1:7" ht="11.25" customHeight="1" outlineLevel="1">
      <c r="A256" s="15"/>
      <c r="B256" s="15" t="s">
        <v>1435</v>
      </c>
      <c r="C256" s="16" t="s">
        <v>1436</v>
      </c>
      <c r="D256" s="17" t="s">
        <v>1437</v>
      </c>
      <c r="F256">
        <f t="shared" ca="1" si="36"/>
        <v>1087</v>
      </c>
      <c r="G256" t="str">
        <f t="shared" si="37"/>
        <v>リンクファイル削除2</v>
      </c>
    </row>
    <row r="257" spans="1:7" ht="11.25" customHeight="1" outlineLevel="1">
      <c r="A257" s="15"/>
      <c r="B257" s="15" t="s">
        <v>1438</v>
      </c>
      <c r="C257" s="16" t="s">
        <v>1439</v>
      </c>
      <c r="D257" s="17"/>
      <c r="F257">
        <f t="shared" ca="1" si="36"/>
        <v>1088</v>
      </c>
      <c r="G257" t="str">
        <f t="shared" si="37"/>
        <v>データを印刷できる形式に変換</v>
      </c>
    </row>
    <row r="258" spans="1:7" ht="11.25" customHeight="1" outlineLevel="1">
      <c r="A258" s="15"/>
      <c r="B258" s="15" t="s">
        <v>1438</v>
      </c>
      <c r="C258" s="16" t="s">
        <v>1440</v>
      </c>
      <c r="D258" s="17"/>
      <c r="F258">
        <f t="shared" ca="1" si="36"/>
        <v>1089</v>
      </c>
      <c r="G258" t="str">
        <f t="shared" si="37"/>
        <v>データを印刷できる形式に変換</v>
      </c>
    </row>
    <row r="259" spans="1:7" ht="11.25" customHeight="1" outlineLevel="1">
      <c r="A259" s="15"/>
      <c r="B259" s="15" t="s">
        <v>1438</v>
      </c>
      <c r="C259" s="16" t="s">
        <v>1441</v>
      </c>
      <c r="D259" s="25" t="s">
        <v>1484</v>
      </c>
      <c r="F259">
        <f t="shared" ca="1" si="36"/>
        <v>1090</v>
      </c>
      <c r="G259" t="str">
        <f t="shared" si="37"/>
        <v>データを印刷できる形式に変換</v>
      </c>
    </row>
    <row r="260" spans="1:7" ht="11.25" customHeight="1" outlineLevel="1">
      <c r="A260" s="15"/>
      <c r="B260" s="15" t="s">
        <v>1442</v>
      </c>
      <c r="C260" s="16" t="s">
        <v>1443</v>
      </c>
      <c r="D260" s="17"/>
      <c r="F260">
        <f t="shared" ca="1" si="36"/>
        <v>1091</v>
      </c>
      <c r="G260" t="str">
        <f t="shared" si="37"/>
        <v>テキストファイル 折り返し</v>
      </c>
    </row>
    <row r="261" spans="1:7" ht="11.25" customHeight="1" outlineLevel="1">
      <c r="A261" s="15"/>
      <c r="B261" s="15" t="s">
        <v>1444</v>
      </c>
      <c r="C261" s="16" t="s">
        <v>1445</v>
      </c>
      <c r="D261" s="17"/>
      <c r="F261">
        <f t="shared" ca="1" si="36"/>
        <v>1092</v>
      </c>
      <c r="G261" t="str">
        <f t="shared" si="37"/>
        <v>テキストファイル 折り返し(強制)</v>
      </c>
    </row>
    <row r="262" spans="1:7" ht="11.25" customHeight="1" outlineLevel="1">
      <c r="A262" s="15"/>
      <c r="B262" s="15" t="s">
        <v>1446</v>
      </c>
      <c r="C262" s="16" t="s">
        <v>1447</v>
      </c>
      <c r="D262" s="17"/>
      <c r="F262">
        <f t="shared" ca="1" si="36"/>
        <v>1093</v>
      </c>
      <c r="G262" t="str">
        <f t="shared" si="37"/>
        <v>テキストファイル ヘッダフッタ付与</v>
      </c>
    </row>
    <row r="263" spans="1:7" ht="11.25" customHeight="1" outlineLevel="1">
      <c r="A263" s="15"/>
      <c r="B263" s="15" t="s">
        <v>1448</v>
      </c>
      <c r="C263" s="16" t="s">
        <v>1394</v>
      </c>
      <c r="D263" s="17"/>
      <c r="F263">
        <f t="shared" ca="1" si="36"/>
        <v>1094</v>
      </c>
      <c r="G263" t="str">
        <f t="shared" si="37"/>
        <v>タイムスタンプ更新(現在時刻)</v>
      </c>
    </row>
    <row r="264" spans="1:7" ht="11.25" customHeight="1" outlineLevel="1">
      <c r="A264" s="15"/>
      <c r="B264" s="15" t="s">
        <v>1449</v>
      </c>
      <c r="C264" s="16" t="s">
        <v>1450</v>
      </c>
      <c r="D264" s="17"/>
      <c r="F264">
        <f t="shared" ca="1" si="36"/>
        <v>1095</v>
      </c>
      <c r="G264" t="str">
        <f t="shared" si="37"/>
        <v>タイムスタンプ更新(指定時刻)</v>
      </c>
    </row>
    <row r="265" spans="1:7" ht="11.25" customHeight="1" outlineLevel="1">
      <c r="A265" s="15"/>
      <c r="B265" s="15" t="s">
        <v>1451</v>
      </c>
      <c r="C265" s="16" t="s">
        <v>1452</v>
      </c>
      <c r="D265" s="17"/>
      <c r="F265">
        <f t="shared" ca="1" si="36"/>
        <v>1096</v>
      </c>
      <c r="G265" t="str">
        <f t="shared" si="37"/>
        <v>タブ→空白変換(8文字)</v>
      </c>
    </row>
    <row r="266" spans="1:7" ht="11.25" customHeight="1" outlineLevel="1">
      <c r="A266" s="15"/>
      <c r="B266" s="15" t="s">
        <v>1453</v>
      </c>
      <c r="C266" s="16" t="s">
        <v>1454</v>
      </c>
      <c r="D266" s="17"/>
      <c r="F266">
        <f t="shared" ca="1" si="36"/>
        <v>1097</v>
      </c>
      <c r="G266" t="str">
        <f t="shared" si="37"/>
        <v>空白→タブ変換(8文字)</v>
      </c>
    </row>
    <row r="267" spans="1:7" ht="11.25" customHeight="1" outlineLevel="1">
      <c r="A267" s="15"/>
      <c r="B267" s="15" t="s">
        <v>1455</v>
      </c>
      <c r="C267" s="16" t="s">
        <v>1877</v>
      </c>
      <c r="D267" s="17"/>
      <c r="F267">
        <f t="shared" ca="1" si="36"/>
        <v>1098</v>
      </c>
      <c r="G267" t="str">
        <f t="shared" si="37"/>
        <v>ファイルパーミッション変更</v>
      </c>
    </row>
    <row r="268" spans="1:7" ht="11.25" customHeight="1" outlineLevel="1">
      <c r="A268" s="15"/>
      <c r="B268" s="15" t="s">
        <v>1455</v>
      </c>
      <c r="C268" s="16" t="s">
        <v>1456</v>
      </c>
      <c r="D268" s="17" t="s">
        <v>1457</v>
      </c>
      <c r="F268">
        <f t="shared" ca="1" si="36"/>
        <v>1099</v>
      </c>
      <c r="G268" t="str">
        <f t="shared" si="37"/>
        <v>ファイルパーミッション変更</v>
      </c>
    </row>
    <row r="269" spans="1:7" ht="11.25" customHeight="1" outlineLevel="1">
      <c r="A269" s="15"/>
      <c r="B269" s="15" t="s">
        <v>1458</v>
      </c>
      <c r="C269" s="16" t="s">
        <v>1459</v>
      </c>
      <c r="D269" s="17"/>
      <c r="F269">
        <f t="shared" ca="1" si="36"/>
        <v>1100</v>
      </c>
      <c r="G269" t="str">
        <f t="shared" si="37"/>
        <v>ファイルパーミッション変更(再帰的)</v>
      </c>
    </row>
    <row r="270" spans="1:7" ht="11.25" customHeight="1" outlineLevel="1">
      <c r="A270" s="15"/>
      <c r="B270" s="15" t="s">
        <v>1986</v>
      </c>
      <c r="C270" s="16" t="s">
        <v>1987</v>
      </c>
      <c r="D270" s="17"/>
      <c r="F270">
        <f t="shared" ca="1" si="36"/>
        <v>1101</v>
      </c>
      <c r="G270" t="str">
        <f t="shared" si="37"/>
        <v>所有者変更(change owner)</v>
      </c>
    </row>
    <row r="271" spans="1:7" ht="11.25" customHeight="1" outlineLevel="1">
      <c r="A271" s="15"/>
      <c r="B271" s="15" t="s">
        <v>2020</v>
      </c>
      <c r="C271" s="16" t="s">
        <v>1460</v>
      </c>
      <c r="D271" s="17"/>
      <c r="F271">
        <f t="shared" ca="1" si="36"/>
        <v>1102</v>
      </c>
      <c r="G271" t="str">
        <f t="shared" si="37"/>
        <v>一時的空ファイル/ディレクトリ作成</v>
      </c>
    </row>
    <row r="272" spans="1:7" ht="11.25" customHeight="1" outlineLevel="1">
      <c r="A272" s="15"/>
      <c r="B272" s="15" t="s">
        <v>1489</v>
      </c>
      <c r="C272" s="16" t="s">
        <v>1461</v>
      </c>
      <c r="D272" s="17" t="s">
        <v>1485</v>
      </c>
      <c r="F272">
        <f t="shared" ca="1" si="36"/>
        <v>1103</v>
      </c>
      <c r="G272" t="str">
        <f t="shared" si="37"/>
        <v>圧縮(tar)</v>
      </c>
    </row>
    <row r="273" spans="1:7" ht="11.25" customHeight="1" outlineLevel="1">
      <c r="A273" s="15"/>
      <c r="B273" s="15" t="s">
        <v>1490</v>
      </c>
      <c r="C273" s="16" t="s">
        <v>1462</v>
      </c>
      <c r="D273" s="17" t="s">
        <v>1486</v>
      </c>
      <c r="F273">
        <f t="shared" ca="1" si="36"/>
        <v>1104</v>
      </c>
      <c r="G273" t="str">
        <f t="shared" si="37"/>
        <v>展開(tar)</v>
      </c>
    </row>
    <row r="274" spans="1:7" ht="11.25" customHeight="1" outlineLevel="1">
      <c r="A274" s="15"/>
      <c r="B274" s="15" t="s">
        <v>1487</v>
      </c>
      <c r="C274" s="16" t="s">
        <v>1463</v>
      </c>
      <c r="D274" s="17"/>
      <c r="F274">
        <f t="shared" ca="1" si="36"/>
        <v>1105</v>
      </c>
      <c r="G274" t="str">
        <f t="shared" si="37"/>
        <v>圧縮(gzip)</v>
      </c>
    </row>
    <row r="275" spans="1:7" ht="11.25" customHeight="1" outlineLevel="1">
      <c r="A275" s="15"/>
      <c r="B275" s="15" t="s">
        <v>1488</v>
      </c>
      <c r="C275" s="16" t="s">
        <v>1464</v>
      </c>
      <c r="D275" s="17"/>
      <c r="F275">
        <f t="shared" ca="1" si="36"/>
        <v>1106</v>
      </c>
      <c r="G275" t="str">
        <f t="shared" si="37"/>
        <v>展開(gzip)</v>
      </c>
    </row>
    <row r="276" spans="1:7" ht="11.25" customHeight="1" outlineLevel="1">
      <c r="A276" s="15"/>
      <c r="B276" s="15" t="s">
        <v>3367</v>
      </c>
      <c r="C276" s="16" t="s">
        <v>3370</v>
      </c>
      <c r="D276" s="17"/>
      <c r="F276">
        <f t="shared" ca="1" si="36"/>
        <v>1107</v>
      </c>
      <c r="G276" t="str">
        <f t="shared" si="37"/>
        <v>圧縮(zip)</v>
      </c>
    </row>
    <row r="277" spans="1:7" ht="11.25" customHeight="1" outlineLevel="1">
      <c r="A277" s="15"/>
      <c r="B277" s="15" t="s">
        <v>3368</v>
      </c>
      <c r="C277" s="16" t="s">
        <v>3369</v>
      </c>
      <c r="D277" s="17"/>
      <c r="F277">
        <f t="shared" ref="F277" ca="1" si="38">IF(G277="",OFFSET(F277,-1,0),OFFSET(F277,-1,0)+1)</f>
        <v>1108</v>
      </c>
      <c r="G277" t="str">
        <f t="shared" ref="G277" si="39">IF(B277="","",B277)</f>
        <v>展開(zip)</v>
      </c>
    </row>
    <row r="278" spans="1:7" ht="11.25" customHeight="1" outlineLevel="1">
      <c r="A278" s="15"/>
      <c r="B278" s="15" t="s">
        <v>1465</v>
      </c>
      <c r="C278" s="16" t="s">
        <v>1466</v>
      </c>
      <c r="D278" s="17" t="s">
        <v>1467</v>
      </c>
      <c r="F278">
        <f t="shared" ca="1" si="36"/>
        <v>1109</v>
      </c>
      <c r="G278" t="str">
        <f t="shared" si="37"/>
        <v>ファイルサイズ増減</v>
      </c>
    </row>
    <row r="279" spans="1:7" ht="11.25" customHeight="1" outlineLevel="1">
      <c r="A279" s="15"/>
      <c r="B279" s="15" t="s">
        <v>1468</v>
      </c>
      <c r="C279" s="16" t="s">
        <v>1469</v>
      </c>
      <c r="D279" s="17"/>
      <c r="F279">
        <f t="shared" ca="1" si="36"/>
        <v>1110</v>
      </c>
      <c r="G279" t="str">
        <f t="shared" si="37"/>
        <v>差分ファイル作成</v>
      </c>
    </row>
    <row r="280" spans="1:7" ht="11.25" customHeight="1" outlineLevel="1">
      <c r="A280" s="15"/>
      <c r="B280" s="15" t="s">
        <v>1470</v>
      </c>
      <c r="C280" s="16" t="s">
        <v>1471</v>
      </c>
      <c r="D280" s="19" t="s">
        <v>1492</v>
      </c>
      <c r="F280">
        <f t="shared" ca="1" si="36"/>
        <v>1111</v>
      </c>
      <c r="G280" t="str">
        <f t="shared" si="37"/>
        <v>差分適用(単一ファイル指定)</v>
      </c>
    </row>
    <row r="281" spans="1:7" ht="11.25" customHeight="1" outlineLevel="1">
      <c r="A281" s="15"/>
      <c r="B281" s="15" t="s">
        <v>1472</v>
      </c>
      <c r="C281" s="16" t="s">
        <v>1473</v>
      </c>
      <c r="D281" s="17" t="s">
        <v>2331</v>
      </c>
      <c r="F281">
        <f t="shared" ca="1" si="36"/>
        <v>1112</v>
      </c>
      <c r="G281" t="str">
        <f t="shared" si="37"/>
        <v>差分適用(フォルダ配下全て)</v>
      </c>
    </row>
    <row r="282" spans="1:7" ht="11.25" customHeight="1" outlineLevel="1">
      <c r="A282" s="15"/>
      <c r="B282" s="15" t="s">
        <v>1474</v>
      </c>
      <c r="C282" s="16" t="s">
        <v>1475</v>
      </c>
      <c r="D282" s="19" t="s">
        <v>1491</v>
      </c>
      <c r="F282">
        <f t="shared" ca="1" si="36"/>
        <v>1113</v>
      </c>
      <c r="G282" t="str">
        <f t="shared" si="37"/>
        <v>差分巻き戻し</v>
      </c>
    </row>
    <row r="283" spans="1:7" ht="11.25" customHeight="1" outlineLevel="1">
      <c r="A283" s="15"/>
      <c r="B283" s="15" t="s">
        <v>1476</v>
      </c>
      <c r="C283" s="16" t="s">
        <v>1477</v>
      </c>
      <c r="D283" s="17"/>
      <c r="F283">
        <f t="shared" ca="1" si="36"/>
        <v>1114</v>
      </c>
      <c r="G283" t="str">
        <f t="shared" si="37"/>
        <v>インデント調整</v>
      </c>
    </row>
    <row r="284" spans="1:7" ht="11.25" customHeight="1" outlineLevel="1">
      <c r="A284" s="15"/>
      <c r="B284" s="15" t="s">
        <v>1493</v>
      </c>
      <c r="C284" s="16" t="s">
        <v>1494</v>
      </c>
      <c r="D284" s="17"/>
      <c r="F284">
        <f t="shared" ca="1" si="36"/>
        <v>1115</v>
      </c>
      <c r="G284" t="str">
        <f t="shared" si="37"/>
        <v>現在ディレクトリパス表示1</v>
      </c>
    </row>
    <row r="285" spans="1:7" ht="11.25" customHeight="1" outlineLevel="1">
      <c r="A285" s="15"/>
      <c r="B285" s="15" t="s">
        <v>1495</v>
      </c>
      <c r="C285" s="16" t="s">
        <v>1496</v>
      </c>
      <c r="D285" s="17"/>
      <c r="F285">
        <f t="shared" ca="1" si="36"/>
        <v>1116</v>
      </c>
      <c r="G285" t="str">
        <f t="shared" si="37"/>
        <v>現在ディレクトリパス表示2</v>
      </c>
    </row>
    <row r="286" spans="1:7" ht="11.25" customHeight="1" outlineLevel="1">
      <c r="A286" s="15"/>
      <c r="B286" s="15" t="s">
        <v>1497</v>
      </c>
      <c r="C286" s="16" t="s">
        <v>1498</v>
      </c>
      <c r="D286" s="17"/>
      <c r="F286">
        <f t="shared" ca="1" si="36"/>
        <v>1117</v>
      </c>
      <c r="G286" t="str">
        <f t="shared" si="37"/>
        <v>現在ディレクトリパス表示(実パス表示)</v>
      </c>
    </row>
    <row r="287" spans="1:7" ht="11.25" customHeight="1" outlineLevel="1">
      <c r="A287" s="15"/>
      <c r="B287" s="15" t="s">
        <v>1499</v>
      </c>
      <c r="C287" s="16" t="s">
        <v>1500</v>
      </c>
      <c r="D287" s="17"/>
      <c r="F287">
        <f t="shared" ca="1" si="36"/>
        <v>1118</v>
      </c>
      <c r="G287" t="str">
        <f t="shared" si="37"/>
        <v>現在ディレクトリパス表示(シンボリックリンクパス経由)(デフォルト)</v>
      </c>
    </row>
    <row r="288" spans="1:7" ht="11.25" customHeight="1" outlineLevel="1">
      <c r="A288" s="15"/>
      <c r="B288" s="15" t="s">
        <v>3184</v>
      </c>
      <c r="C288" s="16" t="s">
        <v>3185</v>
      </c>
      <c r="D288" s="17" t="s">
        <v>3186</v>
      </c>
      <c r="F288">
        <f t="shared" ref="F288" ca="1" si="40">IF(G288="",OFFSET(F288,-1,0),OFFSET(F288,-1,0)+1)</f>
        <v>1119</v>
      </c>
      <c r="G288" t="str">
        <f t="shared" ref="G288" si="41">IF(B288="","",B288)</f>
        <v>カレントディレクトリ名取得</v>
      </c>
    </row>
    <row r="289" spans="1:7" ht="11.25" customHeight="1" outlineLevel="1">
      <c r="A289" s="15"/>
      <c r="B289" s="15" t="s">
        <v>2363</v>
      </c>
      <c r="C289" s="16" t="s">
        <v>2366</v>
      </c>
      <c r="D289" s="17" t="s">
        <v>2370</v>
      </c>
      <c r="F289">
        <f t="shared" ca="1" si="36"/>
        <v>1120</v>
      </c>
      <c r="G289" t="str">
        <f t="shared" si="37"/>
        <v>スクリプトファイル名取得</v>
      </c>
    </row>
    <row r="290" spans="1:7" ht="11.25" customHeight="1" outlineLevel="1">
      <c r="A290" s="15"/>
      <c r="B290" s="15" t="s">
        <v>2995</v>
      </c>
      <c r="C290" s="16" t="s">
        <v>2996</v>
      </c>
      <c r="D290" s="17" t="s">
        <v>2370</v>
      </c>
      <c r="F290">
        <f t="shared" ca="1" si="36"/>
        <v>1121</v>
      </c>
      <c r="G290" t="str">
        <f t="shared" si="37"/>
        <v>スクリプトファイル名取得（source実行時でも使える）</v>
      </c>
    </row>
    <row r="291" spans="1:7" ht="11.25" customHeight="1" outlineLevel="1">
      <c r="A291" s="15"/>
      <c r="B291" s="15" t="s">
        <v>2362</v>
      </c>
      <c r="C291" s="16" t="s">
        <v>2367</v>
      </c>
      <c r="D291" s="17" t="s">
        <v>2869</v>
      </c>
      <c r="F291">
        <f t="shared" ref="F291:F350" ca="1" si="42">IF(G291="",OFFSET(F291,-1,0),OFFSET(F291,-1,0)+1)</f>
        <v>1122</v>
      </c>
      <c r="G291" t="str">
        <f t="shared" ref="G291:G350" si="43">IF(B291="","",B291)</f>
        <v>スクリプトファイルパス取得</v>
      </c>
    </row>
    <row r="292" spans="1:7" ht="11.25" customHeight="1" outlineLevel="1">
      <c r="A292" s="15"/>
      <c r="B292" s="15" t="s">
        <v>2372</v>
      </c>
      <c r="C292" s="16" t="s">
        <v>2373</v>
      </c>
      <c r="D292" s="17" t="s">
        <v>2374</v>
      </c>
      <c r="F292">
        <f ca="1">IF(G292="",OFFSET(F292,-1,0),OFFSET(F292,-1,0)+1)</f>
        <v>1123</v>
      </c>
      <c r="G292" t="str">
        <f>IF(B292="","",B292)</f>
        <v>スクリプトファイル格納先パス取得</v>
      </c>
    </row>
    <row r="293" spans="1:7" ht="11.25" customHeight="1" outlineLevel="1">
      <c r="A293" s="15"/>
      <c r="B293" s="15" t="s">
        <v>2994</v>
      </c>
      <c r="C293" s="16" t="s">
        <v>2993</v>
      </c>
      <c r="D293" s="17" t="s">
        <v>2374</v>
      </c>
      <c r="F293">
        <f ca="1">IF(G293="",OFFSET(F293,-1,0),OFFSET(F293,-1,0)+1)</f>
        <v>1124</v>
      </c>
      <c r="G293" t="str">
        <f>IF(B293="","",B293)</f>
        <v>スクリプトファイル格納先パス取得（source実行時でも使える）</v>
      </c>
    </row>
    <row r="294" spans="1:7" ht="11.25" customHeight="1" outlineLevel="1">
      <c r="A294" s="15"/>
      <c r="B294" s="15" t="s">
        <v>2364</v>
      </c>
      <c r="C294" s="16" t="s">
        <v>2368</v>
      </c>
      <c r="D294" s="17" t="s">
        <v>1352</v>
      </c>
      <c r="F294">
        <f ca="1">IF(G294="",OFFSET(F294,-1,0),OFFSET(F294,-1,0)+1)</f>
        <v>1125</v>
      </c>
      <c r="G294" t="str">
        <f>IF(B294="","",B294)</f>
        <v>スクリプトファイルベース名取得</v>
      </c>
    </row>
    <row r="295" spans="1:7" ht="11.25" customHeight="1" outlineLevel="1">
      <c r="A295" s="15"/>
      <c r="B295" s="15" t="s">
        <v>2365</v>
      </c>
      <c r="C295" s="16" t="s">
        <v>2369</v>
      </c>
      <c r="D295" s="17" t="s">
        <v>2371</v>
      </c>
      <c r="F295">
        <f ca="1">IF(G295="",OFFSET(F295,-1,0),OFFSET(F295,-1,0)+1)</f>
        <v>1126</v>
      </c>
      <c r="G295" t="str">
        <f>IF(B295="","",B295)</f>
        <v>スクリプトファイル拡張子取得</v>
      </c>
    </row>
    <row r="296" spans="1:7" ht="11.25" customHeight="1" outlineLevel="1">
      <c r="A296" s="15"/>
      <c r="B296" s="15" t="s">
        <v>3182</v>
      </c>
      <c r="C296" s="16" t="s">
        <v>2844</v>
      </c>
      <c r="D296" s="17" t="s">
        <v>1502</v>
      </c>
      <c r="F296">
        <f t="shared" ca="1" si="42"/>
        <v>1127</v>
      </c>
      <c r="G296" t="str">
        <f t="shared" si="43"/>
        <v>ファイル一覧出力（カレントディレクトリ内のみ）</v>
      </c>
    </row>
    <row r="297" spans="1:7" ht="11.25" customHeight="1" outlineLevel="1">
      <c r="A297" s="15"/>
      <c r="B297" s="15" t="s">
        <v>3183</v>
      </c>
      <c r="C297" s="16" t="s">
        <v>1623</v>
      </c>
      <c r="D297" s="17" t="s">
        <v>1502</v>
      </c>
      <c r="F297">
        <f t="shared" ref="F297" ca="1" si="44">IF(G297="",OFFSET(F297,-1,0),OFFSET(F297,-1,0)+1)</f>
        <v>1128</v>
      </c>
      <c r="G297" t="str">
        <f t="shared" ref="G297" si="45">IF(B297="","",B297)</f>
        <v>ディレクトリ一覧出力（カレントディレクトリ内のみ）</v>
      </c>
    </row>
    <row r="298" spans="1:7" ht="11.25" customHeight="1" outlineLevel="1">
      <c r="A298" s="15"/>
      <c r="B298" s="15" t="s">
        <v>1503</v>
      </c>
      <c r="C298" s="16" t="s">
        <v>1504</v>
      </c>
      <c r="D298" s="25" t="s">
        <v>1636</v>
      </c>
      <c r="F298">
        <f t="shared" ca="1" si="42"/>
        <v>1129</v>
      </c>
      <c r="G298" t="str">
        <f t="shared" si="43"/>
        <v>ファイル/ディレクトリ一覧表示</v>
      </c>
    </row>
    <row r="299" spans="1:7" ht="11.25" customHeight="1" outlineLevel="1">
      <c r="A299" s="15"/>
      <c r="B299" s="15" t="s">
        <v>1505</v>
      </c>
      <c r="C299" s="16" t="s">
        <v>1506</v>
      </c>
      <c r="D299" s="17"/>
      <c r="F299">
        <f t="shared" ca="1" si="42"/>
        <v>1130</v>
      </c>
      <c r="G299" t="str">
        <f t="shared" si="43"/>
        <v>ファイル/ディレクトリ一覧表示(隠しファイル/詳細情報含む)</v>
      </c>
    </row>
    <row r="300" spans="1:7" ht="11.25" customHeight="1" outlineLevel="1">
      <c r="A300" s="15"/>
      <c r="B300" s="15" t="s">
        <v>1507</v>
      </c>
      <c r="C300" s="16" t="s">
        <v>1508</v>
      </c>
      <c r="D300" s="17"/>
      <c r="F300">
        <f t="shared" ca="1" si="42"/>
        <v>1131</v>
      </c>
      <c r="G300" t="str">
        <f t="shared" si="43"/>
        <v>ディレクトリ一覧出力1★</v>
      </c>
    </row>
    <row r="301" spans="1:7" ht="11.25" customHeight="1" outlineLevel="1">
      <c r="A301" s="15"/>
      <c r="B301" s="15" t="s">
        <v>1509</v>
      </c>
      <c r="C301" s="16" t="s">
        <v>1510</v>
      </c>
      <c r="D301" s="17"/>
      <c r="F301">
        <f t="shared" ca="1" si="42"/>
        <v>1132</v>
      </c>
      <c r="G301" t="str">
        <f t="shared" si="43"/>
        <v>ディレクトリ一覧出力2★</v>
      </c>
    </row>
    <row r="302" spans="1:7" ht="11.25" customHeight="1" outlineLevel="1">
      <c r="A302" s="15"/>
      <c r="B302" s="15" t="s">
        <v>1507</v>
      </c>
      <c r="C302" s="16" t="s">
        <v>1511</v>
      </c>
      <c r="D302" s="17"/>
      <c r="F302">
        <f t="shared" ca="1" si="42"/>
        <v>1133</v>
      </c>
      <c r="G302" t="str">
        <f t="shared" si="43"/>
        <v>ディレクトリ一覧出力1★</v>
      </c>
    </row>
    <row r="303" spans="1:7" ht="11.25" customHeight="1" outlineLevel="1">
      <c r="A303" s="15"/>
      <c r="B303" s="15" t="s">
        <v>1509</v>
      </c>
      <c r="C303" s="16" t="s">
        <v>1512</v>
      </c>
      <c r="D303" s="17"/>
      <c r="F303">
        <f t="shared" ca="1" si="42"/>
        <v>1134</v>
      </c>
      <c r="G303" t="str">
        <f t="shared" si="43"/>
        <v>ディレクトリ一覧出力2★</v>
      </c>
    </row>
    <row r="304" spans="1:7" ht="11.25" customHeight="1" outlineLevel="1">
      <c r="A304" s="15"/>
      <c r="B304" s="15" t="s">
        <v>1513</v>
      </c>
      <c r="C304" s="16" t="s">
        <v>1623</v>
      </c>
      <c r="D304" s="17" t="s">
        <v>1624</v>
      </c>
      <c r="F304">
        <f t="shared" ca="1" si="42"/>
        <v>1135</v>
      </c>
      <c r="G304" t="str">
        <f t="shared" si="43"/>
        <v>ディレクトリ一覧出力4</v>
      </c>
    </row>
    <row r="305" spans="1:7" ht="11.25" customHeight="1" outlineLevel="1">
      <c r="A305" s="15"/>
      <c r="B305" s="15" t="s">
        <v>1514</v>
      </c>
      <c r="C305" s="16" t="s">
        <v>1887</v>
      </c>
      <c r="D305" s="17"/>
      <c r="F305">
        <f t="shared" ca="1" si="42"/>
        <v>1136</v>
      </c>
      <c r="G305" t="str">
        <f t="shared" si="43"/>
        <v>ファイル中身表示</v>
      </c>
    </row>
    <row r="306" spans="1:7" ht="11.25" customHeight="1" outlineLevel="1">
      <c r="A306" s="15"/>
      <c r="B306" s="15" t="s">
        <v>1515</v>
      </c>
      <c r="C306" s="16" t="s">
        <v>1888</v>
      </c>
      <c r="D306" s="17"/>
      <c r="F306">
        <f t="shared" ca="1" si="42"/>
        <v>1137</v>
      </c>
      <c r="G306" t="str">
        <f t="shared" si="43"/>
        <v>ファイル中身表示(反転)</v>
      </c>
    </row>
    <row r="307" spans="1:7" ht="11.25" customHeight="1" outlineLevel="1">
      <c r="A307" s="15"/>
      <c r="B307" s="15" t="s">
        <v>1516</v>
      </c>
      <c r="C307" s="16" t="s">
        <v>1889</v>
      </c>
      <c r="D307" s="17"/>
      <c r="F307">
        <f t="shared" ca="1" si="42"/>
        <v>1138</v>
      </c>
      <c r="G307" t="str">
        <f t="shared" si="43"/>
        <v>ファイル中身表示(行番号付)(number line)</v>
      </c>
    </row>
    <row r="308" spans="1:7" ht="11.25" customHeight="1" outlineLevel="1">
      <c r="A308" s="15"/>
      <c r="B308" s="15" t="s">
        <v>1517</v>
      </c>
      <c r="C308" s="16" t="s">
        <v>1890</v>
      </c>
      <c r="D308" s="17"/>
      <c r="F308">
        <f t="shared" ca="1" si="42"/>
        <v>1139</v>
      </c>
      <c r="G308" t="str">
        <f t="shared" si="43"/>
        <v>ファイル中身表示(バイナリ表示)</v>
      </c>
    </row>
    <row r="309" spans="1:7" ht="11.25" customHeight="1" outlineLevel="1">
      <c r="A309" s="15"/>
      <c r="B309" s="15" t="s">
        <v>1518</v>
      </c>
      <c r="C309" s="16" t="s">
        <v>1519</v>
      </c>
      <c r="D309" s="17"/>
      <c r="F309">
        <f t="shared" ca="1" si="42"/>
        <v>1140</v>
      </c>
      <c r="G309" t="str">
        <f t="shared" si="43"/>
        <v>ファイル中身表示(1画面ずつ)</v>
      </c>
    </row>
    <row r="310" spans="1:7" ht="11.25" customHeight="1" outlineLevel="1">
      <c r="A310" s="15"/>
      <c r="B310" s="15" t="s">
        <v>1518</v>
      </c>
      <c r="C310" s="16" t="s">
        <v>1520</v>
      </c>
      <c r="D310" s="17" t="s">
        <v>1521</v>
      </c>
      <c r="F310">
        <f t="shared" ca="1" si="42"/>
        <v>1141</v>
      </c>
      <c r="G310" t="str">
        <f t="shared" si="43"/>
        <v>ファイル中身表示(1画面ずつ)</v>
      </c>
    </row>
    <row r="311" spans="1:7" ht="11.25" customHeight="1" outlineLevel="1">
      <c r="A311" s="15"/>
      <c r="B311" s="15" t="s">
        <v>1522</v>
      </c>
      <c r="C311" s="16" t="s">
        <v>1891</v>
      </c>
      <c r="D311" s="17"/>
      <c r="F311">
        <f t="shared" ca="1" si="42"/>
        <v>1142</v>
      </c>
      <c r="G311" t="str">
        <f t="shared" si="43"/>
        <v>ファイル中身表示(一部先頭)</v>
      </c>
    </row>
    <row r="312" spans="1:7" ht="11.25" customHeight="1" outlineLevel="1">
      <c r="A312" s="15"/>
      <c r="B312" s="15" t="s">
        <v>1523</v>
      </c>
      <c r="C312" s="16" t="s">
        <v>1892</v>
      </c>
      <c r="D312" s="17"/>
      <c r="F312">
        <f t="shared" ca="1" si="42"/>
        <v>1143</v>
      </c>
      <c r="G312" t="str">
        <f t="shared" si="43"/>
        <v>ファイル中身表示(一部末尾)</v>
      </c>
    </row>
    <row r="313" spans="1:7" ht="11.25" customHeight="1" outlineLevel="1">
      <c r="A313" s="15"/>
      <c r="B313" s="15" t="s">
        <v>1524</v>
      </c>
      <c r="C313" s="16" t="s">
        <v>1893</v>
      </c>
      <c r="D313" s="17" t="s">
        <v>1898</v>
      </c>
      <c r="F313">
        <f t="shared" ca="1" si="42"/>
        <v>1144</v>
      </c>
      <c r="G313" t="str">
        <f t="shared" si="43"/>
        <v>ファイル中身表示(更新)</v>
      </c>
    </row>
    <row r="314" spans="1:7" ht="11.25" customHeight="1" outlineLevel="1">
      <c r="A314" s="15"/>
      <c r="B314" s="15" t="s">
        <v>1525</v>
      </c>
      <c r="C314" s="16" t="s">
        <v>1526</v>
      </c>
      <c r="D314" s="17"/>
      <c r="F314">
        <f t="shared" ca="1" si="42"/>
        <v>1145</v>
      </c>
      <c r="G314" t="str">
        <f t="shared" si="43"/>
        <v>ファイル中身表示(ソート)</v>
      </c>
    </row>
    <row r="315" spans="1:7" ht="11.25" customHeight="1" outlineLevel="1">
      <c r="A315" s="15"/>
      <c r="B315" s="15" t="s">
        <v>1527</v>
      </c>
      <c r="C315" s="16" t="s">
        <v>1528</v>
      </c>
      <c r="D315" s="17" t="s">
        <v>1529</v>
      </c>
      <c r="F315">
        <f t="shared" ca="1" si="42"/>
        <v>1146</v>
      </c>
      <c r="G315" t="str">
        <f t="shared" si="43"/>
        <v>ファイル中身表示(ソート)例1</v>
      </c>
    </row>
    <row r="316" spans="1:7" ht="11.25" customHeight="1" outlineLevel="1">
      <c r="A316" s="15"/>
      <c r="B316" s="15" t="s">
        <v>1530</v>
      </c>
      <c r="C316" s="16" t="s">
        <v>1531</v>
      </c>
      <c r="D316" s="17" t="s">
        <v>1532</v>
      </c>
      <c r="F316">
        <f t="shared" ca="1" si="42"/>
        <v>1147</v>
      </c>
      <c r="G316" t="str">
        <f t="shared" si="43"/>
        <v>ファイル中身表示(ソート)例2</v>
      </c>
    </row>
    <row r="317" spans="1:7" ht="11.25" customHeight="1" outlineLevel="1">
      <c r="A317" s="15"/>
      <c r="B317" s="15" t="s">
        <v>1533</v>
      </c>
      <c r="C317" s="16" t="s">
        <v>1534</v>
      </c>
      <c r="D317" s="17" t="s">
        <v>1535</v>
      </c>
      <c r="F317">
        <f t="shared" ca="1" si="42"/>
        <v>1148</v>
      </c>
      <c r="G317" t="str">
        <f t="shared" si="43"/>
        <v>ファイル中身表示(ソート)例3</v>
      </c>
    </row>
    <row r="318" spans="1:7" ht="11.25" customHeight="1" outlineLevel="1">
      <c r="A318" s="15"/>
      <c r="B318" s="15" t="s">
        <v>1536</v>
      </c>
      <c r="C318" s="16" t="s">
        <v>1537</v>
      </c>
      <c r="D318" s="17" t="s">
        <v>1538</v>
      </c>
      <c r="F318">
        <f t="shared" ca="1" si="42"/>
        <v>1149</v>
      </c>
      <c r="G318" t="str">
        <f t="shared" si="43"/>
        <v>ファイル中身表示(ソート)例4</v>
      </c>
    </row>
    <row r="319" spans="1:7" ht="11.25" customHeight="1" outlineLevel="1">
      <c r="A319" s="15"/>
      <c r="B319" s="15" t="s">
        <v>1539</v>
      </c>
      <c r="C319" s="16" t="s">
        <v>1540</v>
      </c>
      <c r="D319" s="17" t="s">
        <v>1541</v>
      </c>
      <c r="F319">
        <f t="shared" ca="1" si="42"/>
        <v>1150</v>
      </c>
      <c r="G319" t="str">
        <f t="shared" si="43"/>
        <v>ファイル中身表示(ソート)例5</v>
      </c>
    </row>
    <row r="320" spans="1:7" ht="11.25" customHeight="1" outlineLevel="1">
      <c r="A320" s="15"/>
      <c r="B320" s="15" t="s">
        <v>1542</v>
      </c>
      <c r="C320" s="16" t="s">
        <v>1543</v>
      </c>
      <c r="D320" s="17"/>
      <c r="F320">
        <f t="shared" ca="1" si="42"/>
        <v>1151</v>
      </c>
      <c r="G320" t="str">
        <f t="shared" si="43"/>
        <v>ファイル中身表示(シャッフル)</v>
      </c>
    </row>
    <row r="321" spans="1:7" ht="11.25" customHeight="1" outlineLevel="1">
      <c r="A321" s="15"/>
      <c r="B321" s="15" t="s">
        <v>1544</v>
      </c>
      <c r="C321" s="16" t="s">
        <v>1545</v>
      </c>
      <c r="D321" s="17"/>
      <c r="F321">
        <f t="shared" ca="1" si="42"/>
        <v>1152</v>
      </c>
      <c r="G321" t="str">
        <f t="shared" si="43"/>
        <v>ファイル中身表示(重複削除)</v>
      </c>
    </row>
    <row r="322" spans="1:7" ht="11.25" customHeight="1" outlineLevel="1">
      <c r="A322" s="15"/>
      <c r="B322" s="15" t="s">
        <v>1546</v>
      </c>
      <c r="C322" s="16" t="s">
        <v>1547</v>
      </c>
      <c r="D322" s="17"/>
      <c r="F322">
        <f t="shared" ca="1" si="42"/>
        <v>1153</v>
      </c>
      <c r="G322" t="str">
        <f t="shared" si="43"/>
        <v>ファイル中身表示(前後関係指定ソート)</v>
      </c>
    </row>
    <row r="323" spans="1:7" ht="11.25" customHeight="1" outlineLevel="1">
      <c r="A323" s="15"/>
      <c r="B323" s="15" t="s">
        <v>1548</v>
      </c>
      <c r="C323" s="16" t="s">
        <v>1625</v>
      </c>
      <c r="D323" s="17" t="s">
        <v>2386</v>
      </c>
      <c r="F323">
        <f t="shared" ca="1" si="42"/>
        <v>1154</v>
      </c>
      <c r="G323" t="str">
        <f t="shared" si="43"/>
        <v>ファイル中身表示(垂直抽出)</v>
      </c>
    </row>
    <row r="324" spans="1:7" ht="11.25" customHeight="1" outlineLevel="1">
      <c r="A324" s="15"/>
      <c r="B324" s="15" t="s">
        <v>1548</v>
      </c>
      <c r="C324" s="16" t="s">
        <v>1626</v>
      </c>
      <c r="D324" s="17" t="s">
        <v>2385</v>
      </c>
      <c r="F324">
        <f t="shared" ca="1" si="42"/>
        <v>1155</v>
      </c>
      <c r="G324" t="str">
        <f t="shared" si="43"/>
        <v>ファイル中身表示(垂直抽出)</v>
      </c>
    </row>
    <row r="325" spans="1:7" ht="11.25" customHeight="1" outlineLevel="1">
      <c r="A325" s="15"/>
      <c r="B325" s="15" t="s">
        <v>1549</v>
      </c>
      <c r="C325" s="16" t="s">
        <v>1627</v>
      </c>
      <c r="D325" s="17" t="s">
        <v>1628</v>
      </c>
      <c r="F325">
        <f t="shared" ca="1" si="42"/>
        <v>1156</v>
      </c>
      <c r="G325" t="str">
        <f t="shared" si="43"/>
        <v>ファイル中身表示(列結合)</v>
      </c>
    </row>
    <row r="326" spans="1:7" ht="11.25" customHeight="1" outlineLevel="1">
      <c r="A326" s="15"/>
      <c r="B326" s="15" t="s">
        <v>1550</v>
      </c>
      <c r="C326" s="16" t="s">
        <v>1629</v>
      </c>
      <c r="D326" s="17" t="s">
        <v>1630</v>
      </c>
      <c r="F326">
        <f t="shared" ca="1" si="42"/>
        <v>1157</v>
      </c>
      <c r="G326" t="str">
        <f t="shared" si="43"/>
        <v>ファイル中身表示(差異比較列結合)</v>
      </c>
    </row>
    <row r="327" spans="1:7" ht="11.25" customHeight="1" outlineLevel="1">
      <c r="A327" s="15"/>
      <c r="B327" s="15" t="s">
        <v>1551</v>
      </c>
      <c r="C327" s="16" t="s">
        <v>1552</v>
      </c>
      <c r="D327" s="17"/>
      <c r="F327">
        <f t="shared" ca="1" si="42"/>
        <v>1158</v>
      </c>
      <c r="G327" t="str">
        <f t="shared" si="43"/>
        <v>テキストファイル 行数 表示(word count)</v>
      </c>
    </row>
    <row r="328" spans="1:7" ht="11.25" customHeight="1" outlineLevel="1">
      <c r="A328" s="15"/>
      <c r="B328" s="15" t="s">
        <v>1553</v>
      </c>
      <c r="C328" s="16" t="s">
        <v>1554</v>
      </c>
      <c r="D328" s="17"/>
      <c r="F328">
        <f t="shared" ca="1" si="42"/>
        <v>1159</v>
      </c>
      <c r="G328" t="str">
        <f t="shared" si="43"/>
        <v>テキストファイル 単語数 表示</v>
      </c>
    </row>
    <row r="329" spans="1:7" ht="11.25" customHeight="1" outlineLevel="1">
      <c r="A329" s="15"/>
      <c r="B329" s="15" t="s">
        <v>1555</v>
      </c>
      <c r="C329" s="16" t="s">
        <v>1556</v>
      </c>
      <c r="D329" s="17"/>
      <c r="F329">
        <f t="shared" ca="1" si="42"/>
        <v>1160</v>
      </c>
      <c r="G329" t="str">
        <f t="shared" si="43"/>
        <v>テキストファイル バイト数(文字数) 表示</v>
      </c>
    </row>
    <row r="330" spans="1:7" ht="11.25" customHeight="1" outlineLevel="1">
      <c r="A330" s="15"/>
      <c r="B330" s="18" t="s">
        <v>1631</v>
      </c>
      <c r="C330" s="16" t="s">
        <v>1557</v>
      </c>
      <c r="D330" s="17"/>
      <c r="F330">
        <f t="shared" ca="1" si="42"/>
        <v>1161</v>
      </c>
      <c r="G330" t="str">
        <f t="shared" si="43"/>
        <v>ファイル比較</v>
      </c>
    </row>
    <row r="331" spans="1:7" ht="11.25" customHeight="1" outlineLevel="1">
      <c r="A331" s="15"/>
      <c r="B331" s="15" t="s">
        <v>1558</v>
      </c>
      <c r="C331" s="16" t="s">
        <v>1559</v>
      </c>
      <c r="D331" s="17"/>
      <c r="F331">
        <f t="shared" ca="1" si="42"/>
        <v>1162</v>
      </c>
      <c r="G331" t="str">
        <f t="shared" si="43"/>
        <v>ファイル比較(バイナリ比較)</v>
      </c>
    </row>
    <row r="332" spans="1:7" ht="11.25" customHeight="1" outlineLevel="1">
      <c r="A332" s="15"/>
      <c r="B332" s="15" t="s">
        <v>1560</v>
      </c>
      <c r="C332" s="16" t="s">
        <v>1561</v>
      </c>
      <c r="D332" s="17"/>
      <c r="F332">
        <f t="shared" ca="1" si="42"/>
        <v>1163</v>
      </c>
      <c r="G332" t="str">
        <f t="shared" si="43"/>
        <v>ファイル比較(テキスト比較)</v>
      </c>
    </row>
    <row r="333" spans="1:7" ht="11.25" customHeight="1" outlineLevel="1">
      <c r="A333" s="15"/>
      <c r="B333" s="15" t="s">
        <v>1562</v>
      </c>
      <c r="C333" s="16" t="s">
        <v>1563</v>
      </c>
      <c r="D333" s="17"/>
      <c r="F333">
        <f t="shared" ca="1" si="42"/>
        <v>1164</v>
      </c>
      <c r="G333" t="str">
        <f t="shared" si="43"/>
        <v>ファイル比較(左右並列表示)</v>
      </c>
    </row>
    <row r="334" spans="1:7" ht="11.25" customHeight="1" outlineLevel="1">
      <c r="A334" s="15"/>
      <c r="B334" s="18" t="s">
        <v>1632</v>
      </c>
      <c r="C334" s="16" t="s">
        <v>1564</v>
      </c>
      <c r="D334" s="17"/>
      <c r="F334">
        <f t="shared" ca="1" si="42"/>
        <v>1165</v>
      </c>
      <c r="G334" t="str">
        <f t="shared" si="43"/>
        <v>ファイル比較(3ファイル)</v>
      </c>
    </row>
    <row r="335" spans="1:7" ht="11.25" customHeight="1" outlineLevel="1">
      <c r="A335" s="15"/>
      <c r="B335" s="15" t="s">
        <v>1565</v>
      </c>
      <c r="C335" s="16" t="s">
        <v>1566</v>
      </c>
      <c r="D335" s="17"/>
      <c r="F335">
        <f t="shared" ca="1" si="42"/>
        <v>1166</v>
      </c>
      <c r="G335" t="str">
        <f t="shared" si="43"/>
        <v>ディレクトリ比較(再帰的)</v>
      </c>
    </row>
    <row r="336" spans="1:7" ht="11.25" customHeight="1" outlineLevel="1">
      <c r="A336" s="15"/>
      <c r="B336" s="15" t="s">
        <v>1567</v>
      </c>
      <c r="C336" s="16" t="s">
        <v>1568</v>
      </c>
      <c r="D336" s="17"/>
      <c r="F336">
        <f t="shared" ca="1" si="42"/>
        <v>1167</v>
      </c>
      <c r="G336" t="str">
        <f t="shared" si="43"/>
        <v>ファイル一覧表示(再帰的)</v>
      </c>
    </row>
    <row r="337" spans="1:7" ht="11.25" customHeight="1" outlineLevel="1">
      <c r="A337" s="15"/>
      <c r="B337" s="15" t="s">
        <v>1569</v>
      </c>
      <c r="C337" s="16" t="s">
        <v>1899</v>
      </c>
      <c r="D337" s="17"/>
      <c r="F337">
        <f t="shared" ca="1" si="42"/>
        <v>1168</v>
      </c>
      <c r="G337" t="str">
        <f t="shared" si="43"/>
        <v>ファイル一覧表示(再帰的)(ファイル指定)</v>
      </c>
    </row>
    <row r="338" spans="1:7" ht="11.25" customHeight="1" outlineLevel="1">
      <c r="A338" s="15"/>
      <c r="B338" s="15" t="s">
        <v>1569</v>
      </c>
      <c r="C338" s="16" t="s">
        <v>1900</v>
      </c>
      <c r="D338" s="17"/>
      <c r="F338">
        <f t="shared" ca="1" si="42"/>
        <v>1169</v>
      </c>
      <c r="G338" t="str">
        <f t="shared" si="43"/>
        <v>ファイル一覧表示(再帰的)(ファイル指定)</v>
      </c>
    </row>
    <row r="339" spans="1:7" ht="11.25" customHeight="1" outlineLevel="1">
      <c r="A339" s="15"/>
      <c r="B339" s="15" t="s">
        <v>1570</v>
      </c>
      <c r="C339" s="16" t="s">
        <v>1571</v>
      </c>
      <c r="D339" s="17"/>
      <c r="F339">
        <f t="shared" ca="1" si="42"/>
        <v>1170</v>
      </c>
      <c r="G339" t="str">
        <f t="shared" si="43"/>
        <v>ファイル一覧表示(AND検索)</v>
      </c>
    </row>
    <row r="340" spans="1:7" ht="11.25" customHeight="1" outlineLevel="1">
      <c r="A340" s="15"/>
      <c r="B340" s="15" t="s">
        <v>1572</v>
      </c>
      <c r="C340" s="16" t="s">
        <v>1573</v>
      </c>
      <c r="D340" s="17"/>
      <c r="F340">
        <f t="shared" ca="1" si="42"/>
        <v>1171</v>
      </c>
      <c r="G340" t="str">
        <f t="shared" si="43"/>
        <v>ファイル一覧表示(OR検索)</v>
      </c>
    </row>
    <row r="341" spans="1:7" ht="11.25" customHeight="1" outlineLevel="1">
      <c r="A341" s="15"/>
      <c r="B341" s="15" t="s">
        <v>1574</v>
      </c>
      <c r="C341" s="16" t="s">
        <v>1575</v>
      </c>
      <c r="D341" s="17"/>
      <c r="F341">
        <f t="shared" ca="1" si="42"/>
        <v>1172</v>
      </c>
      <c r="G341" t="str">
        <f t="shared" si="43"/>
        <v>ディレクトリ一覧表示(直下)</v>
      </c>
    </row>
    <row r="342" spans="1:7" ht="11.25" customHeight="1" outlineLevel="1">
      <c r="A342" s="15"/>
      <c r="B342" s="15" t="s">
        <v>1576</v>
      </c>
      <c r="C342" s="16" t="s">
        <v>1577</v>
      </c>
      <c r="D342" s="17"/>
      <c r="F342">
        <f t="shared" ca="1" si="42"/>
        <v>1173</v>
      </c>
      <c r="G342" t="str">
        <f t="shared" si="43"/>
        <v>ディレクトリ一覧表示(再帰的)</v>
      </c>
    </row>
    <row r="343" spans="1:7" ht="11.25" customHeight="1" outlineLevel="1">
      <c r="A343" s="15"/>
      <c r="B343" s="15" t="s">
        <v>1578</v>
      </c>
      <c r="C343" s="16" t="s">
        <v>1579</v>
      </c>
      <c r="D343" s="17"/>
      <c r="F343">
        <f t="shared" ca="1" si="42"/>
        <v>1174</v>
      </c>
      <c r="G343" t="str">
        <f t="shared" si="43"/>
        <v>ファイル/ディレクトリ一覧表示(再帰的)</v>
      </c>
    </row>
    <row r="344" spans="1:7" ht="11.25" customHeight="1" outlineLevel="1">
      <c r="A344" s="15"/>
      <c r="B344" s="15" t="s">
        <v>1580</v>
      </c>
      <c r="C344" s="16" t="s">
        <v>1581</v>
      </c>
      <c r="D344" s="17"/>
      <c r="F344">
        <f t="shared" ca="1" si="42"/>
        <v>1175</v>
      </c>
      <c r="G344" t="str">
        <f t="shared" si="43"/>
        <v>ファイル/ディレクトリ検索</v>
      </c>
    </row>
    <row r="345" spans="1:7" ht="11.25" customHeight="1" outlineLevel="1">
      <c r="A345" s="15"/>
      <c r="B345" s="15" t="s">
        <v>1582</v>
      </c>
      <c r="C345" s="16" t="s">
        <v>1583</v>
      </c>
      <c r="D345" s="17" t="s">
        <v>1584</v>
      </c>
      <c r="F345">
        <f t="shared" ca="1" si="42"/>
        <v>1176</v>
      </c>
      <c r="G345" t="str">
        <f t="shared" si="43"/>
        <v>ファイルツリー出力</v>
      </c>
    </row>
    <row r="346" spans="1:7" ht="11.25" customHeight="1" outlineLevel="1">
      <c r="A346" s="15"/>
      <c r="B346" s="15" t="s">
        <v>1585</v>
      </c>
      <c r="C346" s="16" t="s">
        <v>1586</v>
      </c>
      <c r="D346" s="17"/>
      <c r="F346">
        <f t="shared" ca="1" si="42"/>
        <v>1177</v>
      </c>
      <c r="G346" t="str">
        <f t="shared" si="43"/>
        <v>ファイル種別表示</v>
      </c>
    </row>
    <row r="347" spans="1:7" ht="11.25" customHeight="1" outlineLevel="1">
      <c r="A347" s="15"/>
      <c r="B347" s="15" t="s">
        <v>1587</v>
      </c>
      <c r="C347" s="16" t="s">
        <v>1588</v>
      </c>
      <c r="D347" s="17"/>
      <c r="F347">
        <f t="shared" ca="1" si="42"/>
        <v>1178</v>
      </c>
      <c r="G347" t="str">
        <f t="shared" si="43"/>
        <v>リンク切れシンボリックリンク一覧表示(再帰的)</v>
      </c>
    </row>
    <row r="348" spans="1:7" ht="11.25" customHeight="1" outlineLevel="1">
      <c r="A348" s="15"/>
      <c r="B348" s="15" t="s">
        <v>1589</v>
      </c>
      <c r="C348" s="16" t="s">
        <v>1590</v>
      </c>
      <c r="D348" s="17"/>
      <c r="F348">
        <f t="shared" ca="1" si="42"/>
        <v>1179</v>
      </c>
      <c r="G348" t="str">
        <f t="shared" si="43"/>
        <v>ファイル数出力(フォルダ配下すべて)</v>
      </c>
    </row>
    <row r="349" spans="1:7" ht="11.25" customHeight="1" outlineLevel="1">
      <c r="A349" s="15"/>
      <c r="B349" s="15" t="s">
        <v>1591</v>
      </c>
      <c r="C349" s="16" t="s">
        <v>1592</v>
      </c>
      <c r="D349" s="17"/>
      <c r="F349">
        <f t="shared" ca="1" si="42"/>
        <v>1180</v>
      </c>
      <c r="G349" t="str">
        <f t="shared" si="43"/>
        <v>ファイル数出力(フォルダ内のみ)</v>
      </c>
    </row>
    <row r="350" spans="1:7" ht="11.25" customHeight="1" outlineLevel="1">
      <c r="A350" s="15"/>
      <c r="B350" s="15" t="s">
        <v>1593</v>
      </c>
      <c r="C350" s="16" t="s">
        <v>1670</v>
      </c>
      <c r="D350" s="17" t="s">
        <v>1671</v>
      </c>
      <c r="F350">
        <f t="shared" ca="1" si="42"/>
        <v>1181</v>
      </c>
      <c r="G350" t="str">
        <f t="shared" si="43"/>
        <v>ファイル名抽出(拡張子含む)</v>
      </c>
    </row>
    <row r="351" spans="1:7" ht="11.25" customHeight="1" outlineLevel="1">
      <c r="A351" s="15"/>
      <c r="B351" s="15" t="s">
        <v>1594</v>
      </c>
      <c r="C351" s="16" t="s">
        <v>1668</v>
      </c>
      <c r="D351" s="17" t="s">
        <v>1669</v>
      </c>
      <c r="F351">
        <f t="shared" ref="F351:F455" ca="1" si="46">IF(G351="",OFFSET(F351,-1,0),OFFSET(F351,-1,0)+1)</f>
        <v>1182</v>
      </c>
      <c r="G351" t="str">
        <f t="shared" ref="G351:G455" si="47">IF(B351="","",B351)</f>
        <v>ディレクトリパス抽出</v>
      </c>
    </row>
    <row r="352" spans="1:7" ht="11.25" customHeight="1" outlineLevel="1">
      <c r="A352" s="15"/>
      <c r="B352" s="15" t="s">
        <v>1595</v>
      </c>
      <c r="C352" s="16" t="s">
        <v>1596</v>
      </c>
      <c r="D352" s="17" t="s">
        <v>1597</v>
      </c>
      <c r="F352">
        <f t="shared" ca="1" si="46"/>
        <v>1183</v>
      </c>
      <c r="G352" t="str">
        <f t="shared" si="47"/>
        <v>ファイルパス移植性確認</v>
      </c>
    </row>
    <row r="353" spans="1:7" ht="11.25" customHeight="1" outlineLevel="1">
      <c r="A353" s="15"/>
      <c r="B353" s="15" t="s">
        <v>1598</v>
      </c>
      <c r="C353" s="16" t="s">
        <v>1599</v>
      </c>
      <c r="D353" s="17"/>
      <c r="F353">
        <f t="shared" ca="1" si="46"/>
        <v>1184</v>
      </c>
      <c r="G353" t="str">
        <f t="shared" si="47"/>
        <v>相対パス→絶対パス変換</v>
      </c>
    </row>
    <row r="354" spans="1:7" ht="11.25" customHeight="1" outlineLevel="1">
      <c r="A354" s="15"/>
      <c r="B354" s="15" t="s">
        <v>1600</v>
      </c>
      <c r="C354" s="16" t="s">
        <v>1901</v>
      </c>
      <c r="D354" s="17" t="s">
        <v>1601</v>
      </c>
      <c r="F354">
        <f t="shared" ca="1" si="46"/>
        <v>1185</v>
      </c>
      <c r="G354" t="str">
        <f t="shared" si="47"/>
        <v>高速ファイル/ディレクトリ検索</v>
      </c>
    </row>
    <row r="355" spans="1:7" ht="11.25" customHeight="1" outlineLevel="1">
      <c r="A355" s="15"/>
      <c r="B355" s="15" t="s">
        <v>1602</v>
      </c>
      <c r="C355" s="16" t="s">
        <v>1603</v>
      </c>
      <c r="D355" s="17"/>
      <c r="F355">
        <f t="shared" ca="1" si="46"/>
        <v>1186</v>
      </c>
      <c r="G355" t="str">
        <f t="shared" si="47"/>
        <v>文章から索引作成</v>
      </c>
    </row>
    <row r="356" spans="1:7" ht="11.25" customHeight="1" outlineLevel="1">
      <c r="A356" s="15"/>
      <c r="B356" s="15" t="s">
        <v>1604</v>
      </c>
      <c r="C356" s="16" t="s">
        <v>1605</v>
      </c>
      <c r="D356" s="17"/>
      <c r="F356">
        <f t="shared" ca="1" si="46"/>
        <v>1187</v>
      </c>
      <c r="G356" t="str">
        <f t="shared" si="47"/>
        <v>ls用色設定コマンド出力</v>
      </c>
    </row>
    <row r="357" spans="1:7" ht="11.25" customHeight="1" outlineLevel="1">
      <c r="A357" s="15"/>
      <c r="B357" s="15" t="s">
        <v>1606</v>
      </c>
      <c r="C357" s="16" t="s">
        <v>1607</v>
      </c>
      <c r="D357" s="17"/>
      <c r="F357">
        <f t="shared" ca="1" si="46"/>
        <v>1188</v>
      </c>
      <c r="G357" t="str">
        <f t="shared" si="47"/>
        <v>16bitチェックサム＆ブロック数(1024Byte単位) 表示</v>
      </c>
    </row>
    <row r="358" spans="1:7" ht="11.25" customHeight="1" outlineLevel="1">
      <c r="A358" s="15"/>
      <c r="B358" s="15" t="s">
        <v>1608</v>
      </c>
      <c r="C358" s="16" t="s">
        <v>1609</v>
      </c>
      <c r="D358" s="17"/>
      <c r="F358">
        <f t="shared" ca="1" si="46"/>
        <v>1189</v>
      </c>
      <c r="G358" t="str">
        <f t="shared" si="47"/>
        <v>CRCチェックサム 表示</v>
      </c>
    </row>
    <row r="359" spans="1:7" ht="11.25" customHeight="1" outlineLevel="1">
      <c r="A359" s="15"/>
      <c r="B359" s="15" t="s">
        <v>1610</v>
      </c>
      <c r="C359" s="16" t="s">
        <v>1611</v>
      </c>
      <c r="D359" s="17"/>
      <c r="F359">
        <f t="shared" ca="1" si="46"/>
        <v>1190</v>
      </c>
      <c r="G359" t="str">
        <f t="shared" si="47"/>
        <v>BLAKE22ハッシュ値 表示</v>
      </c>
    </row>
    <row r="360" spans="1:7" ht="11.25" customHeight="1" outlineLevel="1">
      <c r="A360" s="15"/>
      <c r="B360" s="15" t="s">
        <v>1612</v>
      </c>
      <c r="C360" s="16" t="s">
        <v>1613</v>
      </c>
      <c r="D360" s="17" t="s">
        <v>1635</v>
      </c>
      <c r="F360">
        <f t="shared" ca="1" si="46"/>
        <v>1191</v>
      </c>
      <c r="G360" t="str">
        <f t="shared" si="47"/>
        <v>128bitチェックサム表示</v>
      </c>
    </row>
    <row r="361" spans="1:7" ht="11.25" customHeight="1" outlineLevel="1">
      <c r="A361" s="15"/>
      <c r="B361" s="18" t="s">
        <v>1633</v>
      </c>
      <c r="C361" s="16" t="s">
        <v>1614</v>
      </c>
      <c r="D361" s="17"/>
      <c r="F361">
        <f t="shared" ca="1" si="46"/>
        <v>1192</v>
      </c>
      <c r="G361" t="str">
        <f t="shared" si="47"/>
        <v>SHA-1ダイジェスト計算</v>
      </c>
    </row>
    <row r="362" spans="1:7" ht="11.25" customHeight="1" outlineLevel="1">
      <c r="A362" s="15"/>
      <c r="B362" s="15" t="s">
        <v>1615</v>
      </c>
      <c r="C362" s="16" t="s">
        <v>1616</v>
      </c>
      <c r="D362" s="17"/>
      <c r="F362">
        <f t="shared" ca="1" si="46"/>
        <v>1193</v>
      </c>
      <c r="G362" t="str">
        <f t="shared" si="47"/>
        <v>SHAダイジェスト計算(xxxビット長)</v>
      </c>
    </row>
    <row r="363" spans="1:7" ht="11.25" customHeight="1" outlineLevel="1">
      <c r="A363" s="15"/>
      <c r="B363" s="18" t="s">
        <v>1617</v>
      </c>
      <c r="C363" s="16" t="s">
        <v>1894</v>
      </c>
      <c r="D363" s="17"/>
      <c r="F363">
        <f t="shared" ca="1" si="46"/>
        <v>1194</v>
      </c>
      <c r="G363" t="str">
        <f t="shared" si="47"/>
        <v>Grep</v>
      </c>
    </row>
    <row r="364" spans="1:7" ht="11.25" customHeight="1" outlineLevel="1">
      <c r="A364" s="15"/>
      <c r="B364" s="15" t="s">
        <v>1634</v>
      </c>
      <c r="C364" s="16" t="s">
        <v>1618</v>
      </c>
      <c r="D364" s="17"/>
      <c r="F364">
        <f t="shared" ca="1" si="46"/>
        <v>1195</v>
      </c>
      <c r="G364" t="str">
        <f t="shared" si="47"/>
        <v>Grep(複数行マッチ)</v>
      </c>
    </row>
    <row r="365" spans="1:7" ht="11.25" customHeight="1" outlineLevel="1">
      <c r="A365" s="15"/>
      <c r="B365" s="15" t="s">
        <v>1619</v>
      </c>
      <c r="C365" s="16" t="s">
        <v>1620</v>
      </c>
      <c r="D365" s="17"/>
      <c r="F365">
        <f t="shared" ca="1" si="46"/>
        <v>1196</v>
      </c>
      <c r="G365" t="str">
        <f t="shared" si="47"/>
        <v>Grep置換</v>
      </c>
    </row>
    <row r="366" spans="1:7" ht="11.25" customHeight="1" outlineLevel="1">
      <c r="A366" s="15"/>
      <c r="B366" s="15" t="s">
        <v>1619</v>
      </c>
      <c r="C366" s="16" t="s">
        <v>2080</v>
      </c>
      <c r="D366" s="17"/>
      <c r="F366">
        <f ca="1">IF(G366="",OFFSET(F366,-1,0),OFFSET(F366,-1,0)+1)</f>
        <v>1197</v>
      </c>
      <c r="G366" t="str">
        <f>IF(B366="","",B366)</f>
        <v>Grep置換</v>
      </c>
    </row>
    <row r="367" spans="1:7" ht="11.25" customHeight="1" outlineLevel="1">
      <c r="A367" s="15"/>
      <c r="B367" s="15" t="s">
        <v>1621</v>
      </c>
      <c r="C367" s="16" t="s">
        <v>1663</v>
      </c>
      <c r="D367" s="17" t="s">
        <v>1662</v>
      </c>
      <c r="F367">
        <f t="shared" ca="1" si="46"/>
        <v>1198</v>
      </c>
      <c r="G367" t="str">
        <f t="shared" si="47"/>
        <v>数値単位変換1</v>
      </c>
    </row>
    <row r="368" spans="1:7" ht="11.25" customHeight="1" outlineLevel="1">
      <c r="A368" s="15"/>
      <c r="B368" s="15" t="s">
        <v>1622</v>
      </c>
      <c r="C368" s="16" t="s">
        <v>1664</v>
      </c>
      <c r="D368" s="17" t="s">
        <v>1665</v>
      </c>
      <c r="F368">
        <f t="shared" ca="1" si="46"/>
        <v>1199</v>
      </c>
      <c r="G368" t="str">
        <f t="shared" si="47"/>
        <v>数値単位変換2</v>
      </c>
    </row>
    <row r="369" spans="1:7" ht="11.25" customHeight="1" outlineLevel="1">
      <c r="A369" s="15"/>
      <c r="B369" s="18" t="s">
        <v>1853</v>
      </c>
      <c r="C369" s="16" t="s">
        <v>1853</v>
      </c>
      <c r="D369" s="17"/>
      <c r="F369">
        <f t="shared" ref="F369:F379" ca="1" si="48">IF(G369="",OFFSET(F369,-1,0),OFFSET(F369,-1,0)+1)</f>
        <v>1200</v>
      </c>
      <c r="G369" t="str">
        <f t="shared" ref="G369:G379" si="49">IF(B369="","",B369)</f>
        <v>awk</v>
      </c>
    </row>
    <row r="370" spans="1:7" ht="11.25" customHeight="1" outlineLevel="1">
      <c r="A370" s="15"/>
      <c r="B370" s="15" t="s">
        <v>1854</v>
      </c>
      <c r="C370" s="16" t="s">
        <v>1861</v>
      </c>
      <c r="D370" s="17" t="s">
        <v>1862</v>
      </c>
      <c r="F370">
        <f t="shared" ca="1" si="48"/>
        <v>1201</v>
      </c>
      <c r="G370" t="str">
        <f t="shared" si="49"/>
        <v>awk(出力)</v>
      </c>
    </row>
    <row r="371" spans="1:7" ht="11.25" customHeight="1" outlineLevel="1">
      <c r="A371" s="15"/>
      <c r="B371" s="15" t="s">
        <v>1855</v>
      </c>
      <c r="C371" s="16" t="s">
        <v>1863</v>
      </c>
      <c r="D371" s="17" t="s">
        <v>1864</v>
      </c>
      <c r="F371">
        <f t="shared" ca="1" si="48"/>
        <v>1202</v>
      </c>
      <c r="G371" t="str">
        <f t="shared" si="49"/>
        <v>awk(数値判定)</v>
      </c>
    </row>
    <row r="372" spans="1:7" ht="11.25" customHeight="1" outlineLevel="1">
      <c r="A372" s="15"/>
      <c r="B372" s="15" t="s">
        <v>1856</v>
      </c>
      <c r="C372" s="16" t="s">
        <v>1807</v>
      </c>
      <c r="D372" s="17"/>
      <c r="F372">
        <f t="shared" ca="1" si="48"/>
        <v>1203</v>
      </c>
      <c r="G372" t="str">
        <f t="shared" si="49"/>
        <v>awk(文字列判定)</v>
      </c>
    </row>
    <row r="373" spans="1:7" ht="11.25" customHeight="1" outlineLevel="1">
      <c r="A373" s="15"/>
      <c r="B373" s="15" t="s">
        <v>1857</v>
      </c>
      <c r="C373" s="16" t="s">
        <v>1865</v>
      </c>
      <c r="D373" s="17" t="s">
        <v>1866</v>
      </c>
      <c r="F373">
        <f t="shared" ca="1" si="48"/>
        <v>1204</v>
      </c>
      <c r="G373" t="str">
        <f t="shared" si="49"/>
        <v>awk(区切り文字指定)</v>
      </c>
    </row>
    <row r="374" spans="1:7" ht="11.25" customHeight="1" outlineLevel="1">
      <c r="A374" s="15"/>
      <c r="B374" s="18" t="s">
        <v>1858</v>
      </c>
      <c r="C374" s="16" t="s">
        <v>1988</v>
      </c>
      <c r="D374" s="17" t="s">
        <v>1867</v>
      </c>
      <c r="F374">
        <f t="shared" ca="1" si="48"/>
        <v>1205</v>
      </c>
      <c r="G374" t="str">
        <f t="shared" si="49"/>
        <v>awk(スクリプト実行)</v>
      </c>
    </row>
    <row r="375" spans="1:7" ht="11.25" customHeight="1" outlineLevel="1">
      <c r="A375" s="15"/>
      <c r="B375" s="15" t="s">
        <v>1859</v>
      </c>
      <c r="C375" s="16" t="s">
        <v>1868</v>
      </c>
      <c r="D375" s="17" t="s">
        <v>1870</v>
      </c>
      <c r="F375">
        <f t="shared" ca="1" si="48"/>
        <v>1206</v>
      </c>
      <c r="G375" t="str">
        <f t="shared" si="49"/>
        <v>awk(パターンマッチ)</v>
      </c>
    </row>
    <row r="376" spans="1:7" ht="11.25" customHeight="1" outlineLevel="1">
      <c r="A376" s="15"/>
      <c r="B376" s="15" t="s">
        <v>1859</v>
      </c>
      <c r="C376" s="16" t="s">
        <v>1869</v>
      </c>
      <c r="D376" s="17" t="s">
        <v>1871</v>
      </c>
      <c r="F376">
        <f t="shared" ca="1" si="48"/>
        <v>1207</v>
      </c>
      <c r="G376" t="str">
        <f t="shared" si="49"/>
        <v>awk(パターンマッチ)</v>
      </c>
    </row>
    <row r="377" spans="1:7" ht="11.25" customHeight="1" outlineLevel="1">
      <c r="A377" s="15"/>
      <c r="B377" s="15" t="s">
        <v>2356</v>
      </c>
      <c r="C377" s="16" t="s">
        <v>2358</v>
      </c>
      <c r="D377" s="17"/>
      <c r="F377">
        <f ca="1">IF(G377="",OFFSET(F377,-1,0),OFFSET(F377,-1,0)+1)</f>
        <v>1208</v>
      </c>
      <c r="G377" t="str">
        <f>IF(B377="","",B377)</f>
        <v>画像拡大縮小（解像度指定）</v>
      </c>
    </row>
    <row r="378" spans="1:7" ht="11.25" customHeight="1" outlineLevel="1">
      <c r="A378" s="15"/>
      <c r="B378" s="15" t="s">
        <v>2357</v>
      </c>
      <c r="C378" s="16" t="s">
        <v>2359</v>
      </c>
      <c r="D378" s="17"/>
      <c r="F378">
        <f ca="1">IF(G378="",OFFSET(F378,-1,0),OFFSET(F378,-1,0)+1)</f>
        <v>1209</v>
      </c>
      <c r="G378" t="str">
        <f>IF(B378="","",B378)</f>
        <v>画像拡大縮小（割合指定）</v>
      </c>
    </row>
    <row r="379" spans="1:7" ht="11.25" customHeight="1">
      <c r="A379" s="12" t="s">
        <v>1637</v>
      </c>
      <c r="B379" s="13"/>
      <c r="C379" s="13"/>
      <c r="D379" s="14" t="s">
        <v>122</v>
      </c>
      <c r="E379" t="s">
        <v>122</v>
      </c>
      <c r="F379">
        <f t="shared" ca="1" si="48"/>
        <v>1209</v>
      </c>
      <c r="G379" t="str">
        <f t="shared" si="49"/>
        <v/>
      </c>
    </row>
    <row r="380" spans="1:7" ht="11.25" customHeight="1" outlineLevel="1">
      <c r="A380" s="15"/>
      <c r="B380" s="15" t="s">
        <v>2771</v>
      </c>
      <c r="C380" s="16" t="s">
        <v>1661</v>
      </c>
      <c r="D380" s="17" t="s">
        <v>1658</v>
      </c>
      <c r="F380">
        <f t="shared" ca="1" si="46"/>
        <v>1210</v>
      </c>
      <c r="G380" t="str">
        <f t="shared" si="47"/>
        <v>文字置換(文字単位)(translate)</v>
      </c>
    </row>
    <row r="381" spans="1:7" ht="11.25" customHeight="1" outlineLevel="1">
      <c r="A381" s="15"/>
      <c r="B381" s="15" t="s">
        <v>2770</v>
      </c>
      <c r="C381" s="16" t="s">
        <v>1660</v>
      </c>
      <c r="D381" s="17" t="s">
        <v>1659</v>
      </c>
      <c r="F381">
        <f t="shared" ca="1" si="46"/>
        <v>1211</v>
      </c>
      <c r="G381" t="str">
        <f t="shared" si="47"/>
        <v>文字置換(文字単位)(translate)</v>
      </c>
    </row>
    <row r="382" spans="1:7" ht="11.25" customHeight="1" outlineLevel="1">
      <c r="A382" s="15"/>
      <c r="B382" s="15" t="s">
        <v>2771</v>
      </c>
      <c r="C382" s="16" t="s">
        <v>1666</v>
      </c>
      <c r="D382" s="17" t="s">
        <v>1667</v>
      </c>
      <c r="F382">
        <f t="shared" ca="1" si="46"/>
        <v>1212</v>
      </c>
      <c r="G382" t="str">
        <f t="shared" si="47"/>
        <v>文字置換(文字単位)(translate)</v>
      </c>
    </row>
    <row r="383" spans="1:7" ht="11.25" customHeight="1" outlineLevel="1">
      <c r="A383" s="15"/>
      <c r="B383" s="15" t="s">
        <v>2353</v>
      </c>
      <c r="C383" s="16" t="s">
        <v>2354</v>
      </c>
      <c r="D383" s="17"/>
      <c r="F383">
        <f ca="1">IF(G383="",OFFSET(F383,-1,0),OFFSET(F383,-1,0)+1)</f>
        <v>1213</v>
      </c>
      <c r="G383" t="str">
        <f>IF(B383="","",B383)</f>
        <v>空行削除</v>
      </c>
    </row>
    <row r="384" spans="1:7" ht="11.25" customHeight="1" outlineLevel="1">
      <c r="A384" s="15"/>
      <c r="B384" s="15" t="s">
        <v>2772</v>
      </c>
      <c r="C384" s="16" t="s">
        <v>1640</v>
      </c>
      <c r="D384" s="17"/>
      <c r="F384">
        <f t="shared" ca="1" si="46"/>
        <v>1214</v>
      </c>
      <c r="G384" t="str">
        <f t="shared" si="47"/>
        <v>文字列置換</v>
      </c>
    </row>
    <row r="385" spans="1:7" ht="11.25" customHeight="1" outlineLevel="1">
      <c r="A385" s="15"/>
      <c r="B385" s="15" t="s">
        <v>2779</v>
      </c>
      <c r="C385" s="16" t="s">
        <v>2780</v>
      </c>
      <c r="D385" s="17" t="s">
        <v>2781</v>
      </c>
      <c r="F385">
        <f ca="1">IF(G385="",OFFSET(F385,-1,0),OFFSET(F385,-1,0)+1)</f>
        <v>1215</v>
      </c>
      <c r="G385" t="str">
        <f>IF(B385="","",B385)</f>
        <v>文字列置換(正規表現置換)</v>
      </c>
    </row>
    <row r="386" spans="1:7" ht="11.25" customHeight="1" outlineLevel="1">
      <c r="A386" s="15"/>
      <c r="B386" s="15" t="s">
        <v>3237</v>
      </c>
      <c r="C386" s="16" t="s">
        <v>3233</v>
      </c>
      <c r="D386" s="17"/>
      <c r="F386">
        <f t="shared" ca="1" si="46"/>
        <v>1216</v>
      </c>
      <c r="G386" t="str">
        <f t="shared" si="47"/>
        <v>文字列置換(ファイル直接編集)＠sed</v>
      </c>
    </row>
    <row r="387" spans="1:7" ht="11.25" customHeight="1" outlineLevel="1">
      <c r="A387" s="15"/>
      <c r="B387" s="15" t="s">
        <v>3238</v>
      </c>
      <c r="C387" s="16" t="s">
        <v>1643</v>
      </c>
      <c r="D387" s="17"/>
      <c r="F387">
        <f t="shared" ca="1" si="46"/>
        <v>1217</v>
      </c>
      <c r="G387" t="str">
        <f t="shared" si="47"/>
        <v>文字列置換(ファイル直接編集＆バックアップ)＠sed</v>
      </c>
    </row>
    <row r="388" spans="1:7" ht="11.25" customHeight="1" outlineLevel="1">
      <c r="A388" s="15"/>
      <c r="B388" s="15" t="s">
        <v>3236</v>
      </c>
      <c r="C388" s="16" t="s">
        <v>3235</v>
      </c>
      <c r="D388" s="17"/>
      <c r="F388">
        <f t="shared" ref="F388" ca="1" si="50">IF(G388="",OFFSET(F388,-1,0),OFFSET(F388,-1,0)+1)</f>
        <v>1218</v>
      </c>
      <c r="G388" t="str">
        <f t="shared" ref="G388" si="51">IF(B388="","",B388)</f>
        <v>文字列置換(ファイル直接編集)＠Perl</v>
      </c>
    </row>
    <row r="389" spans="1:7" ht="11.25" customHeight="1" outlineLevel="1">
      <c r="A389" s="15"/>
      <c r="B389" s="15" t="s">
        <v>2773</v>
      </c>
      <c r="C389" s="16" t="s">
        <v>1645</v>
      </c>
      <c r="D389" s="17"/>
      <c r="F389">
        <f t="shared" ca="1" si="46"/>
        <v>1219</v>
      </c>
      <c r="G389" t="str">
        <f t="shared" si="47"/>
        <v>文字列挿入1(5行目の前)</v>
      </c>
    </row>
    <row r="390" spans="1:7" ht="11.25" customHeight="1" outlineLevel="1">
      <c r="A390" s="15"/>
      <c r="B390" s="15" t="s">
        <v>2774</v>
      </c>
      <c r="C390" s="16" t="s">
        <v>1647</v>
      </c>
      <c r="D390" s="17"/>
      <c r="F390">
        <f t="shared" ca="1" si="46"/>
        <v>1220</v>
      </c>
      <c r="G390" t="str">
        <f t="shared" si="47"/>
        <v>文字列挿入1(5行目の後)</v>
      </c>
    </row>
    <row r="391" spans="1:7" ht="11.25" customHeight="1" outlineLevel="1">
      <c r="A391" s="15"/>
      <c r="B391" s="15" t="s">
        <v>2775</v>
      </c>
      <c r="C391" s="16" t="s">
        <v>1649</v>
      </c>
      <c r="D391" s="17"/>
      <c r="F391">
        <f t="shared" ca="1" si="46"/>
        <v>1221</v>
      </c>
      <c r="G391" t="str">
        <f t="shared" si="47"/>
        <v>文字列挿入2(5行目の前)</v>
      </c>
    </row>
    <row r="392" spans="1:7" ht="11.25" customHeight="1" outlineLevel="1">
      <c r="A392" s="15"/>
      <c r="B392" s="15" t="s">
        <v>2776</v>
      </c>
      <c r="C392" s="16" t="s">
        <v>1651</v>
      </c>
      <c r="D392" s="17"/>
      <c r="F392">
        <f t="shared" ca="1" si="46"/>
        <v>1222</v>
      </c>
      <c r="G392" t="str">
        <f t="shared" si="47"/>
        <v>文字列挿入2(5行目の後)</v>
      </c>
    </row>
    <row r="393" spans="1:7" ht="11.25" customHeight="1" outlineLevel="1">
      <c r="A393" s="15"/>
      <c r="B393" s="15" t="s">
        <v>2777</v>
      </c>
      <c r="C393" s="16" t="s">
        <v>1653</v>
      </c>
      <c r="D393" s="17"/>
      <c r="F393">
        <f t="shared" ca="1" si="46"/>
        <v>1223</v>
      </c>
      <c r="G393" t="str">
        <f t="shared" si="47"/>
        <v>文字列削除(10行目)</v>
      </c>
    </row>
    <row r="394" spans="1:7" ht="11.25" customHeight="1" outlineLevel="1">
      <c r="A394" s="15"/>
      <c r="B394" s="15" t="s">
        <v>2778</v>
      </c>
      <c r="C394" s="16" t="s">
        <v>1655</v>
      </c>
      <c r="D394" s="17"/>
      <c r="F394">
        <f t="shared" ca="1" si="46"/>
        <v>1224</v>
      </c>
      <c r="G394" t="str">
        <f t="shared" si="47"/>
        <v>文字列出力(5行目)</v>
      </c>
    </row>
    <row r="395" spans="1:7" ht="11.25" customHeight="1" outlineLevel="1">
      <c r="A395" s="15"/>
      <c r="B395" s="15" t="s">
        <v>1656</v>
      </c>
      <c r="C395" s="16" t="s">
        <v>1657</v>
      </c>
      <c r="D395" s="17"/>
      <c r="F395">
        <f t="shared" ca="1" si="46"/>
        <v>1225</v>
      </c>
      <c r="G395" t="str">
        <f t="shared" si="47"/>
        <v>数字列出力</v>
      </c>
    </row>
    <row r="396" spans="1:7" ht="11.25" customHeight="1">
      <c r="A396" s="12" t="s">
        <v>2876</v>
      </c>
      <c r="B396" s="13"/>
      <c r="C396" s="13"/>
      <c r="D396" s="14" t="s">
        <v>122</v>
      </c>
      <c r="E396" t="s">
        <v>122</v>
      </c>
      <c r="F396">
        <f t="shared" ref="F396:F404" ca="1" si="52">IF(G396="",OFFSET(F396,-1,0),OFFSET(F396,-1,0)+1)</f>
        <v>1225</v>
      </c>
      <c r="G396" t="str">
        <f t="shared" ref="G396:G404" si="53">IF(B396="","",B396)</f>
        <v/>
      </c>
    </row>
    <row r="397" spans="1:7" ht="11.25" customHeight="1" outlineLevel="1">
      <c r="A397" s="15"/>
      <c r="B397" s="15" t="s">
        <v>2055</v>
      </c>
      <c r="C397" s="16" t="s">
        <v>2062</v>
      </c>
      <c r="D397" s="25" t="s">
        <v>1385</v>
      </c>
      <c r="F397">
        <f t="shared" ca="1" si="52"/>
        <v>1226</v>
      </c>
      <c r="G397" t="str">
        <f t="shared" si="53"/>
        <v>パッケージインストール</v>
      </c>
    </row>
    <row r="398" spans="1:7" ht="11.25" customHeight="1" outlineLevel="1">
      <c r="A398" s="15"/>
      <c r="B398" s="15" t="s">
        <v>2054</v>
      </c>
      <c r="C398" s="16" t="s">
        <v>2063</v>
      </c>
      <c r="D398" s="17" t="s">
        <v>2060</v>
      </c>
      <c r="F398">
        <f t="shared" ca="1" si="52"/>
        <v>1227</v>
      </c>
      <c r="G398" t="str">
        <f t="shared" si="53"/>
        <v>パッケージ更新(特定パッケージのみ)</v>
      </c>
    </row>
    <row r="399" spans="1:7" ht="11.25" customHeight="1" outlineLevel="1">
      <c r="A399" s="15"/>
      <c r="B399" s="15" t="s">
        <v>2056</v>
      </c>
      <c r="C399" s="16" t="s">
        <v>2064</v>
      </c>
      <c r="D399" s="17" t="s">
        <v>1965</v>
      </c>
      <c r="F399">
        <f t="shared" ca="1" si="52"/>
        <v>1228</v>
      </c>
      <c r="G399" t="str">
        <f t="shared" si="53"/>
        <v>パッケージ一覧更新</v>
      </c>
    </row>
    <row r="400" spans="1:7" ht="11.25" customHeight="1" outlineLevel="1">
      <c r="A400" s="15"/>
      <c r="B400" s="15" t="s">
        <v>2057</v>
      </c>
      <c r="C400" s="16" t="s">
        <v>2065</v>
      </c>
      <c r="D400" s="17"/>
      <c r="F400">
        <f t="shared" ca="1" si="52"/>
        <v>1229</v>
      </c>
      <c r="G400" t="str">
        <f t="shared" si="53"/>
        <v>パッケージ更新</v>
      </c>
    </row>
    <row r="401" spans="1:7" ht="11.25" customHeight="1" outlineLevel="1">
      <c r="A401" s="15"/>
      <c r="B401" s="15" t="s">
        <v>2073</v>
      </c>
      <c r="C401" s="16" t="s">
        <v>2066</v>
      </c>
      <c r="D401" s="17"/>
      <c r="F401">
        <f t="shared" ca="1" si="52"/>
        <v>1230</v>
      </c>
      <c r="G401" t="str">
        <f t="shared" si="53"/>
        <v>パッケージ削除(パッケージのみ削除)</v>
      </c>
    </row>
    <row r="402" spans="1:7" ht="11.25" customHeight="1" outlineLevel="1">
      <c r="A402" s="15"/>
      <c r="B402" s="15" t="s">
        <v>2072</v>
      </c>
      <c r="C402" s="16" t="s">
        <v>2071</v>
      </c>
      <c r="D402" s="17"/>
      <c r="F402">
        <f t="shared" ca="1" si="52"/>
        <v>1231</v>
      </c>
      <c r="G402" t="str">
        <f t="shared" si="53"/>
        <v>パッケージ削除(パッケージ＋設定削除)</v>
      </c>
    </row>
    <row r="403" spans="1:7" ht="11.25" customHeight="1" outlineLevel="1">
      <c r="A403" s="15"/>
      <c r="B403" s="15" t="s">
        <v>2061</v>
      </c>
      <c r="C403" s="16" t="s">
        <v>2074</v>
      </c>
      <c r="D403" s="17"/>
      <c r="F403">
        <f t="shared" ca="1" si="52"/>
        <v>1232</v>
      </c>
      <c r="G403" t="str">
        <f t="shared" si="53"/>
        <v>パッケージ削除(不要なものを自動削除)</v>
      </c>
    </row>
    <row r="404" spans="1:7" ht="11.25" customHeight="1" outlineLevel="1">
      <c r="A404" s="15"/>
      <c r="B404" s="15" t="s">
        <v>2051</v>
      </c>
      <c r="C404" s="16" t="s">
        <v>2067</v>
      </c>
      <c r="D404" s="17"/>
      <c r="F404">
        <f t="shared" ca="1" si="52"/>
        <v>1233</v>
      </c>
      <c r="G404" t="str">
        <f t="shared" si="53"/>
        <v>パッケージ一覧表示</v>
      </c>
    </row>
    <row r="405" spans="1:7" ht="11.25" customHeight="1" outlineLevel="1">
      <c r="A405" s="15"/>
      <c r="B405" s="15" t="s">
        <v>2052</v>
      </c>
      <c r="C405" s="16" t="s">
        <v>2068</v>
      </c>
      <c r="D405" s="17"/>
      <c r="F405">
        <f t="shared" ref="F405:F411" ca="1" si="54">IF(G405="",OFFSET(F405,-1,0),OFFSET(F405,-1,0)+1)</f>
        <v>1234</v>
      </c>
      <c r="G405" t="str">
        <f t="shared" ref="G405:G411" si="55">IF(B405="","",B405)</f>
        <v>パッケージバージョン一覧確認</v>
      </c>
    </row>
    <row r="406" spans="1:7" ht="11.25" customHeight="1" outlineLevel="1">
      <c r="A406" s="15"/>
      <c r="B406" s="15" t="s">
        <v>2052</v>
      </c>
      <c r="C406" s="16" t="s">
        <v>2047</v>
      </c>
      <c r="D406" s="17"/>
      <c r="F406">
        <f t="shared" ca="1" si="54"/>
        <v>1235</v>
      </c>
      <c r="G406" t="str">
        <f t="shared" si="55"/>
        <v>パッケージバージョン一覧確認</v>
      </c>
    </row>
    <row r="407" spans="1:7" ht="11.25" customHeight="1" outlineLevel="1">
      <c r="A407" s="15"/>
      <c r="B407" s="15" t="s">
        <v>2049</v>
      </c>
      <c r="C407" s="16" t="s">
        <v>2048</v>
      </c>
      <c r="D407" s="17"/>
      <c r="F407">
        <f t="shared" ca="1" si="54"/>
        <v>1236</v>
      </c>
      <c r="G407" t="str">
        <f t="shared" si="55"/>
        <v>パッケージ格納先確認</v>
      </c>
    </row>
    <row r="408" spans="1:7" ht="11.25" customHeight="1" outlineLevel="1">
      <c r="A408" s="15"/>
      <c r="B408" s="15" t="s">
        <v>2050</v>
      </c>
      <c r="C408" s="16" t="s">
        <v>3181</v>
      </c>
      <c r="D408" s="17"/>
      <c r="F408">
        <f t="shared" ca="1" si="54"/>
        <v>1237</v>
      </c>
      <c r="G408" t="str">
        <f t="shared" si="55"/>
        <v>パッケージ検索</v>
      </c>
    </row>
    <row r="409" spans="1:7" ht="11.25" customHeight="1" outlineLevel="1">
      <c r="A409" s="15"/>
      <c r="B409" s="15" t="s">
        <v>2053</v>
      </c>
      <c r="C409" s="16" t="s">
        <v>2069</v>
      </c>
      <c r="D409" s="17"/>
      <c r="F409">
        <f t="shared" ca="1" si="54"/>
        <v>1238</v>
      </c>
      <c r="G409" t="str">
        <f t="shared" si="55"/>
        <v>アップブレード可能パッケージ確認</v>
      </c>
    </row>
    <row r="410" spans="1:7" ht="11.25" customHeight="1" outlineLevel="1">
      <c r="A410" s="15"/>
      <c r="B410" s="15" t="s">
        <v>2058</v>
      </c>
      <c r="C410" s="16" t="s">
        <v>2070</v>
      </c>
      <c r="D410" s="17"/>
      <c r="F410">
        <f ca="1">IF(G410="",OFFSET(F410,-1,0),OFFSET(F410,-1,0)+1)</f>
        <v>1239</v>
      </c>
      <c r="G410" t="str">
        <f>IF(B410="","",B410)</f>
        <v>パッケージ情報表示</v>
      </c>
    </row>
    <row r="411" spans="1:7" ht="11.25" customHeight="1" outlineLevel="1">
      <c r="A411" s="15"/>
      <c r="B411" s="15" t="s">
        <v>2059</v>
      </c>
      <c r="C411" s="16" t="s">
        <v>2048</v>
      </c>
      <c r="D411" s="17"/>
      <c r="F411">
        <f t="shared" ca="1" si="54"/>
        <v>1240</v>
      </c>
      <c r="G411" t="str">
        <f t="shared" si="55"/>
        <v>パッケージインストールファイル表示</v>
      </c>
    </row>
    <row r="412" spans="1:7" ht="11.25" customHeight="1" outlineLevel="1">
      <c r="A412" s="15"/>
      <c r="B412" s="15" t="s">
        <v>2875</v>
      </c>
      <c r="C412" s="16" t="s">
        <v>2874</v>
      </c>
      <c r="D412" s="17"/>
      <c r="F412">
        <f ca="1">IF(G412="",OFFSET(F412,-1,0),OFFSET(F412,-1,0)+1)</f>
        <v>1241</v>
      </c>
      <c r="G412" t="str">
        <f>IF(B412="","",B412)</f>
        <v>yum パッケージインストール(RedHat系)</v>
      </c>
    </row>
    <row r="413" spans="1:7" ht="11.25" customHeight="1" outlineLevel="1">
      <c r="A413" s="15"/>
      <c r="B413" s="15" t="s">
        <v>2870</v>
      </c>
      <c r="C413" s="16" t="s">
        <v>2927</v>
      </c>
      <c r="D413" s="17"/>
      <c r="F413">
        <f t="shared" ref="F413:F418" ca="1" si="56">IF(G413="",OFFSET(F413,-1,0),OFFSET(F413,-1,0)+1)</f>
        <v>1242</v>
      </c>
      <c r="G413" t="str">
        <f t="shared" ref="G413:G418" si="57">IF(B413="","",B413)</f>
        <v>pip パッケージインストール</v>
      </c>
    </row>
    <row r="414" spans="1:7" ht="11.25" customHeight="1" outlineLevel="1">
      <c r="A414" s="15"/>
      <c r="B414" s="15" t="s">
        <v>2873</v>
      </c>
      <c r="C414" s="16" t="s">
        <v>2931</v>
      </c>
      <c r="D414" s="17"/>
      <c r="F414">
        <f ca="1">IF(G414="",OFFSET(F414,-1,0),OFFSET(F414,-1,0)+1)</f>
        <v>1243</v>
      </c>
      <c r="G414" t="str">
        <f>IF(B414="","",B414)</f>
        <v>pip パッケージインストール（特定バージョン）</v>
      </c>
    </row>
    <row r="415" spans="1:7" ht="11.25" customHeight="1" outlineLevel="1">
      <c r="A415" s="15"/>
      <c r="B415" s="15" t="s">
        <v>2871</v>
      </c>
      <c r="C415" s="16" t="s">
        <v>2928</v>
      </c>
      <c r="D415" s="17"/>
      <c r="F415">
        <f ca="1">IF(G415="",OFFSET(F415,-1,0),OFFSET(F415,-1,0)+1)</f>
        <v>1244</v>
      </c>
      <c r="G415" t="str">
        <f>IF(B415="","",B415)</f>
        <v>pip パッケージアンインストール</v>
      </c>
    </row>
    <row r="416" spans="1:7" ht="11.25" customHeight="1" outlineLevel="1">
      <c r="A416" s="15"/>
      <c r="B416" s="15" t="s">
        <v>2872</v>
      </c>
      <c r="C416" s="16" t="s">
        <v>2929</v>
      </c>
      <c r="D416" s="17"/>
      <c r="F416">
        <f t="shared" ca="1" si="56"/>
        <v>1245</v>
      </c>
      <c r="G416" t="str">
        <f t="shared" si="57"/>
        <v>pip パッケージインストール可能バージョン確認</v>
      </c>
    </row>
    <row r="417" spans="1:7" ht="11.25" customHeight="1" outlineLevel="1">
      <c r="A417" s="15"/>
      <c r="B417" s="15" t="s">
        <v>2926</v>
      </c>
      <c r="C417" s="16" t="s">
        <v>2930</v>
      </c>
      <c r="D417" s="17"/>
      <c r="F417">
        <f ca="1">IF(G417="",OFFSET(F417,-1,0),OFFSET(F417,-1,0)+1)</f>
        <v>1246</v>
      </c>
      <c r="G417" t="str">
        <f>IF(B417="","",B417)</f>
        <v>pip パッケージインストール有無確認</v>
      </c>
    </row>
    <row r="418" spans="1:7" ht="11.25" customHeight="1">
      <c r="A418" s="12" t="s">
        <v>1672</v>
      </c>
      <c r="B418" s="13"/>
      <c r="C418" s="13"/>
      <c r="D418" s="14" t="s">
        <v>122</v>
      </c>
      <c r="E418" t="s">
        <v>122</v>
      </c>
      <c r="F418">
        <f t="shared" ca="1" si="56"/>
        <v>1246</v>
      </c>
      <c r="G418" t="str">
        <f t="shared" si="57"/>
        <v/>
      </c>
    </row>
    <row r="419" spans="1:7" ht="11.25" customHeight="1" outlineLevel="1">
      <c r="A419" s="15"/>
      <c r="B419" s="15" t="s">
        <v>1332</v>
      </c>
      <c r="C419" s="16" t="s">
        <v>1333</v>
      </c>
      <c r="D419" s="17"/>
      <c r="F419">
        <f ca="1">IF(G419="",OFFSET(F419,-1,0),OFFSET(F419,-1,0)+1)</f>
        <v>1247</v>
      </c>
      <c r="G419" t="str">
        <f>IF(B419="","",B419)</f>
        <v>コマンド格納先表示</v>
      </c>
    </row>
    <row r="420" spans="1:7" ht="11.25" customHeight="1" outlineLevel="1">
      <c r="A420" s="15"/>
      <c r="B420" s="15" t="s">
        <v>1332</v>
      </c>
      <c r="C420" s="16" t="s">
        <v>1334</v>
      </c>
      <c r="D420" s="17" t="s">
        <v>1335</v>
      </c>
      <c r="F420">
        <f ca="1">IF(G420="",OFFSET(F420,-1,0),OFFSET(F420,-1,0)+1)</f>
        <v>1248</v>
      </c>
      <c r="G420" t="str">
        <f>IF(B420="","",B420)</f>
        <v>コマンド格納先表示</v>
      </c>
    </row>
    <row r="421" spans="1:7" ht="11.25" customHeight="1" outlineLevel="1">
      <c r="A421" s="15"/>
      <c r="B421" s="15" t="s">
        <v>1336</v>
      </c>
      <c r="C421" s="16" t="s">
        <v>1337</v>
      </c>
      <c r="D421" s="17"/>
      <c r="F421">
        <f ca="1">IF(G421="",OFFSET(F421,-1,0),OFFSET(F421,-1,0)+1)</f>
        <v>1249</v>
      </c>
      <c r="G421" t="str">
        <f>IF(B421="","",B421)</f>
        <v>コマンド簡易説明表示</v>
      </c>
    </row>
    <row r="422" spans="1:7" ht="11.25" customHeight="1" outlineLevel="1">
      <c r="A422" s="15"/>
      <c r="B422" s="15" t="s">
        <v>1338</v>
      </c>
      <c r="C422" s="16" t="s">
        <v>1339</v>
      </c>
      <c r="D422" s="17"/>
      <c r="F422">
        <f ca="1">IF(G422="",OFFSET(F422,-1,0),OFFSET(F422,-1,0)+1)</f>
        <v>1250</v>
      </c>
      <c r="G422" t="str">
        <f>IF(B422="","",B422)</f>
        <v>コマンドエイリアス確認</v>
      </c>
    </row>
    <row r="423" spans="1:7" ht="11.25" customHeight="1" outlineLevel="1">
      <c r="A423" s="15"/>
      <c r="B423" s="15" t="s">
        <v>1340</v>
      </c>
      <c r="C423" s="16" t="s">
        <v>1341</v>
      </c>
      <c r="D423" s="17"/>
      <c r="F423">
        <f ca="1">IF(G423="",OFFSET(F423,-1,0),OFFSET(F423,-1,0)+1)</f>
        <v>1251</v>
      </c>
      <c r="G423" t="str">
        <f>IF(B423="","",B423)</f>
        <v>コマンドキーワード検索</v>
      </c>
    </row>
    <row r="424" spans="1:7" ht="11.25" customHeight="1" outlineLevel="1">
      <c r="A424" s="15"/>
      <c r="B424" s="15" t="s">
        <v>1673</v>
      </c>
      <c r="C424" s="16" t="s">
        <v>1674</v>
      </c>
      <c r="D424" s="17"/>
      <c r="F424">
        <f t="shared" ca="1" si="46"/>
        <v>1252</v>
      </c>
      <c r="G424" t="str">
        <f t="shared" si="47"/>
        <v>フォルダ使用容量表示(disk usage)</v>
      </c>
    </row>
    <row r="425" spans="1:7" ht="11.25" customHeight="1" outlineLevel="1">
      <c r="A425" s="15"/>
      <c r="B425" s="15" t="s">
        <v>1675</v>
      </c>
      <c r="C425" s="16" t="s">
        <v>1676</v>
      </c>
      <c r="D425" s="17"/>
      <c r="F425">
        <f t="shared" ca="1" si="46"/>
        <v>1253</v>
      </c>
      <c r="G425" t="str">
        <f t="shared" si="47"/>
        <v>ディスク空き容量表示(disk free)</v>
      </c>
    </row>
    <row r="426" spans="1:7" ht="11.25" customHeight="1" outlineLevel="1">
      <c r="A426" s="15"/>
      <c r="B426" s="15" t="s">
        <v>1677</v>
      </c>
      <c r="C426" s="16" t="s">
        <v>1678</v>
      </c>
      <c r="D426" s="17"/>
      <c r="F426">
        <f t="shared" ca="1" si="46"/>
        <v>1254</v>
      </c>
      <c r="G426" t="str">
        <f t="shared" si="47"/>
        <v>ディレクトリサイズ表示(disk usage)</v>
      </c>
    </row>
    <row r="427" spans="1:7" ht="11.25" customHeight="1" outlineLevel="1">
      <c r="A427" s="15"/>
      <c r="B427" s="15" t="s">
        <v>1679</v>
      </c>
      <c r="C427" s="16" t="s">
        <v>1680</v>
      </c>
      <c r="D427" s="17"/>
      <c r="F427">
        <f t="shared" ca="1" si="46"/>
        <v>1255</v>
      </c>
      <c r="G427" t="str">
        <f t="shared" si="47"/>
        <v>メモリ使用状況表示</v>
      </c>
    </row>
    <row r="428" spans="1:7" ht="11.25" customHeight="1" outlineLevel="1">
      <c r="A428" s="15"/>
      <c r="B428" s="15" t="s">
        <v>1681</v>
      </c>
      <c r="C428" s="16" t="s">
        <v>1682</v>
      </c>
      <c r="D428" s="17"/>
      <c r="F428">
        <f t="shared" ca="1" si="46"/>
        <v>1256</v>
      </c>
      <c r="G428" t="str">
        <f t="shared" si="47"/>
        <v>CPU/メモリ使用状況確認</v>
      </c>
    </row>
    <row r="429" spans="1:7" ht="11.25" customHeight="1" outlineLevel="1">
      <c r="A429" s="15"/>
      <c r="B429" s="15" t="s">
        <v>1683</v>
      </c>
      <c r="C429" s="16" t="s">
        <v>1684</v>
      </c>
      <c r="D429" s="17"/>
      <c r="F429">
        <f t="shared" ca="1" si="46"/>
        <v>1257</v>
      </c>
      <c r="G429" t="str">
        <f t="shared" si="47"/>
        <v>ファイル作成/更新日時表示</v>
      </c>
    </row>
    <row r="430" spans="1:7" ht="11.25" customHeight="1" outlineLevel="1">
      <c r="A430" s="15"/>
      <c r="B430" s="15" t="s">
        <v>1685</v>
      </c>
      <c r="C430" s="16" t="s">
        <v>1686</v>
      </c>
      <c r="D430" s="17"/>
      <c r="F430">
        <f t="shared" ca="1" si="46"/>
        <v>1258</v>
      </c>
      <c r="G430" t="str">
        <f t="shared" si="47"/>
        <v>ファイル作成/更新日時表示(リンク先情報)</v>
      </c>
    </row>
    <row r="431" spans="1:7" ht="11.25" customHeight="1" outlineLevel="1">
      <c r="A431" s="15"/>
      <c r="B431" s="15" t="s">
        <v>1687</v>
      </c>
      <c r="C431" s="16" t="s">
        <v>1688</v>
      </c>
      <c r="D431" s="17"/>
      <c r="F431">
        <f t="shared" ca="1" si="46"/>
        <v>1259</v>
      </c>
      <c r="G431" t="str">
        <f t="shared" si="47"/>
        <v>ファイル作成/更新日時表示(ファイルシステム情報)</v>
      </c>
    </row>
    <row r="432" spans="1:7" ht="11.25" customHeight="1" outlineLevel="1">
      <c r="A432" s="15"/>
      <c r="B432" s="15" t="s">
        <v>1689</v>
      </c>
      <c r="C432" s="16" t="s">
        <v>1690</v>
      </c>
      <c r="D432" s="17"/>
      <c r="F432">
        <f t="shared" ca="1" si="46"/>
        <v>1260</v>
      </c>
      <c r="G432" t="str">
        <f t="shared" si="47"/>
        <v>実行中ジョブ確認</v>
      </c>
    </row>
    <row r="433" spans="1:7" ht="11.25" customHeight="1" outlineLevel="1">
      <c r="A433" s="15"/>
      <c r="B433" s="15" t="s">
        <v>1691</v>
      </c>
      <c r="C433" s="16" t="s">
        <v>1692</v>
      </c>
      <c r="D433" s="17"/>
      <c r="F433">
        <f t="shared" ca="1" si="46"/>
        <v>1261</v>
      </c>
      <c r="G433" t="str">
        <f t="shared" si="47"/>
        <v>ジョブフォアグラウンド化</v>
      </c>
    </row>
    <row r="434" spans="1:7" ht="11.25" customHeight="1" outlineLevel="1">
      <c r="A434" s="15"/>
      <c r="B434" s="15" t="s">
        <v>1693</v>
      </c>
      <c r="C434" s="16" t="s">
        <v>1694</v>
      </c>
      <c r="D434" s="17"/>
      <c r="F434">
        <f t="shared" ca="1" si="46"/>
        <v>1262</v>
      </c>
      <c r="G434" t="str">
        <f t="shared" si="47"/>
        <v>ジョブバックグラウンド化</v>
      </c>
    </row>
    <row r="435" spans="1:7" ht="11.25" customHeight="1" outlineLevel="1">
      <c r="A435" s="15"/>
      <c r="B435" s="15" t="s">
        <v>1695</v>
      </c>
      <c r="C435" s="16" t="s">
        <v>1794</v>
      </c>
      <c r="D435" s="17" t="s">
        <v>1795</v>
      </c>
      <c r="F435">
        <f t="shared" ca="1" si="46"/>
        <v>1263</v>
      </c>
      <c r="G435" t="str">
        <f t="shared" si="47"/>
        <v>コマンド実行継続設定(実行前)</v>
      </c>
    </row>
    <row r="436" spans="1:7" ht="11.25" customHeight="1" outlineLevel="1">
      <c r="A436" s="15"/>
      <c r="B436" s="15" t="s">
        <v>1696</v>
      </c>
      <c r="C436" s="16" t="s">
        <v>1796</v>
      </c>
      <c r="D436" s="17" t="s">
        <v>1797</v>
      </c>
      <c r="F436">
        <f t="shared" ca="1" si="46"/>
        <v>1264</v>
      </c>
      <c r="G436" t="str">
        <f t="shared" si="47"/>
        <v>コマンド実行継続設定(実行後)</v>
      </c>
    </row>
    <row r="437" spans="1:7" ht="11.25" customHeight="1" outlineLevel="1">
      <c r="A437" s="15"/>
      <c r="B437" s="15" t="s">
        <v>1697</v>
      </c>
      <c r="C437" s="16" t="s">
        <v>1698</v>
      </c>
      <c r="D437" s="17"/>
      <c r="F437">
        <f t="shared" ca="1" si="46"/>
        <v>1265</v>
      </c>
      <c r="G437" t="str">
        <f t="shared" si="47"/>
        <v>プロセス情報表示</v>
      </c>
    </row>
    <row r="438" spans="1:7" ht="11.25" customHeight="1" outlineLevel="1">
      <c r="A438" s="15"/>
      <c r="B438" s="15" t="s">
        <v>1699</v>
      </c>
      <c r="C438" s="16" t="s">
        <v>1700</v>
      </c>
      <c r="D438" s="17"/>
      <c r="F438">
        <f t="shared" ca="1" si="46"/>
        <v>1266</v>
      </c>
      <c r="G438" t="str">
        <f t="shared" si="47"/>
        <v>プロセス情報表示(全プロセス)</v>
      </c>
    </row>
    <row r="439" spans="1:7" ht="11.25" customHeight="1" outlineLevel="1">
      <c r="A439" s="15"/>
      <c r="B439" s="15" t="s">
        <v>1699</v>
      </c>
      <c r="C439" s="16" t="s">
        <v>1701</v>
      </c>
      <c r="D439" s="17"/>
      <c r="F439">
        <f t="shared" ca="1" si="46"/>
        <v>1267</v>
      </c>
      <c r="G439" t="str">
        <f t="shared" si="47"/>
        <v>プロセス情報表示(全プロセス)</v>
      </c>
    </row>
    <row r="440" spans="1:7" ht="11.25" customHeight="1" outlineLevel="1">
      <c r="A440" s="15"/>
      <c r="B440" s="15" t="s">
        <v>1702</v>
      </c>
      <c r="C440" s="16" t="s">
        <v>1703</v>
      </c>
      <c r="D440" s="17"/>
      <c r="F440">
        <f t="shared" ca="1" si="46"/>
        <v>1268</v>
      </c>
      <c r="G440" t="str">
        <f t="shared" si="47"/>
        <v>プロセス情報表示(現在プロセス)</v>
      </c>
    </row>
    <row r="441" spans="1:7" ht="11.25" customHeight="1" outlineLevel="1">
      <c r="A441" s="15"/>
      <c r="B441" s="15" t="s">
        <v>2091</v>
      </c>
      <c r="C441" s="16" t="s">
        <v>2100</v>
      </c>
      <c r="D441" s="17"/>
    </row>
    <row r="442" spans="1:7" ht="11.25" customHeight="1" outlineLevel="1">
      <c r="A442" s="15"/>
      <c r="B442" s="15" t="s">
        <v>2092</v>
      </c>
      <c r="C442" s="16" t="s">
        <v>2101</v>
      </c>
      <c r="D442" s="17"/>
    </row>
    <row r="443" spans="1:7" ht="11.25" customHeight="1" outlineLevel="1">
      <c r="A443" s="15"/>
      <c r="B443" s="15" t="s">
        <v>2093</v>
      </c>
      <c r="C443" s="16" t="s">
        <v>2102</v>
      </c>
      <c r="D443" s="17"/>
    </row>
    <row r="444" spans="1:7" ht="11.25" customHeight="1" outlineLevel="1">
      <c r="A444" s="15"/>
      <c r="B444" s="15" t="s">
        <v>2094</v>
      </c>
      <c r="C444" s="16" t="s">
        <v>2103</v>
      </c>
      <c r="D444" s="17"/>
    </row>
    <row r="445" spans="1:7" ht="11.25" customHeight="1" outlineLevel="1">
      <c r="A445" s="15"/>
      <c r="B445" s="15" t="s">
        <v>2095</v>
      </c>
      <c r="C445" s="16" t="s">
        <v>2104</v>
      </c>
      <c r="D445" s="17"/>
    </row>
    <row r="446" spans="1:7" ht="11.25" customHeight="1" outlineLevel="1">
      <c r="A446" s="15"/>
      <c r="B446" s="15" t="s">
        <v>2096</v>
      </c>
      <c r="C446" s="16" t="s">
        <v>2105</v>
      </c>
      <c r="D446" s="17"/>
    </row>
    <row r="447" spans="1:7" ht="11.25" customHeight="1" outlineLevel="1">
      <c r="A447" s="15"/>
      <c r="B447" s="15" t="s">
        <v>2097</v>
      </c>
      <c r="C447" s="16" t="s">
        <v>2106</v>
      </c>
      <c r="D447" s="17"/>
    </row>
    <row r="448" spans="1:7" ht="11.25" customHeight="1" outlineLevel="1">
      <c r="A448" s="15"/>
      <c r="B448" s="15" t="s">
        <v>2098</v>
      </c>
      <c r="C448" s="16" t="s">
        <v>2107</v>
      </c>
      <c r="D448" s="17"/>
    </row>
    <row r="449" spans="1:7" ht="11.25" customHeight="1" outlineLevel="1">
      <c r="A449" s="15"/>
      <c r="B449" s="15" t="s">
        <v>2099</v>
      </c>
      <c r="C449" s="16" t="s">
        <v>2108</v>
      </c>
      <c r="D449" s="17"/>
    </row>
    <row r="450" spans="1:7" ht="11.25" customHeight="1" outlineLevel="1">
      <c r="A450" s="15"/>
      <c r="B450" s="15" t="s">
        <v>1704</v>
      </c>
      <c r="C450" s="16" t="s">
        <v>1705</v>
      </c>
      <c r="D450" s="17"/>
      <c r="F450">
        <f t="shared" ca="1" si="46"/>
        <v>1</v>
      </c>
      <c r="G450" t="str">
        <f t="shared" si="47"/>
        <v>プロセス情報表示(ツリー表示)</v>
      </c>
    </row>
    <row r="451" spans="1:7" ht="11.25" customHeight="1" outlineLevel="1">
      <c r="A451" s="15"/>
      <c r="B451" s="15" t="s">
        <v>1706</v>
      </c>
      <c r="C451" s="16" t="s">
        <v>1707</v>
      </c>
      <c r="D451" s="17"/>
      <c r="F451">
        <f t="shared" ca="1" si="46"/>
        <v>2</v>
      </c>
      <c r="G451" t="str">
        <f t="shared" si="47"/>
        <v>プロセス情報表示(プロセス名指定)</v>
      </c>
    </row>
    <row r="452" spans="1:7" ht="11.25" customHeight="1" outlineLevel="1">
      <c r="A452" s="15"/>
      <c r="B452" s="15" t="s">
        <v>2326</v>
      </c>
      <c r="C452" s="16" t="s">
        <v>2327</v>
      </c>
      <c r="D452" s="17"/>
      <c r="F452">
        <f ca="1">IF(G452="",OFFSET(F452,-1,0),OFFSET(F452,-1,0)+1)</f>
        <v>3</v>
      </c>
      <c r="G452" t="str">
        <f>IF(B452="","",B452)</f>
        <v>プロセスID取得</v>
      </c>
    </row>
    <row r="453" spans="1:7" ht="11.25" customHeight="1" outlineLevel="1">
      <c r="A453" s="15"/>
      <c r="B453" s="15" t="s">
        <v>1708</v>
      </c>
      <c r="C453" s="16" t="s">
        <v>1709</v>
      </c>
      <c r="D453" s="17"/>
      <c r="F453">
        <f t="shared" ca="1" si="46"/>
        <v>4</v>
      </c>
      <c r="G453" t="str">
        <f t="shared" si="47"/>
        <v>ジョブ終了</v>
      </c>
    </row>
    <row r="454" spans="1:7" ht="11.25" customHeight="1" outlineLevel="1">
      <c r="A454" s="15"/>
      <c r="B454" s="15" t="s">
        <v>1710</v>
      </c>
      <c r="C454" s="16" t="s">
        <v>1711</v>
      </c>
      <c r="D454" s="17"/>
      <c r="F454">
        <f t="shared" ca="1" si="46"/>
        <v>5</v>
      </c>
      <c r="G454" t="str">
        <f t="shared" si="47"/>
        <v>プロセス終了(プロセスID指定)</v>
      </c>
    </row>
    <row r="455" spans="1:7" ht="11.25" customHeight="1" outlineLevel="1">
      <c r="A455" s="15"/>
      <c r="B455" s="15" t="s">
        <v>1712</v>
      </c>
      <c r="C455" s="16" t="s">
        <v>1713</v>
      </c>
      <c r="D455" s="17"/>
      <c r="F455">
        <f t="shared" ca="1" si="46"/>
        <v>6</v>
      </c>
      <c r="G455" t="str">
        <f t="shared" si="47"/>
        <v>プロセス終了(プロセス名指定)</v>
      </c>
    </row>
    <row r="456" spans="1:7" ht="11.25" customHeight="1" outlineLevel="1">
      <c r="A456" s="15"/>
      <c r="B456" s="15" t="s">
        <v>1714</v>
      </c>
      <c r="C456" s="16" t="s">
        <v>1715</v>
      </c>
      <c r="D456" s="17"/>
      <c r="F456">
        <f t="shared" ref="F456:F501" ca="1" si="58">IF(G456="",OFFSET(F456,-1,0),OFFSET(F456,-1,0)+1)</f>
        <v>7</v>
      </c>
      <c r="G456" t="str">
        <f t="shared" ref="G456:G501" si="59">IF(B456="","",B456)</f>
        <v>[キャッシュ内未処理データディスク書込み](https://linuc.org/study/knowledge/413/)</v>
      </c>
    </row>
    <row r="457" spans="1:7" ht="11.25" customHeight="1" outlineLevel="1">
      <c r="A457" s="15"/>
      <c r="B457" s="15" t="s">
        <v>1716</v>
      </c>
      <c r="C457" s="16" t="s">
        <v>1717</v>
      </c>
      <c r="D457" s="17"/>
      <c r="F457">
        <f t="shared" ca="1" si="58"/>
        <v>8</v>
      </c>
      <c r="G457" t="str">
        <f t="shared" si="59"/>
        <v>端末行設定表示</v>
      </c>
    </row>
    <row r="458" spans="1:7" ht="11.25" customHeight="1" outlineLevel="1">
      <c r="A458" s="15"/>
      <c r="B458" s="15" t="s">
        <v>1718</v>
      </c>
      <c r="C458" s="16" t="s">
        <v>1719</v>
      </c>
      <c r="D458" s="17"/>
      <c r="F458">
        <f t="shared" ca="1" si="58"/>
        <v>9</v>
      </c>
      <c r="G458" t="str">
        <f t="shared" si="59"/>
        <v>標準入力ターミナルファイルパス表示</v>
      </c>
    </row>
    <row r="459" spans="1:7" ht="11.25" customHeight="1" outlineLevel="1">
      <c r="A459" s="15"/>
      <c r="B459" s="18" t="s">
        <v>1720</v>
      </c>
      <c r="C459" s="16" t="s">
        <v>1721</v>
      </c>
      <c r="D459" s="17"/>
      <c r="F459">
        <f t="shared" ca="1" si="58"/>
        <v>10</v>
      </c>
      <c r="G459" t="str">
        <f t="shared" si="59"/>
        <v>リソース制限(設定値全表示)</v>
      </c>
    </row>
    <row r="460" spans="1:7" ht="11.25" customHeight="1" outlineLevel="1">
      <c r="A460" s="15"/>
      <c r="B460" s="15" t="s">
        <v>2943</v>
      </c>
      <c r="C460" s="16" t="s">
        <v>2942</v>
      </c>
      <c r="D460" s="17"/>
      <c r="F460">
        <f ca="1">IF(G460="",OFFSET(F460,-1,0),OFFSET(F460,-1,0)+1)</f>
        <v>11</v>
      </c>
      <c r="G460" t="str">
        <f>IF(B460="","",B460)</f>
        <v>リソース制限(設定値変更 無限)</v>
      </c>
    </row>
    <row r="461" spans="1:7" ht="11.25" customHeight="1" outlineLevel="1">
      <c r="A461" s="15"/>
      <c r="B461" s="15" t="s">
        <v>2945</v>
      </c>
      <c r="C461" s="16" t="s">
        <v>2944</v>
      </c>
      <c r="D461" s="17"/>
      <c r="F461">
        <f t="shared" ca="1" si="58"/>
        <v>12</v>
      </c>
      <c r="G461" t="str">
        <f t="shared" si="59"/>
        <v>リソース制限(設定値変更 有限)</v>
      </c>
    </row>
    <row r="462" spans="1:7" ht="11.25" customHeight="1" outlineLevel="1">
      <c r="A462" s="15"/>
      <c r="B462" s="15" t="s">
        <v>2962</v>
      </c>
      <c r="C462" s="16" t="s">
        <v>2946</v>
      </c>
      <c r="D462" s="17" t="s">
        <v>2963</v>
      </c>
      <c r="F462">
        <f t="shared" ca="1" si="58"/>
        <v>13</v>
      </c>
      <c r="G462" t="str">
        <f t="shared" si="59"/>
        <v>リソース制限(設定値変更オプション)</v>
      </c>
    </row>
    <row r="463" spans="1:7" ht="11.25" customHeight="1" outlineLevel="1">
      <c r="A463" s="15"/>
      <c r="B463" s="15" t="s">
        <v>2962</v>
      </c>
      <c r="C463" s="16" t="s">
        <v>2947</v>
      </c>
      <c r="D463" s="17" t="s">
        <v>2964</v>
      </c>
      <c r="F463">
        <f t="shared" ref="F463:F477" ca="1" si="60">IF(G463="",OFFSET(F463,-1,0),OFFSET(F463,-1,0)+1)</f>
        <v>14</v>
      </c>
      <c r="G463" t="str">
        <f t="shared" ref="G463:G477" si="61">IF(B463="","",B463)</f>
        <v>リソース制限(設定値変更オプション)</v>
      </c>
    </row>
    <row r="464" spans="1:7" ht="11.25" customHeight="1" outlineLevel="1">
      <c r="A464" s="15"/>
      <c r="B464" s="15" t="s">
        <v>2962</v>
      </c>
      <c r="C464" s="16" t="s">
        <v>2948</v>
      </c>
      <c r="D464" s="17" t="s">
        <v>2965</v>
      </c>
      <c r="F464">
        <f t="shared" ca="1" si="60"/>
        <v>15</v>
      </c>
      <c r="G464" t="str">
        <f t="shared" si="61"/>
        <v>リソース制限(設定値変更オプション)</v>
      </c>
    </row>
    <row r="465" spans="1:7" ht="11.25" customHeight="1" outlineLevel="1">
      <c r="A465" s="15"/>
      <c r="B465" s="15" t="s">
        <v>2962</v>
      </c>
      <c r="C465" s="16" t="s">
        <v>2949</v>
      </c>
      <c r="D465" s="17" t="s">
        <v>2966</v>
      </c>
      <c r="F465">
        <f t="shared" ca="1" si="60"/>
        <v>16</v>
      </c>
      <c r="G465" t="str">
        <f t="shared" si="61"/>
        <v>リソース制限(設定値変更オプション)</v>
      </c>
    </row>
    <row r="466" spans="1:7" ht="11.25" customHeight="1" outlineLevel="1">
      <c r="A466" s="15"/>
      <c r="B466" s="15" t="s">
        <v>2962</v>
      </c>
      <c r="C466" s="16" t="s">
        <v>2950</v>
      </c>
      <c r="D466" s="17" t="s">
        <v>2967</v>
      </c>
      <c r="F466">
        <f t="shared" ca="1" si="60"/>
        <v>17</v>
      </c>
      <c r="G466" t="str">
        <f t="shared" si="61"/>
        <v>リソース制限(設定値変更オプション)</v>
      </c>
    </row>
    <row r="467" spans="1:7" ht="11.25" customHeight="1" outlineLevel="1">
      <c r="A467" s="15"/>
      <c r="B467" s="15" t="s">
        <v>2962</v>
      </c>
      <c r="C467" s="16" t="s">
        <v>2951</v>
      </c>
      <c r="D467" s="17" t="s">
        <v>2968</v>
      </c>
      <c r="F467">
        <f ca="1">IF(G467="",OFFSET(F467,-1,0),OFFSET(F467,-1,0)+1)</f>
        <v>18</v>
      </c>
      <c r="G467" t="str">
        <f>IF(B467="","",B467)</f>
        <v>リソース制限(設定値変更オプション)</v>
      </c>
    </row>
    <row r="468" spans="1:7" ht="11.25" customHeight="1" outlineLevel="1">
      <c r="A468" s="15"/>
      <c r="B468" s="15" t="s">
        <v>2962</v>
      </c>
      <c r="C468" s="16" t="s">
        <v>2952</v>
      </c>
      <c r="D468" s="17" t="s">
        <v>2969</v>
      </c>
      <c r="F468">
        <f ca="1">IF(G468="",OFFSET(F468,-1,0),OFFSET(F468,-1,0)+1)</f>
        <v>19</v>
      </c>
      <c r="G468" t="str">
        <f>IF(B468="","",B468)</f>
        <v>リソース制限(設定値変更オプション)</v>
      </c>
    </row>
    <row r="469" spans="1:7" ht="11.25" customHeight="1" outlineLevel="1">
      <c r="A469" s="15"/>
      <c r="B469" s="15" t="s">
        <v>2962</v>
      </c>
      <c r="C469" s="16" t="s">
        <v>2953</v>
      </c>
      <c r="D469" s="17" t="s">
        <v>2970</v>
      </c>
      <c r="F469">
        <f ca="1">IF(G469="",OFFSET(F469,-1,0),OFFSET(F469,-1,0)+1)</f>
        <v>20</v>
      </c>
      <c r="G469" t="str">
        <f>IF(B469="","",B469)</f>
        <v>リソース制限(設定値変更オプション)</v>
      </c>
    </row>
    <row r="470" spans="1:7" ht="11.25" customHeight="1" outlineLevel="1">
      <c r="A470" s="15"/>
      <c r="B470" s="15" t="s">
        <v>2962</v>
      </c>
      <c r="C470" s="16" t="s">
        <v>2954</v>
      </c>
      <c r="D470" s="17" t="s">
        <v>2971</v>
      </c>
      <c r="F470">
        <f ca="1">IF(G470="",OFFSET(F470,-1,0),OFFSET(F470,-1,0)+1)</f>
        <v>21</v>
      </c>
      <c r="G470" t="str">
        <f>IF(B470="","",B470)</f>
        <v>リソース制限(設定値変更オプション)</v>
      </c>
    </row>
    <row r="471" spans="1:7" ht="11.25" customHeight="1" outlineLevel="1">
      <c r="A471" s="15"/>
      <c r="B471" s="15" t="s">
        <v>2962</v>
      </c>
      <c r="C471" s="16" t="s">
        <v>2955</v>
      </c>
      <c r="D471" s="17" t="s">
        <v>2972</v>
      </c>
      <c r="F471">
        <f t="shared" ca="1" si="60"/>
        <v>22</v>
      </c>
      <c r="G471" t="str">
        <f t="shared" si="61"/>
        <v>リソース制限(設定値変更オプション)</v>
      </c>
    </row>
    <row r="472" spans="1:7" ht="11.25" customHeight="1" outlineLevel="1">
      <c r="A472" s="15"/>
      <c r="B472" s="15" t="s">
        <v>2962</v>
      </c>
      <c r="C472" s="16" t="s">
        <v>2956</v>
      </c>
      <c r="D472" s="17" t="s">
        <v>2973</v>
      </c>
      <c r="F472">
        <f t="shared" ca="1" si="60"/>
        <v>23</v>
      </c>
      <c r="G472" t="str">
        <f t="shared" si="61"/>
        <v>リソース制限(設定値変更オプション)</v>
      </c>
    </row>
    <row r="473" spans="1:7" ht="11.25" customHeight="1" outlineLevel="1">
      <c r="A473" s="15"/>
      <c r="B473" s="15" t="s">
        <v>2962</v>
      </c>
      <c r="C473" s="16" t="s">
        <v>2957</v>
      </c>
      <c r="D473" s="17" t="s">
        <v>2974</v>
      </c>
      <c r="F473">
        <f t="shared" ca="1" si="60"/>
        <v>24</v>
      </c>
      <c r="G473" t="str">
        <f t="shared" si="61"/>
        <v>リソース制限(設定値変更オプション)</v>
      </c>
    </row>
    <row r="474" spans="1:7" ht="11.25" customHeight="1" outlineLevel="1">
      <c r="A474" s="15"/>
      <c r="B474" s="15" t="s">
        <v>2962</v>
      </c>
      <c r="C474" s="16" t="s">
        <v>2958</v>
      </c>
      <c r="D474" s="17" t="s">
        <v>2975</v>
      </c>
      <c r="F474">
        <f t="shared" ca="1" si="60"/>
        <v>25</v>
      </c>
      <c r="G474" t="str">
        <f t="shared" si="61"/>
        <v>リソース制限(設定値変更オプション)</v>
      </c>
    </row>
    <row r="475" spans="1:7" ht="11.25" customHeight="1" outlineLevel="1">
      <c r="A475" s="15"/>
      <c r="B475" s="15" t="s">
        <v>2962</v>
      </c>
      <c r="C475" s="16" t="s">
        <v>2959</v>
      </c>
      <c r="D475" s="17" t="s">
        <v>2976</v>
      </c>
      <c r="F475">
        <f t="shared" ca="1" si="60"/>
        <v>26</v>
      </c>
      <c r="G475" t="str">
        <f t="shared" si="61"/>
        <v>リソース制限(設定値変更オプション)</v>
      </c>
    </row>
    <row r="476" spans="1:7" ht="11.25" customHeight="1" outlineLevel="1">
      <c r="A476" s="15"/>
      <c r="B476" s="15" t="s">
        <v>2962</v>
      </c>
      <c r="C476" s="16" t="s">
        <v>2960</v>
      </c>
      <c r="D476" s="17" t="s">
        <v>2977</v>
      </c>
      <c r="F476">
        <f t="shared" ca="1" si="60"/>
        <v>27</v>
      </c>
      <c r="G476" t="str">
        <f t="shared" si="61"/>
        <v>リソース制限(設定値変更オプション)</v>
      </c>
    </row>
    <row r="477" spans="1:7" ht="11.25" customHeight="1" outlineLevel="1">
      <c r="A477" s="15"/>
      <c r="B477" s="15" t="s">
        <v>2962</v>
      </c>
      <c r="C477" s="16" t="s">
        <v>2961</v>
      </c>
      <c r="D477" s="17" t="s">
        <v>2978</v>
      </c>
      <c r="F477">
        <f t="shared" ca="1" si="60"/>
        <v>28</v>
      </c>
      <c r="G477" t="str">
        <f t="shared" si="61"/>
        <v>リソース制限(設定値変更オプション)</v>
      </c>
    </row>
    <row r="478" spans="1:7" ht="11.25" customHeight="1" outlineLevel="1">
      <c r="A478" s="15"/>
      <c r="B478" s="15" t="s">
        <v>1724</v>
      </c>
      <c r="C478" s="16" t="s">
        <v>1725</v>
      </c>
      <c r="D478" s="17"/>
      <c r="F478">
        <f t="shared" ca="1" si="58"/>
        <v>29</v>
      </c>
      <c r="G478" t="str">
        <f t="shared" si="59"/>
        <v>ユーザID表示</v>
      </c>
    </row>
    <row r="479" spans="1:7" ht="11.25" customHeight="1" outlineLevel="1">
      <c r="A479" s="15"/>
      <c r="B479" s="15" t="s">
        <v>1726</v>
      </c>
      <c r="C479" s="16" t="s">
        <v>1727</v>
      </c>
      <c r="D479" s="17"/>
      <c r="F479">
        <f t="shared" ca="1" si="58"/>
        <v>30</v>
      </c>
      <c r="G479" t="str">
        <f t="shared" si="59"/>
        <v>現在ログイン名表示</v>
      </c>
    </row>
    <row r="480" spans="1:7" ht="11.25" customHeight="1" outlineLevel="1">
      <c r="A480" s="15"/>
      <c r="B480" s="15" t="s">
        <v>1728</v>
      </c>
      <c r="C480" s="16" t="s">
        <v>1729</v>
      </c>
      <c r="D480" s="17"/>
      <c r="F480">
        <f t="shared" ca="1" si="58"/>
        <v>31</v>
      </c>
      <c r="G480" t="str">
        <f t="shared" si="59"/>
        <v>現在ユーザIDに関連付けされているユーザ名表示</v>
      </c>
    </row>
    <row r="481" spans="1:7" ht="11.25" customHeight="1" outlineLevel="1">
      <c r="A481" s="15"/>
      <c r="B481" s="15" t="s">
        <v>1730</v>
      </c>
      <c r="C481" s="16" t="s">
        <v>1731</v>
      </c>
      <c r="D481" s="17"/>
      <c r="F481">
        <f t="shared" ca="1" si="58"/>
        <v>32</v>
      </c>
      <c r="G481" t="str">
        <f t="shared" si="59"/>
        <v>所属グループ名表示</v>
      </c>
    </row>
    <row r="482" spans="1:7" ht="11.25" customHeight="1" outlineLevel="1">
      <c r="A482" s="15"/>
      <c r="B482" s="15" t="s">
        <v>1732</v>
      </c>
      <c r="C482" s="16" t="s">
        <v>1733</v>
      </c>
      <c r="D482" s="17"/>
      <c r="F482">
        <f t="shared" ca="1" si="58"/>
        <v>33</v>
      </c>
      <c r="G482" t="str">
        <f t="shared" si="59"/>
        <v>ログインユーザ一覧表示</v>
      </c>
    </row>
    <row r="483" spans="1:7" ht="11.25" customHeight="1" outlineLevel="1">
      <c r="A483" s="15"/>
      <c r="B483" s="15" t="s">
        <v>1734</v>
      </c>
      <c r="C483" s="16" t="s">
        <v>1735</v>
      </c>
      <c r="D483" s="17"/>
      <c r="F483">
        <f t="shared" ca="1" si="58"/>
        <v>34</v>
      </c>
      <c r="G483" t="str">
        <f t="shared" si="59"/>
        <v>ログオン中ユーザ情報表示</v>
      </c>
    </row>
    <row r="484" spans="1:7" ht="11.25" customHeight="1" outlineLevel="1">
      <c r="A484" s="15"/>
      <c r="B484" s="15" t="s">
        <v>1736</v>
      </c>
      <c r="C484" s="16" t="s">
        <v>1737</v>
      </c>
      <c r="D484" s="17" t="s">
        <v>1738</v>
      </c>
      <c r="F484">
        <f t="shared" ca="1" si="58"/>
        <v>35</v>
      </c>
      <c r="G484" t="str">
        <f t="shared" si="59"/>
        <v>ユーザアカウント作成</v>
      </c>
    </row>
    <row r="485" spans="1:7" ht="11.25" customHeight="1" outlineLevel="1">
      <c r="A485" s="15"/>
      <c r="B485" s="15" t="s">
        <v>1739</v>
      </c>
      <c r="C485" s="16" t="s">
        <v>1740</v>
      </c>
      <c r="D485" s="17"/>
      <c r="F485">
        <f t="shared" ca="1" si="58"/>
        <v>36</v>
      </c>
      <c r="G485" t="str">
        <f t="shared" si="59"/>
        <v>ユーザアカウント変更(グループ変更)</v>
      </c>
    </row>
    <row r="486" spans="1:7" ht="11.25" customHeight="1" outlineLevel="1">
      <c r="A486" s="15"/>
      <c r="B486" s="15" t="s">
        <v>1741</v>
      </c>
      <c r="C486" s="16" t="s">
        <v>1742</v>
      </c>
      <c r="D486" s="17"/>
      <c r="F486">
        <f t="shared" ca="1" si="58"/>
        <v>37</v>
      </c>
      <c r="G486" t="str">
        <f t="shared" si="59"/>
        <v>ユーザアカウント削除</v>
      </c>
    </row>
    <row r="487" spans="1:7" ht="11.25" customHeight="1" outlineLevel="1">
      <c r="A487" s="15"/>
      <c r="B487" s="15" t="s">
        <v>1743</v>
      </c>
      <c r="C487" s="16" t="s">
        <v>1744</v>
      </c>
      <c r="D487" s="17"/>
      <c r="F487">
        <f t="shared" ca="1" si="58"/>
        <v>38</v>
      </c>
      <c r="G487" t="str">
        <f t="shared" si="59"/>
        <v>グループアカウント作成</v>
      </c>
    </row>
    <row r="488" spans="1:7" ht="11.25" customHeight="1" outlineLevel="1">
      <c r="A488" s="15"/>
      <c r="B488" s="15" t="s">
        <v>1745</v>
      </c>
      <c r="C488" s="16" t="s">
        <v>1746</v>
      </c>
      <c r="D488" s="17"/>
      <c r="F488">
        <f t="shared" ca="1" si="58"/>
        <v>39</v>
      </c>
      <c r="G488" t="str">
        <f t="shared" si="59"/>
        <v>グループアカウント変更</v>
      </c>
    </row>
    <row r="489" spans="1:7" ht="11.25" customHeight="1" outlineLevel="1">
      <c r="A489" s="15"/>
      <c r="B489" s="15" t="s">
        <v>1747</v>
      </c>
      <c r="C489" s="16" t="s">
        <v>1748</v>
      </c>
      <c r="D489" s="17"/>
      <c r="F489">
        <f t="shared" ca="1" si="58"/>
        <v>40</v>
      </c>
      <c r="G489" t="str">
        <f t="shared" si="59"/>
        <v>グループアカウント削除</v>
      </c>
    </row>
    <row r="490" spans="1:7" ht="11.25" customHeight="1" outlineLevel="1">
      <c r="A490" s="15"/>
      <c r="B490" s="15" t="s">
        <v>1749</v>
      </c>
      <c r="C490" s="16" t="s">
        <v>1750</v>
      </c>
      <c r="D490" s="17"/>
      <c r="F490">
        <f t="shared" ca="1" si="58"/>
        <v>41</v>
      </c>
      <c r="G490" t="str">
        <f t="shared" si="59"/>
        <v>所属グループ表示</v>
      </c>
    </row>
    <row r="491" spans="1:7" ht="11.25" customHeight="1" outlineLevel="1">
      <c r="A491" s="15"/>
      <c r="B491" s="15" t="s">
        <v>1751</v>
      </c>
      <c r="C491" s="16" t="s">
        <v>1752</v>
      </c>
      <c r="D491" s="17"/>
      <c r="F491">
        <f t="shared" ca="1" si="58"/>
        <v>42</v>
      </c>
      <c r="G491" t="str">
        <f t="shared" si="59"/>
        <v>ログインパスワード変更</v>
      </c>
    </row>
    <row r="492" spans="1:7" ht="11.25" customHeight="1" outlineLevel="1">
      <c r="A492" s="15"/>
      <c r="B492" s="15" t="s">
        <v>1753</v>
      </c>
      <c r="C492" s="16" t="s">
        <v>1754</v>
      </c>
      <c r="D492" s="17" t="s">
        <v>1755</v>
      </c>
      <c r="F492">
        <f t="shared" ca="1" si="58"/>
        <v>43</v>
      </c>
      <c r="G492" t="str">
        <f t="shared" si="59"/>
        <v>ログインシェル変更</v>
      </c>
    </row>
    <row r="493" spans="1:7" ht="11.25" customHeight="1" outlineLevel="1">
      <c r="A493" s="15"/>
      <c r="B493" s="15" t="s">
        <v>1756</v>
      </c>
      <c r="C493" s="16" t="s">
        <v>1757</v>
      </c>
      <c r="D493" s="17"/>
      <c r="F493">
        <f t="shared" ca="1" si="58"/>
        <v>44</v>
      </c>
      <c r="G493" t="str">
        <f t="shared" si="59"/>
        <v>環境変数表示</v>
      </c>
    </row>
    <row r="494" spans="1:7" ht="11.25" customHeight="1" outlineLevel="1">
      <c r="A494" s="15"/>
      <c r="B494" s="15" t="s">
        <v>1758</v>
      </c>
      <c r="C494" s="16" t="s">
        <v>1759</v>
      </c>
      <c r="D494" s="17"/>
      <c r="F494">
        <f t="shared" ca="1" si="58"/>
        <v>45</v>
      </c>
      <c r="G494" t="str">
        <f t="shared" si="59"/>
        <v>環境変数設定(csh系用)</v>
      </c>
    </row>
    <row r="495" spans="1:7" ht="11.25" customHeight="1" outlineLevel="1">
      <c r="A495" s="15"/>
      <c r="B495" s="15" t="s">
        <v>1760</v>
      </c>
      <c r="C495" s="16" t="s">
        <v>1761</v>
      </c>
      <c r="D495" s="17"/>
      <c r="F495">
        <f t="shared" ca="1" si="58"/>
        <v>46</v>
      </c>
      <c r="G495" t="str">
        <f t="shared" si="59"/>
        <v>環境変数設定(sh系用)</v>
      </c>
    </row>
    <row r="496" spans="1:7" ht="11.25" customHeight="1" outlineLevel="1">
      <c r="A496" s="15"/>
      <c r="B496" s="15" t="s">
        <v>1762</v>
      </c>
      <c r="C496" s="16" t="s">
        <v>1763</v>
      </c>
      <c r="D496" s="17"/>
      <c r="F496">
        <f t="shared" ca="1" si="58"/>
        <v>47</v>
      </c>
      <c r="G496" t="str">
        <f t="shared" si="59"/>
        <v>環境変数変更(一時的)</v>
      </c>
    </row>
    <row r="497" spans="1:7" ht="11.25" customHeight="1" outlineLevel="1">
      <c r="A497" s="15"/>
      <c r="B497" s="15" t="s">
        <v>1756</v>
      </c>
      <c r="C497" s="16" t="s">
        <v>1763</v>
      </c>
      <c r="D497" s="17"/>
      <c r="F497">
        <f t="shared" ca="1" si="58"/>
        <v>48</v>
      </c>
      <c r="G497" t="str">
        <f t="shared" si="59"/>
        <v>環境変数表示</v>
      </c>
    </row>
    <row r="498" spans="1:7" ht="11.25" customHeight="1" outlineLevel="1">
      <c r="A498" s="15"/>
      <c r="B498" s="15" t="s">
        <v>1789</v>
      </c>
      <c r="C498" s="16" t="str">
        <f>"export OPTIONS="" \
-O1
-verbose
-v
"""</f>
        <v>export OPTIONS=" \
-O1
-verbose
-v
"</v>
      </c>
      <c r="D498" s="17"/>
      <c r="F498">
        <f t="shared" ca="1" si="58"/>
        <v>49</v>
      </c>
      <c r="G498" t="str">
        <f t="shared" si="59"/>
        <v>環境変数設定(複数行)</v>
      </c>
    </row>
    <row r="499" spans="1:7" ht="11.25" customHeight="1" outlineLevel="1">
      <c r="A499" s="15"/>
      <c r="B499" s="15" t="s">
        <v>1764</v>
      </c>
      <c r="C499" s="16" t="s">
        <v>1765</v>
      </c>
      <c r="D499" s="17" t="s">
        <v>1766</v>
      </c>
      <c r="F499">
        <f t="shared" ca="1" si="58"/>
        <v>50</v>
      </c>
      <c r="G499" t="str">
        <f t="shared" si="59"/>
        <v>マウント</v>
      </c>
    </row>
    <row r="500" spans="1:7" ht="11.25" customHeight="1" outlineLevel="1">
      <c r="A500" s="15"/>
      <c r="B500" s="15" t="s">
        <v>1767</v>
      </c>
      <c r="C500" s="16" t="s">
        <v>1768</v>
      </c>
      <c r="D500" s="17"/>
      <c r="F500">
        <f t="shared" ca="1" si="58"/>
        <v>51</v>
      </c>
      <c r="G500" t="str">
        <f t="shared" si="59"/>
        <v>アンマウント</v>
      </c>
    </row>
    <row r="501" spans="1:7" ht="11.25" customHeight="1" outlineLevel="1">
      <c r="A501" s="15"/>
      <c r="B501" s="15" t="s">
        <v>1769</v>
      </c>
      <c r="C501" s="16" t="s">
        <v>1770</v>
      </c>
      <c r="D501" s="17"/>
      <c r="F501">
        <f t="shared" ca="1" si="58"/>
        <v>52</v>
      </c>
      <c r="G501" t="str">
        <f t="shared" si="59"/>
        <v>マウント状況確認</v>
      </c>
    </row>
    <row r="502" spans="1:7" ht="11.25" customHeight="1" outlineLevel="1">
      <c r="A502" s="15"/>
      <c r="B502" s="15" t="s">
        <v>1771</v>
      </c>
      <c r="C502" s="16" t="s">
        <v>1772</v>
      </c>
      <c r="D502" s="17"/>
      <c r="F502">
        <f t="shared" ref="F502:F534" ca="1" si="62">IF(G502="",OFFSET(F502,-1,0),OFFSET(F502,-1,0)+1)</f>
        <v>53</v>
      </c>
      <c r="G502" t="str">
        <f t="shared" ref="G502:G534" si="63">IF(B502="","",B502)</f>
        <v>デバイス一覧表示</v>
      </c>
    </row>
    <row r="503" spans="1:7" ht="11.25" customHeight="1" outlineLevel="1">
      <c r="A503" s="15"/>
      <c r="B503" s="15" t="s">
        <v>1773</v>
      </c>
      <c r="C503" s="24" t="s">
        <v>1774</v>
      </c>
      <c r="D503" s="17"/>
      <c r="F503">
        <f t="shared" ca="1" si="62"/>
        <v>54</v>
      </c>
      <c r="G503" t="str">
        <f t="shared" si="63"/>
        <v>時刻(システムクロック)表示</v>
      </c>
    </row>
    <row r="504" spans="1:7" ht="11.25" customHeight="1" outlineLevel="1">
      <c r="A504" s="15"/>
      <c r="B504" s="15" t="s">
        <v>1775</v>
      </c>
      <c r="C504" s="16" t="s">
        <v>1790</v>
      </c>
      <c r="D504" s="17" t="s">
        <v>1791</v>
      </c>
      <c r="F504">
        <f t="shared" ca="1" si="62"/>
        <v>55</v>
      </c>
      <c r="G504" t="str">
        <f t="shared" si="63"/>
        <v>時刻(システムクロック)変更</v>
      </c>
    </row>
    <row r="505" spans="1:7" ht="11.25" customHeight="1" outlineLevel="1">
      <c r="A505" s="15"/>
      <c r="B505" s="15" t="s">
        <v>1776</v>
      </c>
      <c r="C505" s="16" t="s">
        <v>1792</v>
      </c>
      <c r="D505" s="17" t="s">
        <v>1793</v>
      </c>
      <c r="F505">
        <f t="shared" ca="1" si="62"/>
        <v>56</v>
      </c>
      <c r="G505" t="str">
        <f t="shared" si="63"/>
        <v>時刻(ハードウェアクロック)変更</v>
      </c>
    </row>
    <row r="506" spans="1:7" ht="11.25" customHeight="1" outlineLevel="1">
      <c r="A506" s="15"/>
      <c r="B506" s="15" t="s">
        <v>1777</v>
      </c>
      <c r="C506" s="16" t="s">
        <v>1778</v>
      </c>
      <c r="D506" s="17"/>
      <c r="F506">
        <f t="shared" ca="1" si="62"/>
        <v>57</v>
      </c>
      <c r="G506" t="str">
        <f t="shared" si="63"/>
        <v>プロセッサ数表示</v>
      </c>
    </row>
    <row r="507" spans="1:7" ht="11.25" customHeight="1" outlineLevel="1">
      <c r="A507" s="15"/>
      <c r="B507" s="15" t="s">
        <v>1779</v>
      </c>
      <c r="C507" s="16" t="s">
        <v>1780</v>
      </c>
      <c r="D507" s="17"/>
      <c r="F507">
        <f t="shared" ca="1" si="62"/>
        <v>58</v>
      </c>
      <c r="G507" t="str">
        <f t="shared" si="63"/>
        <v>システム情報表示</v>
      </c>
    </row>
    <row r="508" spans="1:7" ht="11.25" customHeight="1" outlineLevel="1">
      <c r="A508" s="15"/>
      <c r="B508" s="15" t="s">
        <v>1781</v>
      </c>
      <c r="C508" s="16" t="s">
        <v>1782</v>
      </c>
      <c r="D508" s="17"/>
      <c r="F508">
        <f t="shared" ca="1" si="62"/>
        <v>59</v>
      </c>
      <c r="G508" t="str">
        <f t="shared" si="63"/>
        <v>ハードウェア名表示</v>
      </c>
    </row>
    <row r="509" spans="1:7" ht="11.25" customHeight="1" outlineLevel="1">
      <c r="A509" s="15"/>
      <c r="B509" s="15" t="s">
        <v>1783</v>
      </c>
      <c r="C509" s="16" t="s">
        <v>1784</v>
      </c>
      <c r="D509" s="17"/>
      <c r="F509">
        <f t="shared" ca="1" si="62"/>
        <v>60</v>
      </c>
      <c r="G509" t="str">
        <f t="shared" si="63"/>
        <v>ホスト名表示</v>
      </c>
    </row>
    <row r="510" spans="1:7" ht="11.25" customHeight="1" outlineLevel="1">
      <c r="A510" s="15"/>
      <c r="B510" s="15" t="s">
        <v>1785</v>
      </c>
      <c r="C510" s="16" t="s">
        <v>1786</v>
      </c>
      <c r="D510" s="17"/>
      <c r="F510">
        <f t="shared" ca="1" si="62"/>
        <v>61</v>
      </c>
      <c r="G510" t="str">
        <f t="shared" si="63"/>
        <v>ホスト識別子表示(16進数)</v>
      </c>
    </row>
    <row r="511" spans="1:7" ht="11.25" customHeight="1" outlineLevel="1">
      <c r="A511" s="15"/>
      <c r="B511" s="15" t="s">
        <v>1787</v>
      </c>
      <c r="C511" s="16" t="s">
        <v>1788</v>
      </c>
      <c r="D511" s="17"/>
      <c r="F511">
        <f t="shared" ca="1" si="62"/>
        <v>62</v>
      </c>
      <c r="G511" t="str">
        <f t="shared" si="63"/>
        <v>システム起動時間等表示</v>
      </c>
    </row>
    <row r="512" spans="1:7" ht="11.25" customHeight="1" outlineLevel="1">
      <c r="A512" s="15"/>
      <c r="B512" s="18" t="s">
        <v>1851</v>
      </c>
      <c r="C512" s="16" t="s">
        <v>1798</v>
      </c>
      <c r="D512" s="17"/>
      <c r="F512">
        <f t="shared" ca="1" si="62"/>
        <v>63</v>
      </c>
      <c r="G512" t="str">
        <f t="shared" si="63"/>
        <v>名前付きパイプ作成</v>
      </c>
    </row>
    <row r="513" spans="1:7" ht="11.25" customHeight="1" outlineLevel="1">
      <c r="A513" s="15"/>
      <c r="B513" s="18" t="s">
        <v>1852</v>
      </c>
      <c r="C513" s="16" t="s">
        <v>1799</v>
      </c>
      <c r="D513" s="17"/>
      <c r="F513">
        <f t="shared" ca="1" si="62"/>
        <v>64</v>
      </c>
      <c r="G513" t="str">
        <f t="shared" si="63"/>
        <v>特殊ファイル作成</v>
      </c>
    </row>
    <row r="514" spans="1:7" ht="11.25" customHeight="1" outlineLevel="1">
      <c r="A514" s="15"/>
      <c r="B514" s="15" t="s">
        <v>1806</v>
      </c>
      <c r="C514" s="16" t="s">
        <v>1895</v>
      </c>
      <c r="D514" s="17"/>
      <c r="F514">
        <f t="shared" ca="1" si="62"/>
        <v>65</v>
      </c>
      <c r="G514" t="str">
        <f t="shared" si="63"/>
        <v>マニュアル確認</v>
      </c>
    </row>
    <row r="515" spans="1:7" ht="11.25" customHeight="1" outlineLevel="1">
      <c r="A515" s="15"/>
      <c r="B515" s="15" t="s">
        <v>1808</v>
      </c>
      <c r="C515" s="16" t="s">
        <v>1809</v>
      </c>
      <c r="D515" s="17"/>
      <c r="F515">
        <f t="shared" ca="1" si="62"/>
        <v>66</v>
      </c>
      <c r="G515" t="str">
        <f t="shared" si="63"/>
        <v>カレンダー表示</v>
      </c>
    </row>
    <row r="516" spans="1:7" ht="11.25" customHeight="1" outlineLevel="1">
      <c r="A516" s="15"/>
      <c r="B516" s="15" t="s">
        <v>1816</v>
      </c>
      <c r="C516" s="16" t="s">
        <v>1817</v>
      </c>
      <c r="D516" s="17"/>
      <c r="F516">
        <f t="shared" ca="1" si="62"/>
        <v>67</v>
      </c>
      <c r="G516" t="str">
        <f t="shared" si="63"/>
        <v>特定ルートディレクトリでコマンド実行</v>
      </c>
    </row>
    <row r="517" spans="1:7" ht="11.25" customHeight="1" outlineLevel="1">
      <c r="A517" s="15"/>
      <c r="B517" s="15" t="s">
        <v>1818</v>
      </c>
      <c r="C517" s="16" t="s">
        <v>1819</v>
      </c>
      <c r="D517" s="17"/>
      <c r="F517">
        <f t="shared" ca="1" si="62"/>
        <v>68</v>
      </c>
      <c r="G517" t="str">
        <f t="shared" si="63"/>
        <v>バッファリングモード変更＆コマンド実行</v>
      </c>
    </row>
    <row r="518" spans="1:7" ht="11.25" customHeight="1" outlineLevel="1">
      <c r="A518" s="15"/>
      <c r="B518" s="15" t="s">
        <v>1820</v>
      </c>
      <c r="C518" s="16" t="s">
        <v>1872</v>
      </c>
      <c r="D518" s="17" t="s">
        <v>1873</v>
      </c>
      <c r="F518">
        <f t="shared" ca="1" si="62"/>
        <v>69</v>
      </c>
      <c r="G518" t="str">
        <f t="shared" si="63"/>
        <v>素因数分解</v>
      </c>
    </row>
    <row r="519" spans="1:7" ht="11.25" customHeight="1" outlineLevel="1">
      <c r="A519" s="15"/>
      <c r="B519" s="15" t="s">
        <v>1379</v>
      </c>
      <c r="C519" s="16" t="s">
        <v>1380</v>
      </c>
      <c r="D519" s="17"/>
      <c r="F519">
        <f t="shared" ca="1" si="62"/>
        <v>70</v>
      </c>
      <c r="G519" t="str">
        <f t="shared" si="63"/>
        <v>簡易電卓</v>
      </c>
    </row>
    <row r="520" spans="1:7" ht="11.25" customHeight="1" outlineLevel="1">
      <c r="A520" s="15"/>
      <c r="B520" s="15" t="s">
        <v>1364</v>
      </c>
      <c r="C520" s="16" t="s">
        <v>1365</v>
      </c>
      <c r="D520" s="25" t="s">
        <v>1384</v>
      </c>
      <c r="F520">
        <f t="shared" ca="1" si="62"/>
        <v>71</v>
      </c>
      <c r="G520" t="str">
        <f t="shared" si="63"/>
        <v>コマンド結果をクリップボードにコピー</v>
      </c>
    </row>
    <row r="521" spans="1:7" ht="11.25" customHeight="1" outlineLevel="1">
      <c r="A521" s="15"/>
      <c r="B521" s="15" t="s">
        <v>1374</v>
      </c>
      <c r="C521" s="16" t="s">
        <v>1375</v>
      </c>
      <c r="D521" s="17" t="s">
        <v>1993</v>
      </c>
      <c r="F521">
        <f t="shared" ca="1" si="62"/>
        <v>72</v>
      </c>
      <c r="G521" t="str">
        <f t="shared" si="63"/>
        <v>プロセス実行優先度変更後コマンド実行</v>
      </c>
    </row>
    <row r="522" spans="1:7" ht="11.25" customHeight="1" outlineLevel="1">
      <c r="A522" s="15"/>
      <c r="B522" s="15" t="s">
        <v>1376</v>
      </c>
      <c r="C522" s="16" t="s">
        <v>1377</v>
      </c>
      <c r="D522" s="17"/>
      <c r="F522">
        <f t="shared" ca="1" si="62"/>
        <v>73</v>
      </c>
      <c r="G522" t="str">
        <f t="shared" si="63"/>
        <v>ログアウト後継続コマンド実行</v>
      </c>
    </row>
    <row r="523" spans="1:7" ht="11.25" customHeight="1" outlineLevel="1">
      <c r="A523" s="15"/>
      <c r="B523" s="15" t="s">
        <v>1994</v>
      </c>
      <c r="C523" s="16" t="s">
        <v>1378</v>
      </c>
      <c r="D523" s="17" t="s">
        <v>2004</v>
      </c>
      <c r="F523">
        <f t="shared" ca="1" si="62"/>
        <v>74</v>
      </c>
      <c r="G523" t="str">
        <f t="shared" si="63"/>
        <v>スクリプト自動実行＠at</v>
      </c>
    </row>
    <row r="524" spans="1:7" ht="11.25" customHeight="1" outlineLevel="1">
      <c r="A524" s="15"/>
      <c r="B524" s="3" t="s">
        <v>1996</v>
      </c>
      <c r="C524" s="24" t="s">
        <v>1995</v>
      </c>
      <c r="D524" s="51" t="s">
        <v>2001</v>
      </c>
      <c r="F524">
        <f t="shared" ca="1" si="62"/>
        <v>75</v>
      </c>
      <c r="G524" t="str">
        <f t="shared" si="63"/>
        <v>スクリプト自動実行＠cron 設定</v>
      </c>
    </row>
    <row r="525" spans="1:7" ht="11.25" customHeight="1" outlineLevel="1">
      <c r="A525" s="15"/>
      <c r="B525" s="15" t="s">
        <v>1998</v>
      </c>
      <c r="C525" s="24" t="s">
        <v>1997</v>
      </c>
      <c r="D525" s="17"/>
      <c r="F525">
        <f t="shared" ca="1" si="62"/>
        <v>76</v>
      </c>
      <c r="G525" t="str">
        <f t="shared" si="63"/>
        <v>スクリプト自動実行＠cron 設定情報表示</v>
      </c>
    </row>
    <row r="526" spans="1:7" ht="11.25" customHeight="1" outlineLevel="1">
      <c r="A526" s="15"/>
      <c r="B526" s="15" t="s">
        <v>1999</v>
      </c>
      <c r="C526" s="24" t="s">
        <v>2000</v>
      </c>
      <c r="D526" s="17"/>
      <c r="F526">
        <f t="shared" ca="1" si="62"/>
        <v>77</v>
      </c>
      <c r="G526" t="str">
        <f t="shared" si="63"/>
        <v>スクリプト自動実行＠cron 設定削除</v>
      </c>
    </row>
    <row r="527" spans="1:7" ht="11.25" customHeight="1" outlineLevel="1">
      <c r="A527" s="15"/>
      <c r="B527" s="15" t="s">
        <v>1849</v>
      </c>
      <c r="C527" s="16" t="s">
        <v>1850</v>
      </c>
      <c r="D527" s="17"/>
      <c r="F527">
        <f t="shared" ca="1" si="62"/>
        <v>78</v>
      </c>
      <c r="G527" t="str">
        <f t="shared" si="63"/>
        <v>vim(垂直分割)</v>
      </c>
    </row>
    <row r="528" spans="1:7" ht="11.25" customHeight="1" outlineLevel="1">
      <c r="A528" s="15"/>
      <c r="B528" s="3" t="s">
        <v>2007</v>
      </c>
      <c r="C528" s="16" t="s">
        <v>2009</v>
      </c>
      <c r="D528" s="17" t="s">
        <v>2011</v>
      </c>
      <c r="F528">
        <f t="shared" ca="1" si="62"/>
        <v>79</v>
      </c>
      <c r="G528" t="str">
        <f t="shared" si="63"/>
        <v>排他ロック</v>
      </c>
    </row>
    <row r="529" spans="1:7" ht="11.25" customHeight="1" outlineLevel="1">
      <c r="A529" s="15"/>
      <c r="B529" s="3" t="s">
        <v>2008</v>
      </c>
      <c r="C529" s="16" t="s">
        <v>2010</v>
      </c>
      <c r="D529" s="17" t="s">
        <v>2012</v>
      </c>
      <c r="F529">
        <f t="shared" ca="1" si="62"/>
        <v>80</v>
      </c>
      <c r="G529" t="str">
        <f t="shared" si="63"/>
        <v>共有ロック</v>
      </c>
    </row>
    <row r="530" spans="1:7" ht="11.25" customHeight="1" outlineLevel="1">
      <c r="A530" s="15"/>
      <c r="B530" s="15" t="s">
        <v>2855</v>
      </c>
      <c r="C530" s="16" t="s">
        <v>2850</v>
      </c>
      <c r="D530" s="19" t="s">
        <v>2851</v>
      </c>
      <c r="F530">
        <f t="shared" ca="1" si="62"/>
        <v>81</v>
      </c>
      <c r="G530" t="str">
        <f t="shared" si="63"/>
        <v>コマンドバージョン切替え 切替え対象バージョン追加</v>
      </c>
    </row>
    <row r="531" spans="1:7" ht="11.25" customHeight="1" outlineLevel="1">
      <c r="A531" s="15"/>
      <c r="B531" s="15" t="s">
        <v>2856</v>
      </c>
      <c r="C531" s="16" t="s">
        <v>2852</v>
      </c>
      <c r="D531" s="17" t="s">
        <v>2859</v>
      </c>
      <c r="F531">
        <f t="shared" ca="1" si="62"/>
        <v>82</v>
      </c>
      <c r="G531" t="str">
        <f t="shared" si="63"/>
        <v>コマンドバージョン切替え 切替え実行（手動）</v>
      </c>
    </row>
    <row r="532" spans="1:7" ht="11.25" customHeight="1" outlineLevel="1">
      <c r="A532" s="15"/>
      <c r="B532" s="15" t="s">
        <v>2857</v>
      </c>
      <c r="C532" s="16" t="s">
        <v>2853</v>
      </c>
      <c r="D532" s="17" t="s">
        <v>2858</v>
      </c>
      <c r="F532">
        <f t="shared" ca="1" si="62"/>
        <v>83</v>
      </c>
      <c r="G532" t="str">
        <f t="shared" si="63"/>
        <v>コマンドバージョン切替え 切替え実行（自動）</v>
      </c>
    </row>
    <row r="533" spans="1:7" ht="11.25" customHeight="1" outlineLevel="1">
      <c r="A533" s="15"/>
      <c r="B533" s="15" t="s">
        <v>2860</v>
      </c>
      <c r="C533" s="16" t="s">
        <v>2854</v>
      </c>
      <c r="D533" s="17" t="s">
        <v>2849</v>
      </c>
      <c r="F533">
        <f t="shared" ca="1" si="62"/>
        <v>84</v>
      </c>
      <c r="G533" t="str">
        <f t="shared" si="63"/>
        <v>コマンドバージョン切替え 切替え対象バージョン確認</v>
      </c>
    </row>
    <row r="534" spans="1:7" ht="11.25" customHeight="1">
      <c r="A534" s="12" t="s">
        <v>2003</v>
      </c>
      <c r="B534" s="13"/>
      <c r="C534" s="13"/>
      <c r="D534" s="14" t="s">
        <v>122</v>
      </c>
      <c r="E534" t="s">
        <v>122</v>
      </c>
      <c r="F534">
        <f t="shared" ca="1" si="62"/>
        <v>84</v>
      </c>
      <c r="G534" t="str">
        <f t="shared" si="63"/>
        <v/>
      </c>
    </row>
    <row r="535" spans="1:7" ht="11.25" customHeight="1" outlineLevel="1">
      <c r="A535" s="15"/>
      <c r="B535" s="15" t="s">
        <v>1834</v>
      </c>
      <c r="C535" s="16" t="s">
        <v>1835</v>
      </c>
      <c r="D535" s="17"/>
      <c r="F535">
        <f t="shared" ref="F535:F540" ca="1" si="64">IF(G535="",OFFSET(F535,-1,0),OFFSET(F535,-1,0)+1)</f>
        <v>85</v>
      </c>
      <c r="G535" t="str">
        <f t="shared" ref="G535:G540" si="65">IF(B535="","",B535)</f>
        <v>SCP転送(ファイル)</v>
      </c>
    </row>
    <row r="536" spans="1:7" ht="11.25" customHeight="1" outlineLevel="1">
      <c r="A536" s="15"/>
      <c r="B536" s="15" t="s">
        <v>1836</v>
      </c>
      <c r="C536" s="16" t="s">
        <v>1837</v>
      </c>
      <c r="D536" s="17"/>
      <c r="F536">
        <f t="shared" ca="1" si="64"/>
        <v>86</v>
      </c>
      <c r="G536" t="str">
        <f t="shared" si="65"/>
        <v>SCP転送(フォルダ)</v>
      </c>
    </row>
    <row r="537" spans="1:7" ht="11.25" customHeight="1" outlineLevel="1">
      <c r="A537" s="15"/>
      <c r="B537" s="15" t="s">
        <v>1838</v>
      </c>
      <c r="C537" s="16" t="s">
        <v>1839</v>
      </c>
      <c r="D537" s="17" t="s">
        <v>1840</v>
      </c>
      <c r="F537">
        <f t="shared" ca="1" si="64"/>
        <v>87</v>
      </c>
      <c r="G537" t="str">
        <f t="shared" si="65"/>
        <v>SCP転送(パスワード自動入力)</v>
      </c>
    </row>
    <row r="538" spans="1:7" ht="11.25" customHeight="1" outlineLevel="1">
      <c r="A538" s="15"/>
      <c r="B538" s="15" t="s">
        <v>1810</v>
      </c>
      <c r="C538" s="16" t="s">
        <v>1896</v>
      </c>
      <c r="D538" s="17"/>
      <c r="F538">
        <f t="shared" ca="1" si="64"/>
        <v>88</v>
      </c>
      <c r="G538" t="str">
        <f t="shared" si="65"/>
        <v>URLコンテンツ取得(Client for URL)</v>
      </c>
    </row>
    <row r="539" spans="1:7" ht="11.25" customHeight="1" outlineLevel="1">
      <c r="A539" s="15"/>
      <c r="B539" s="15" t="s">
        <v>1811</v>
      </c>
      <c r="C539" s="16" t="s">
        <v>1897</v>
      </c>
      <c r="D539" s="17"/>
      <c r="F539">
        <f t="shared" ca="1" si="64"/>
        <v>89</v>
      </c>
      <c r="G539" t="str">
        <f t="shared" si="65"/>
        <v>URLコンテンツ取得(ファイルダウンロード)</v>
      </c>
    </row>
    <row r="540" spans="1:7" ht="11.25" customHeight="1" outlineLevel="1">
      <c r="A540" s="15"/>
      <c r="B540" s="15" t="s">
        <v>1812</v>
      </c>
      <c r="C540" s="16" t="s">
        <v>1813</v>
      </c>
      <c r="D540" s="17"/>
      <c r="F540">
        <f t="shared" ca="1" si="64"/>
        <v>90</v>
      </c>
      <c r="G540" t="str">
        <f t="shared" si="65"/>
        <v>TCP/IPアドレス情報表示</v>
      </c>
    </row>
    <row r="541" spans="1:7" ht="11.25" customHeight="1" outlineLevel="1">
      <c r="A541" s="15"/>
      <c r="B541" s="15" t="s">
        <v>1989</v>
      </c>
      <c r="C541" s="16" t="s">
        <v>1990</v>
      </c>
      <c r="D541" s="17"/>
      <c r="F541">
        <f t="shared" ref="F541:F547" ca="1" si="66">IF(G541="",OFFSET(F541,-1,0),OFFSET(F541,-1,0)+1)</f>
        <v>91</v>
      </c>
      <c r="G541" t="str">
        <f t="shared" ref="G541:G547" si="67">IF(B541="","",B541)</f>
        <v>TCP/IPアドレス情報表示(MACアドレス取得)</v>
      </c>
    </row>
    <row r="542" spans="1:7" ht="11.25" customHeight="1" outlineLevel="1">
      <c r="A542" s="15"/>
      <c r="B542" s="15" t="s">
        <v>1992</v>
      </c>
      <c r="C542" s="16" t="s">
        <v>1991</v>
      </c>
      <c r="D542" s="17"/>
      <c r="F542">
        <f t="shared" ca="1" si="66"/>
        <v>92</v>
      </c>
      <c r="G542" t="str">
        <f t="shared" si="67"/>
        <v>TCP/IPアドレス情報表示(IPアドレス取得)</v>
      </c>
    </row>
    <row r="543" spans="1:7" ht="11.25" customHeight="1" outlineLevel="1">
      <c r="A543" s="15"/>
      <c r="B543" s="15" t="s">
        <v>1814</v>
      </c>
      <c r="C543" s="16" t="s">
        <v>1815</v>
      </c>
      <c r="D543" s="17"/>
      <c r="F543">
        <f t="shared" ca="1" si="66"/>
        <v>93</v>
      </c>
      <c r="G543" t="str">
        <f t="shared" si="67"/>
        <v>パケット送付</v>
      </c>
    </row>
    <row r="544" spans="1:7" ht="11.25" customHeight="1" outlineLevel="1">
      <c r="A544" s="15"/>
      <c r="B544" s="15" t="s">
        <v>1800</v>
      </c>
      <c r="C544" s="16" t="s">
        <v>1801</v>
      </c>
      <c r="D544" s="17"/>
      <c r="F544">
        <f t="shared" ca="1" si="66"/>
        <v>94</v>
      </c>
      <c r="G544" t="str">
        <f t="shared" si="67"/>
        <v>ネットワーク切断</v>
      </c>
    </row>
    <row r="545" spans="1:7" ht="11.25" customHeight="1" outlineLevel="1">
      <c r="A545" s="15"/>
      <c r="B545" s="15" t="s">
        <v>1802</v>
      </c>
      <c r="C545" s="16" t="s">
        <v>1803</v>
      </c>
      <c r="D545" s="17"/>
      <c r="F545">
        <f t="shared" ca="1" si="66"/>
        <v>95</v>
      </c>
      <c r="G545" t="str">
        <f t="shared" si="67"/>
        <v>ネットワーク接続</v>
      </c>
    </row>
    <row r="546" spans="1:7" ht="11.25" customHeight="1" outlineLevel="1">
      <c r="A546" s="15"/>
      <c r="B546" s="15" t="s">
        <v>1804</v>
      </c>
      <c r="C546" s="16" t="s">
        <v>1805</v>
      </c>
      <c r="D546" s="17"/>
      <c r="F546">
        <f t="shared" ca="1" si="66"/>
        <v>96</v>
      </c>
      <c r="G546" t="str">
        <f t="shared" si="67"/>
        <v>ネットワーク状況確認</v>
      </c>
    </row>
    <row r="547" spans="1:7" ht="11.25" customHeight="1">
      <c r="A547" s="12" t="s">
        <v>2002</v>
      </c>
      <c r="B547" s="13"/>
      <c r="C547" s="13"/>
      <c r="D547" s="14" t="s">
        <v>122</v>
      </c>
      <c r="E547" t="s">
        <v>122</v>
      </c>
      <c r="F547">
        <f t="shared" ca="1" si="66"/>
        <v>96</v>
      </c>
      <c r="G547" t="str">
        <f t="shared" si="67"/>
        <v/>
      </c>
    </row>
    <row r="548" spans="1:7" ht="11.25" customHeight="1" outlineLevel="1">
      <c r="A548" s="15"/>
      <c r="B548" s="15" t="s">
        <v>1360</v>
      </c>
      <c r="C548" s="16" t="s">
        <v>1361</v>
      </c>
      <c r="D548" s="17"/>
      <c r="F548">
        <f t="shared" ref="F548:F556" ca="1" si="68">IF(G548="",OFFSET(F548,-1,0),OFFSET(F548,-1,0)+1)</f>
        <v>97</v>
      </c>
      <c r="G548" t="str">
        <f t="shared" ref="G548:G556" si="69">IF(B548="","",B548)</f>
        <v>コンパイル実行</v>
      </c>
    </row>
    <row r="549" spans="1:7" ht="11.25" customHeight="1" outlineLevel="1">
      <c r="A549" s="15"/>
      <c r="B549" s="15" t="s">
        <v>1362</v>
      </c>
      <c r="C549" s="16" t="s">
        <v>1363</v>
      </c>
      <c r="D549" s="17"/>
      <c r="F549">
        <f t="shared" ca="1" si="68"/>
        <v>98</v>
      </c>
      <c r="G549" t="str">
        <f t="shared" si="69"/>
        <v>コンパイル実行(コンパイル＆アセンブルのみ)</v>
      </c>
    </row>
    <row r="550" spans="1:7" ht="11.25" customHeight="1" outlineLevel="1">
      <c r="A550" s="15"/>
      <c r="B550" s="15" t="s">
        <v>1821</v>
      </c>
      <c r="C550" s="16" t="s">
        <v>1822</v>
      </c>
      <c r="D550" s="17"/>
      <c r="F550">
        <f t="shared" ca="1" si="68"/>
        <v>99</v>
      </c>
      <c r="G550" t="str">
        <f t="shared" si="69"/>
        <v>make(デフォルトターゲット指定)</v>
      </c>
    </row>
    <row r="551" spans="1:7" ht="11.25" customHeight="1" outlineLevel="1">
      <c r="A551" s="15"/>
      <c r="B551" s="15" t="s">
        <v>1823</v>
      </c>
      <c r="C551" s="16" t="s">
        <v>1824</v>
      </c>
      <c r="D551" s="17"/>
      <c r="F551">
        <f t="shared" ca="1" si="68"/>
        <v>100</v>
      </c>
      <c r="G551" t="str">
        <f t="shared" si="69"/>
        <v>make(ターゲット指定)</v>
      </c>
    </row>
    <row r="552" spans="1:7" ht="11.25" customHeight="1" outlineLevel="1">
      <c r="A552" s="15"/>
      <c r="B552" s="15" t="s">
        <v>1825</v>
      </c>
      <c r="C552" s="16" t="s">
        <v>1826</v>
      </c>
      <c r="D552" s="17"/>
      <c r="F552">
        <f t="shared" ca="1" si="68"/>
        <v>101</v>
      </c>
      <c r="G552" t="str">
        <f t="shared" si="69"/>
        <v>make(メイクファイル指定)</v>
      </c>
    </row>
    <row r="553" spans="1:7" ht="11.25" customHeight="1" outlineLevel="1">
      <c r="A553" s="15"/>
      <c r="B553" s="15" t="s">
        <v>1827</v>
      </c>
      <c r="C553" s="16" t="s">
        <v>1828</v>
      </c>
      <c r="D553" s="17"/>
      <c r="F553">
        <f t="shared" ca="1" si="68"/>
        <v>102</v>
      </c>
      <c r="G553" t="str">
        <f t="shared" si="69"/>
        <v>make(標準入力指定)</v>
      </c>
    </row>
    <row r="554" spans="1:7" ht="11.25" customHeight="1" outlineLevel="1">
      <c r="A554" s="15"/>
      <c r="B554" s="15" t="s">
        <v>1829</v>
      </c>
      <c r="C554" s="16" t="s">
        <v>1830</v>
      </c>
      <c r="D554" s="17"/>
      <c r="F554">
        <f t="shared" ca="1" si="68"/>
        <v>103</v>
      </c>
      <c r="G554" t="str">
        <f t="shared" si="69"/>
        <v>make(エラー無視)</v>
      </c>
    </row>
    <row r="555" spans="1:7" ht="11.25" customHeight="1" outlineLevel="1">
      <c r="A555" s="15"/>
      <c r="B555" s="15" t="s">
        <v>1831</v>
      </c>
      <c r="C555" s="16" t="s">
        <v>1832</v>
      </c>
      <c r="D555" s="17"/>
      <c r="F555">
        <f t="shared" ca="1" si="68"/>
        <v>104</v>
      </c>
      <c r="G555" t="str">
        <f t="shared" si="69"/>
        <v>make(コマンド出力のみ)</v>
      </c>
    </row>
    <row r="556" spans="1:7" ht="11.25" customHeight="1" outlineLevel="1">
      <c r="A556" s="15"/>
      <c r="B556" s="18" t="s">
        <v>1860</v>
      </c>
      <c r="C556" s="16" t="s">
        <v>1841</v>
      </c>
      <c r="D556" s="17"/>
      <c r="F556">
        <f t="shared" ca="1" si="68"/>
        <v>105</v>
      </c>
      <c r="G556" t="str">
        <f t="shared" si="69"/>
        <v>シンボル情報表示</v>
      </c>
    </row>
    <row r="557" spans="1:7" ht="11.25" customHeight="1" outlineLevel="1">
      <c r="A557" s="15"/>
      <c r="B557" s="15" t="s">
        <v>1844</v>
      </c>
      <c r="C557" s="16" t="s">
        <v>1902</v>
      </c>
      <c r="D557" s="17"/>
      <c r="F557">
        <f t="shared" ref="F557:F568" ca="1" si="70">IF(G557="",OFFSET(F557,-1,0),OFFSET(F557,-1,0)+1)</f>
        <v>106</v>
      </c>
      <c r="G557" t="str">
        <f t="shared" ref="G557:G568" si="71">IF(B557="","",B557)</f>
        <v>アーカイブファイル作成</v>
      </c>
    </row>
    <row r="558" spans="1:7" ht="11.25" customHeight="1" outlineLevel="1">
      <c r="A558" s="15"/>
      <c r="B558" s="15" t="s">
        <v>1842</v>
      </c>
      <c r="C558" s="16" t="s">
        <v>1843</v>
      </c>
      <c r="D558" s="17" t="s">
        <v>1964</v>
      </c>
      <c r="F558">
        <f t="shared" ca="1" si="70"/>
        <v>107</v>
      </c>
      <c r="G558" t="str">
        <f t="shared" si="71"/>
        <v>書庫インデックス作成</v>
      </c>
    </row>
    <row r="559" spans="1:7" ht="11.25" customHeight="1" outlineLevel="1">
      <c r="A559" s="15"/>
      <c r="B559" s="15" t="s">
        <v>1845</v>
      </c>
      <c r="C559" s="16" t="s">
        <v>1846</v>
      </c>
      <c r="D559" s="17"/>
      <c r="F559">
        <f t="shared" ca="1" si="70"/>
        <v>108</v>
      </c>
      <c r="G559" t="str">
        <f t="shared" si="71"/>
        <v>ctags</v>
      </c>
    </row>
    <row r="560" spans="1:7" ht="11.25" customHeight="1" outlineLevel="1">
      <c r="A560" s="15"/>
      <c r="B560" s="15" t="s">
        <v>1847</v>
      </c>
      <c r="C560" s="16" t="s">
        <v>1848</v>
      </c>
      <c r="D560" s="17"/>
      <c r="F560">
        <f t="shared" ca="1" si="70"/>
        <v>109</v>
      </c>
      <c r="G560" t="str">
        <f t="shared" si="71"/>
        <v>gtags</v>
      </c>
    </row>
    <row r="561" spans="1:7" ht="11.25" customHeight="1">
      <c r="A561" s="12" t="s">
        <v>1903</v>
      </c>
      <c r="B561" s="13"/>
      <c r="C561" s="13"/>
      <c r="D561" s="14" t="s">
        <v>122</v>
      </c>
      <c r="E561" t="s">
        <v>122</v>
      </c>
      <c r="F561">
        <f t="shared" ca="1" si="70"/>
        <v>109</v>
      </c>
      <c r="G561" t="str">
        <f t="shared" si="71"/>
        <v/>
      </c>
    </row>
    <row r="562" spans="1:7" ht="11.25" customHeight="1" outlineLevel="1">
      <c r="A562" s="15"/>
      <c r="B562" s="18" t="s">
        <v>2758</v>
      </c>
      <c r="C562" s="16" t="str">
        <f>"test_info_file=config/test_info.yaml
test_count=3
enable_abs=0
args=()
while (( $# &gt; 0 ))
do
    case $1 in
        -h | --help)"&amp;"
            echo ""[summary]""
            echo ""  xxx""
            echo """"
            echo ""[usage]""
            echo ""  test.sh [-f &lt;test_info_file&gt;] [-c &lt;test_count&gt;] [-a] [&lt;file_dir_path&gt;...]""
            echo """"
            echo ""[option]"""&amp;"
            echo ""  -f &lt;test_info_file&gt;, --file &lt;test_info_file&gt; : test information file path (default: ${test_info_file})""
            echo ""  -c &lt;test_count&gt;, --count &lt;test_count&gt; : Number of test iterations (default: ${test_count})"""&amp;"
            echo "" -a, --absolute: absolute full path""
            return 0
            ;;"&amp;"
        -f | --file)
            if [[ -z ""$2"" ]] || [[ ""$2"" =~ ^-+ ]]; then
                echo ""[error] '-f, --file' option requires an argument."" 1&gt;&amp;2
                return 1
            else"&amp;"
                test_info_file=""$2""
                shift
            fi
            ;;
        -c | --count)"&amp;"
            if [[ -z ""$2"" ]] || [[ ""$2"" =~ ^-+ ]]; then
                echo ""[error] '-c, --count' option requires an argument."" 1&gt;&amp;2
                return 1
            else"&amp;"
                test_count=""$2""
                shift
            fi
            ;;"&amp;"
        -a | --absolute)
            enable_abs=1
            ;;
        -*)
            echo ""[error] invalid option: \""$1\"". see options by --help.""
            return 1
            ;;
        *)
            args+=(""$1"")
            ;;"&amp;"
    esac
    shift
done
echo ${#args[@]}
for arg in ${args}
do
    echo ${arg}
done
"</f>
        <v xml:space="preserve">test_info_file=config/test_info.yaml
test_count=3
enable_abs=0
args=()
while (( $# &gt; 0 ))
do
    case $1 in
        -h | --help)
            echo "[summary]"
            echo "  xxx"
            echo ""
            echo "[usage]"
            echo "  test.sh [-f &lt;test_info_file&gt;] [-c &lt;test_count&gt;] [-a] [&lt;file_dir_path&gt;...]"
            echo ""
            echo "[option]"
            echo "  -f &lt;test_info_file&gt;, --file &lt;test_info_file&gt; : test information file path (default: ${test_info_file})"
            echo "  -c &lt;test_count&gt;, --count &lt;test_count&gt; : Number of test iterations (default: ${test_count})"
            echo " -a, --absolute: absolute full path"
            return 0
            ;;
        -f | --file)
            if [[ -z "$2" ]] || [[ "$2" =~ ^-+ ]]; then
                echo "[error] '-f, --file' option requires an argument." 1&gt;&amp;2
                return 1
            else
                test_info_file="$2"
                shift
            fi
            ;;
        -c | --count)
            if [[ -z "$2" ]] || [[ "$2" =~ ^-+ ]]; then
                echo "[error] '-c, --count' option requires an argument." 1&gt;&amp;2
                return 1
            else
                test_count="$2"
                shift
            fi
            ;;
        -a | --absolute)
            enable_abs=1
            ;;
        -*)
            echo "[error] invalid option: \"$1\". see options by --help."
            return 1
            ;;
        *)
            args+=("$1")
            ;;
    esac
    shift
done
echo ${#args[@]}
for arg in ${args}
do
    echo ${arg}
done
</v>
      </c>
      <c r="D562" s="17" t="s">
        <v>2785</v>
      </c>
      <c r="F562">
        <f t="shared" ca="1" si="70"/>
        <v>110</v>
      </c>
      <c r="G562" t="str">
        <f t="shared" si="71"/>
        <v>引数パーサー</v>
      </c>
    </row>
    <row r="563" spans="1:7" ht="11.25" customHeight="1" outlineLevel="1">
      <c r="A563" s="15"/>
      <c r="B563" s="15"/>
      <c r="C563" s="16"/>
      <c r="D563" s="17" t="s">
        <v>2075</v>
      </c>
      <c r="F563">
        <f t="shared" ca="1" si="70"/>
        <v>110</v>
      </c>
      <c r="G563" t="str">
        <f t="shared" si="71"/>
        <v/>
      </c>
    </row>
    <row r="564" spans="1:7" ht="11.25" customHeight="1" outlineLevel="1">
      <c r="A564" s="15"/>
      <c r="B564" s="15"/>
      <c r="C564" s="16"/>
      <c r="D564" s="17" t="s">
        <v>2075</v>
      </c>
      <c r="F564">
        <f t="shared" ca="1" si="70"/>
        <v>110</v>
      </c>
      <c r="G564" t="str">
        <f t="shared" si="71"/>
        <v/>
      </c>
    </row>
    <row r="565" spans="1:7" ht="11.25" customHeight="1" outlineLevel="1">
      <c r="A565" s="15"/>
      <c r="B565" s="15"/>
      <c r="C565" s="16"/>
      <c r="D565" s="17" t="s">
        <v>2075</v>
      </c>
      <c r="F565">
        <f t="shared" ca="1" si="70"/>
        <v>110</v>
      </c>
      <c r="G565" t="str">
        <f t="shared" si="71"/>
        <v/>
      </c>
    </row>
    <row r="566" spans="1:7" ht="11.25" customHeight="1" outlineLevel="1">
      <c r="A566" s="15"/>
      <c r="B566" s="15"/>
      <c r="C566" s="16"/>
      <c r="D566" s="17" t="s">
        <v>2075</v>
      </c>
      <c r="F566">
        <f t="shared" ca="1" si="70"/>
        <v>110</v>
      </c>
      <c r="G566" t="str">
        <f t="shared" si="71"/>
        <v/>
      </c>
    </row>
    <row r="567" spans="1:7" ht="11.25" customHeight="1" outlineLevel="1">
      <c r="A567" s="15"/>
      <c r="B567" s="15"/>
      <c r="C567" s="16"/>
      <c r="D567" s="17" t="s">
        <v>2075</v>
      </c>
      <c r="F567">
        <f t="shared" ca="1" si="70"/>
        <v>110</v>
      </c>
      <c r="G567" t="str">
        <f t="shared" si="71"/>
        <v/>
      </c>
    </row>
    <row r="568" spans="1:7" ht="11.25" customHeight="1" outlineLevel="1">
      <c r="A568" s="15"/>
      <c r="B568" s="15"/>
      <c r="C568" s="16"/>
      <c r="D568" s="17" t="s">
        <v>2075</v>
      </c>
      <c r="F568">
        <f t="shared" ca="1" si="70"/>
        <v>110</v>
      </c>
      <c r="G568" t="str">
        <f t="shared" si="71"/>
        <v/>
      </c>
    </row>
    <row r="569" spans="1:7" ht="11.25" customHeight="1">
      <c r="A569" t="s">
        <v>393</v>
      </c>
      <c r="B569" t="s">
        <v>393</v>
      </c>
      <c r="C569" t="s">
        <v>393</v>
      </c>
      <c r="D569" t="s">
        <v>393</v>
      </c>
    </row>
  </sheetData>
  <phoneticPr fontId="4"/>
  <hyperlinks>
    <hyperlink ref="B7" r:id="rId1" display="コマンド実行(直近実行コマンド" xr:uid="{5C48E83E-93EB-43B8-A65B-1B8A366BC140}"/>
    <hyperlink ref="B8" r:id="rId2" xr:uid="{5B444A34-0FDB-4C64-84D1-34B1E2C09599}"/>
    <hyperlink ref="B111" r:id="rId3" xr:uid="{FF750526-8E93-417D-BF3F-CBD4F9EE1720}"/>
    <hyperlink ref="B112" r:id="rId4" xr:uid="{58C7817B-6156-4354-A3D0-3D92DF91981B}"/>
    <hyperlink ref="B113" r:id="rId5" xr:uid="{A52517C9-6F22-4C28-8EB0-78FA6BA1D81F}"/>
    <hyperlink ref="B114" r:id="rId6" xr:uid="{B999FF95-AB8D-48EB-8293-DDC9C11FFCB6}"/>
    <hyperlink ref="B115" r:id="rId7" xr:uid="{BAB07D8A-2867-4E09-A31B-291C2FF1A9A3}"/>
    <hyperlink ref="B116" r:id="rId8" xr:uid="{7E88D8A7-93E6-4837-9F89-98215E0A5873}"/>
    <hyperlink ref="B117" r:id="rId9" xr:uid="{C944506A-F500-47CC-87CA-0AE8EC716307}"/>
    <hyperlink ref="B118" r:id="rId10" xr:uid="{4B1E3A19-6E20-44C7-B5D1-60FDD0ADA9CE}"/>
    <hyperlink ref="A107" r:id="rId11" xr:uid="{7E591FD9-C5D2-44E8-9481-72F003FE664F}"/>
    <hyperlink ref="A119" r:id="rId12" location="parameterword-%E3%83%87%E3%83%95%E3%82%A9%E3%83%AB%E3%83%88%E5%80%A4%E4%BB%A3%E5%85%A5%E3%81%82%E3%82%8A" xr:uid="{808745E4-53C3-437B-A79D-60C6A4EC6575}"/>
    <hyperlink ref="D156" r:id="rId13" xr:uid="{46AF833A-C011-4688-AE9C-02DCC30962D3}"/>
    <hyperlink ref="D520" r:id="rId14" xr:uid="{D46EE624-4F47-478E-B5BD-C8E26E7A0A82}"/>
    <hyperlink ref="D397" r:id="rId15" xr:uid="{3C2D4B8E-D654-4FE2-B8E1-9D9C91518CAA}"/>
    <hyperlink ref="B220" r:id="rId16" xr:uid="{74CD86D0-2779-4C6F-91C0-82169D19DFC2}"/>
    <hyperlink ref="B242" r:id="rId17" xr:uid="{D820A2D1-981E-486F-8A50-6FFBFC61DDA0}"/>
    <hyperlink ref="D259" r:id="rId18" xr:uid="{2DFDD037-1F36-4BB5-B190-8E6B7A0AC7A9}"/>
    <hyperlink ref="B330" r:id="rId19" xr:uid="{D789877F-BEEB-4908-A574-65A31B61AE3A}"/>
    <hyperlink ref="B334" r:id="rId20" xr:uid="{D94FE99A-D68D-431B-98B7-5B041B329F6D}"/>
    <hyperlink ref="B361" r:id="rId21" xr:uid="{16533156-79C8-4C16-B11F-C05BB941609C}"/>
    <hyperlink ref="B363" r:id="rId22" xr:uid="{8EE94606-745E-4BE7-A9E0-80FB7B283739}"/>
    <hyperlink ref="D298" r:id="rId23" xr:uid="{1C3FEECF-9035-4155-8B22-ECF00B300669}"/>
    <hyperlink ref="B512" r:id="rId24" xr:uid="{A1FAA3CC-02A2-43E5-8196-D8AB7A2F47E9}"/>
    <hyperlink ref="B513" r:id="rId25" xr:uid="{2C1D469C-8C10-4D93-A896-C55A708416D7}"/>
    <hyperlink ref="B369" r:id="rId26" xr:uid="{F570FBE9-0ED8-45D2-BCA2-DA9F8AA716C8}"/>
    <hyperlink ref="B556" r:id="rId27" xr:uid="{BCDD13C5-F01B-408A-80CB-CD353AA17C0A}"/>
    <hyperlink ref="B54" r:id="rId28" xr:uid="{C5AC84D6-5591-4F38-8A00-D6AB8B572967}"/>
    <hyperlink ref="B77" r:id="rId29" xr:uid="{E48D37EE-85C8-4AD2-8741-34595708582A}"/>
    <hyperlink ref="B88" r:id="rId30" xr:uid="{2631135A-D57F-4FE1-BA3E-C58BF26529B8}"/>
    <hyperlink ref="B237" r:id="rId31" xr:uid="{DAFD9059-72A7-4AEF-A920-D7ADECBF8480}"/>
    <hyperlink ref="B374" r:id="rId32" xr:uid="{1F03796D-ED57-4BB0-8587-CE71C446575D}"/>
    <hyperlink ref="B524" r:id="rId33" xr:uid="{72589B39-F472-43F9-A019-1F43B74CBF24}"/>
    <hyperlink ref="B203" r:id="rId34" xr:uid="{4A95ABB7-9226-4964-8B5A-842655F14AB0}"/>
    <hyperlink ref="B528" r:id="rId35" xr:uid="{0C4C0F4E-0F13-4C02-905F-2D95DE378151}"/>
    <hyperlink ref="B529" r:id="rId36" xr:uid="{BFAFCD0F-6CF0-41F1-9556-37FCC5C58A63}"/>
    <hyperlink ref="B94" r:id="rId37" display="ログ出力先指定（標準出力）" xr:uid="{E234402C-C8D0-4A57-8AD1-09B993CBFDA9}"/>
    <hyperlink ref="B95" r:id="rId38" display="ログ出力先指定（標準エラー出力）" xr:uid="{55982FC6-53E6-42A9-989E-B8E872DA58B7}"/>
    <hyperlink ref="B96" r:id="rId39" display="ログ出力先指定toファイル（標準出力）" xr:uid="{1D331F78-7CE5-472E-87B6-9ED29FD19AB6}"/>
    <hyperlink ref="B97" r:id="rId40" xr:uid="{0D6B5E2D-363B-4FB3-86F2-717B478F991D}"/>
    <hyperlink ref="D159" r:id="rId41" xr:uid="{F1A2E6B3-35DD-4580-ADA8-EB4A60776915}"/>
    <hyperlink ref="D160" r:id="rId42" xr:uid="{334C9647-813C-49ED-8DEF-0633289F4D2C}"/>
    <hyperlink ref="B562" r:id="rId43" display="引数パース" xr:uid="{62A59E0D-C3BD-4141-8C05-9A51B9F70C25}"/>
    <hyperlink ref="B459" r:id="rId44" xr:uid="{B69B4CE7-FB8B-4054-A466-7F32DBFBBC37}"/>
  </hyperlinks>
  <pageMargins left="0.7" right="0.7" top="0.75" bottom="0.75" header="0.3" footer="0.3"/>
  <pageSetup paperSize="9" scale="38" orientation="portrait" r:id="rId45"/>
  <legacyDrawing r:id="rId4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C756A-71B6-4C0B-B669-4ACD17D48814}">
  <sheetPr codeName="Sheet6">
    <outlinePr summaryBelow="0" summaryRight="0"/>
  </sheetPr>
  <dimension ref="A1:G526"/>
  <sheetViews>
    <sheetView showGridLines="0" view="pageBreakPreview" zoomScaleNormal="100" zoomScaleSheetLayoutView="100" workbookViewId="0">
      <pane xSplit="2" ySplit="2" topLeftCell="C361" activePane="bottomRight" state="frozen"/>
      <selection pane="topRight" activeCell="L1" sqref="L1"/>
      <selection pane="bottomLeft" activeCell="A2" sqref="A2"/>
      <selection pane="bottomRight" activeCell="C526" sqref="C526"/>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840</v>
      </c>
      <c r="G2" s="11"/>
    </row>
    <row r="3" spans="1:7" ht="11.25" customHeight="1">
      <c r="A3" s="12" t="s">
        <v>572</v>
      </c>
      <c r="B3" s="13"/>
      <c r="C3" s="13" t="s">
        <v>122</v>
      </c>
      <c r="D3" s="14" t="s">
        <v>122</v>
      </c>
      <c r="E3" t="s">
        <v>122</v>
      </c>
      <c r="F3">
        <f t="shared" ref="F3:F50" ca="1" si="0">IF(G3="",OFFSET(F3,-1,0),OFFSET(F3,-1,0)+1)</f>
        <v>840</v>
      </c>
      <c r="G3" t="str">
        <f t="shared" ref="G3:G50" si="1">IF(B3="","",B3)</f>
        <v/>
      </c>
    </row>
    <row r="4" spans="1:7" ht="11.25" customHeight="1" outlineLevel="1">
      <c r="A4" s="15"/>
      <c r="B4" s="15" t="s">
        <v>1875</v>
      </c>
      <c r="C4" s="16" t="s">
        <v>122</v>
      </c>
      <c r="D4" s="17" t="s">
        <v>122</v>
      </c>
      <c r="F4">
        <f t="shared" ca="1" si="0"/>
        <v>841</v>
      </c>
      <c r="G4" t="str">
        <f t="shared" si="1"/>
        <v>シェバン(shebang)</v>
      </c>
    </row>
    <row r="5" spans="1:7" ht="11.25" customHeight="1" outlineLevel="1">
      <c r="A5" s="15"/>
      <c r="B5" s="15" t="s">
        <v>36</v>
      </c>
      <c r="C5" s="16" t="s">
        <v>122</v>
      </c>
      <c r="D5" s="17" t="s">
        <v>122</v>
      </c>
      <c r="F5">
        <f t="shared" ca="1" si="0"/>
        <v>842</v>
      </c>
      <c r="G5" t="str">
        <f t="shared" si="1"/>
        <v>コマンド実行</v>
      </c>
    </row>
    <row r="6" spans="1:7" ht="11.25" customHeight="1" outlineLevel="1">
      <c r="A6" s="15"/>
      <c r="B6" s="15" t="s">
        <v>1036</v>
      </c>
      <c r="C6" s="16" t="s">
        <v>122</v>
      </c>
      <c r="D6" s="17" t="s">
        <v>122</v>
      </c>
      <c r="F6">
        <f t="shared" ca="1" si="0"/>
        <v>843</v>
      </c>
      <c r="G6" t="str">
        <f t="shared" si="1"/>
        <v>コマンド実行(非エイリアス)</v>
      </c>
    </row>
    <row r="7" spans="1:7" ht="11.25" customHeight="1" outlineLevel="1">
      <c r="A7" s="15"/>
      <c r="B7" s="18" t="s">
        <v>1039</v>
      </c>
      <c r="C7" s="16" t="s">
        <v>122</v>
      </c>
      <c r="D7" s="17" t="s">
        <v>122</v>
      </c>
      <c r="F7">
        <f t="shared" ca="1" si="0"/>
        <v>844</v>
      </c>
      <c r="G7" t="str">
        <f t="shared" si="1"/>
        <v>コマンド実行(直近実行コマンド)</v>
      </c>
    </row>
    <row r="8" spans="1:7" ht="11.25" customHeight="1" outlineLevel="1">
      <c r="A8" s="15"/>
      <c r="B8" s="3" t="s">
        <v>1042</v>
      </c>
      <c r="C8" s="16" t="s">
        <v>122</v>
      </c>
      <c r="D8" s="17" t="s">
        <v>122</v>
      </c>
      <c r="F8">
        <f t="shared" ca="1" si="0"/>
        <v>845</v>
      </c>
      <c r="G8" t="str">
        <f t="shared" si="1"/>
        <v>コマンド実行(直前コマンド)</v>
      </c>
    </row>
    <row r="9" spans="1:7" ht="11.25" customHeight="1" outlineLevel="1">
      <c r="A9" s="15"/>
      <c r="B9" s="15" t="s">
        <v>1187</v>
      </c>
      <c r="C9" s="16" t="s">
        <v>122</v>
      </c>
      <c r="D9" s="17" t="s">
        <v>122</v>
      </c>
      <c r="F9">
        <f t="shared" ca="1" si="0"/>
        <v>846</v>
      </c>
      <c r="G9" t="str">
        <f t="shared" si="1"/>
        <v>直前コマンドの最初の引数</v>
      </c>
    </row>
    <row r="10" spans="1:7" ht="11.25" customHeight="1" outlineLevel="1">
      <c r="A10" s="15"/>
      <c r="B10" s="15" t="s">
        <v>1189</v>
      </c>
      <c r="C10" s="16" t="s">
        <v>122</v>
      </c>
      <c r="D10" s="17" t="s">
        <v>122</v>
      </c>
      <c r="F10">
        <f t="shared" ca="1" si="0"/>
        <v>847</v>
      </c>
      <c r="G10" t="str">
        <f t="shared" si="1"/>
        <v>直前コマンドの最終の引数</v>
      </c>
    </row>
    <row r="11" spans="1:7" ht="11.25" customHeight="1" outlineLevel="1">
      <c r="A11" s="15"/>
      <c r="B11" s="15" t="s">
        <v>1191</v>
      </c>
      <c r="C11" s="16" t="s">
        <v>122</v>
      </c>
      <c r="D11" s="17" t="s">
        <v>122</v>
      </c>
      <c r="F11">
        <f t="shared" ca="1" si="0"/>
        <v>848</v>
      </c>
      <c r="G11" t="str">
        <f t="shared" si="1"/>
        <v>直前コマンドの全引数</v>
      </c>
    </row>
    <row r="12" spans="1:7" ht="11.25" customHeight="1" outlineLevel="1">
      <c r="A12" s="15"/>
      <c r="B12" s="15" t="s">
        <v>1193</v>
      </c>
      <c r="C12" s="16" t="s">
        <v>122</v>
      </c>
      <c r="D12" s="17" t="s">
        <v>122</v>
      </c>
      <c r="F12">
        <f t="shared" ca="1" si="0"/>
        <v>849</v>
      </c>
      <c r="G12" t="str">
        <f t="shared" si="1"/>
        <v>直前コマンドの全引数(最終引数を除く)</v>
      </c>
    </row>
    <row r="13" spans="1:7" ht="11.25" customHeight="1" outlineLevel="1">
      <c r="A13" s="15"/>
      <c r="B13" s="15" t="s">
        <v>1195</v>
      </c>
      <c r="C13" s="16" t="s">
        <v>122</v>
      </c>
      <c r="D13" s="17" t="s">
        <v>122</v>
      </c>
      <c r="F13">
        <f t="shared" ca="1" si="0"/>
        <v>850</v>
      </c>
      <c r="G13" t="str">
        <f t="shared" si="1"/>
        <v>直前コマンドの最終引数</v>
      </c>
    </row>
    <row r="14" spans="1:7" ht="11.25" customHeight="1" outlineLevel="1">
      <c r="A14" s="15"/>
      <c r="B14" s="15" t="s">
        <v>1908</v>
      </c>
      <c r="C14" s="16" t="s">
        <v>122</v>
      </c>
      <c r="D14" s="17" t="s">
        <v>122</v>
      </c>
      <c r="F14">
        <f t="shared" ca="1" si="0"/>
        <v>851</v>
      </c>
      <c r="G14" t="str">
        <f t="shared" si="1"/>
        <v>直前コマンドの実行結果</v>
      </c>
    </row>
    <row r="15" spans="1:7" ht="11.25" customHeight="1" outlineLevel="1">
      <c r="A15" s="15"/>
      <c r="B15" s="15" t="s">
        <v>1196</v>
      </c>
      <c r="C15" s="16" t="s">
        <v>122</v>
      </c>
      <c r="D15" s="17" t="s">
        <v>122</v>
      </c>
      <c r="F15">
        <f t="shared" ca="1" si="0"/>
        <v>852</v>
      </c>
      <c r="G15" t="str">
        <f t="shared" si="1"/>
        <v>シェルのPID</v>
      </c>
    </row>
    <row r="16" spans="1:7" ht="11.25" customHeight="1" outlineLevel="1">
      <c r="A16" s="15"/>
      <c r="B16" s="15" t="s">
        <v>1197</v>
      </c>
      <c r="C16" s="16" t="s">
        <v>122</v>
      </c>
      <c r="D16" s="17" t="s">
        <v>122</v>
      </c>
      <c r="F16">
        <f t="shared" ca="1" si="0"/>
        <v>853</v>
      </c>
      <c r="G16" t="str">
        <f t="shared" si="1"/>
        <v>直近n番目に実行したコマンド</v>
      </c>
    </row>
    <row r="17" spans="1:7" ht="11.25" customHeight="1" outlineLevel="1">
      <c r="A17" s="15"/>
      <c r="B17" s="15" t="s">
        <v>1199</v>
      </c>
      <c r="C17" s="16" t="s">
        <v>122</v>
      </c>
      <c r="D17" s="17" t="s">
        <v>122</v>
      </c>
      <c r="F17">
        <f t="shared" ca="1" si="0"/>
        <v>854</v>
      </c>
      <c r="G17" t="str">
        <f t="shared" si="1"/>
        <v>直近n番目に実行したコマンド(ヒストリ)</v>
      </c>
    </row>
    <row r="18" spans="1:7" ht="11.25" customHeight="1" outlineLevel="1">
      <c r="A18" s="15"/>
      <c r="B18" s="15" t="s">
        <v>1201</v>
      </c>
      <c r="C18" s="16" t="s">
        <v>122</v>
      </c>
      <c r="D18" s="17" t="s">
        <v>122</v>
      </c>
      <c r="F18">
        <f t="shared" ca="1" si="0"/>
        <v>855</v>
      </c>
      <c r="G18" t="str">
        <f t="shared" si="1"/>
        <v>直前コマンド最終引数のファイルベース名</v>
      </c>
    </row>
    <row r="19" spans="1:7" ht="11.25" customHeight="1" outlineLevel="1">
      <c r="A19" s="15"/>
      <c r="B19" s="15" t="s">
        <v>1203</v>
      </c>
      <c r="C19" s="16" t="s">
        <v>122</v>
      </c>
      <c r="D19" s="17" t="s">
        <v>122</v>
      </c>
      <c r="F19">
        <f t="shared" ca="1" si="0"/>
        <v>856</v>
      </c>
      <c r="G19" t="str">
        <f t="shared" si="1"/>
        <v>直前コマンド最終引数のディレクトリパス</v>
      </c>
    </row>
    <row r="20" spans="1:7" ht="11.25" customHeight="1" outlineLevel="1">
      <c r="A20" s="15"/>
      <c r="B20" s="15" t="s">
        <v>1205</v>
      </c>
      <c r="C20" s="16" t="s">
        <v>122</v>
      </c>
      <c r="D20" s="17" t="s">
        <v>122</v>
      </c>
      <c r="F20">
        <f t="shared" ca="1" si="0"/>
        <v>857</v>
      </c>
      <c r="G20" t="str">
        <f t="shared" si="1"/>
        <v>直前コマンドのn番目のトークン(0:コマンド名、1以降:引数)</v>
      </c>
    </row>
    <row r="21" spans="1:7" ht="11.25" customHeight="1" outlineLevel="1">
      <c r="A21" s="15"/>
      <c r="B21" s="15" t="s">
        <v>1207</v>
      </c>
      <c r="C21" s="16" t="s">
        <v>122</v>
      </c>
      <c r="D21" s="17" t="s">
        <v>122</v>
      </c>
      <c r="F21">
        <f t="shared" ca="1" si="0"/>
        <v>858</v>
      </c>
      <c r="G21" t="str">
        <f t="shared" si="1"/>
        <v>直前コマンドのn～m番目のトークン</v>
      </c>
    </row>
    <row r="22" spans="1:7" ht="11.25" customHeight="1" outlineLevel="1">
      <c r="A22" s="15"/>
      <c r="B22" s="15" t="s">
        <v>1209</v>
      </c>
      <c r="C22" s="16" t="s">
        <v>122</v>
      </c>
      <c r="D22" s="17" t="s">
        <v>122</v>
      </c>
      <c r="F22">
        <f t="shared" ca="1" si="0"/>
        <v>859</v>
      </c>
      <c r="G22" t="str">
        <f t="shared" si="1"/>
        <v>直前コマンドのn～最終トークン</v>
      </c>
    </row>
    <row r="23" spans="1:7" ht="11.25" customHeight="1" outlineLevel="1">
      <c r="A23" s="15"/>
      <c r="B23" s="15" t="s">
        <v>1050</v>
      </c>
      <c r="C23" s="16" t="s">
        <v>122</v>
      </c>
      <c r="D23" s="17" t="s">
        <v>122</v>
      </c>
      <c r="F23">
        <f t="shared" ca="1" si="0"/>
        <v>860</v>
      </c>
      <c r="G23" t="str">
        <f t="shared" si="1"/>
        <v>コマンド連続実行(逐次)(cmd1実行結果に関わらず)</v>
      </c>
    </row>
    <row r="24" spans="1:7" ht="11.25" customHeight="1" outlineLevel="1">
      <c r="A24" s="15"/>
      <c r="B24" s="15" t="s">
        <v>1051</v>
      </c>
      <c r="C24" s="16" t="s">
        <v>122</v>
      </c>
      <c r="D24" s="17" t="s">
        <v>122</v>
      </c>
      <c r="F24">
        <f t="shared" ca="1" si="0"/>
        <v>861</v>
      </c>
      <c r="G24" t="str">
        <f t="shared" si="1"/>
        <v>コマンド連続実行(逐次)(cmd1正常終了時のみ)</v>
      </c>
    </row>
    <row r="25" spans="1:7" ht="11.25" customHeight="1" outlineLevel="1">
      <c r="A25" s="15"/>
      <c r="B25" s="15" t="s">
        <v>1052</v>
      </c>
      <c r="C25" s="16" t="s">
        <v>122</v>
      </c>
      <c r="D25" s="17" t="s">
        <v>122</v>
      </c>
      <c r="F25">
        <f t="shared" ca="1" si="0"/>
        <v>862</v>
      </c>
      <c r="G25" t="str">
        <f t="shared" si="1"/>
        <v>コマンド連続実行(逐次)(cmd1異常終了時のみ)</v>
      </c>
    </row>
    <row r="26" spans="1:7" ht="11.25" customHeight="1" outlineLevel="1">
      <c r="A26" s="15"/>
      <c r="B26" s="15" t="s">
        <v>1053</v>
      </c>
      <c r="C26" s="16" t="s">
        <v>122</v>
      </c>
      <c r="D26" s="17" t="s">
        <v>122</v>
      </c>
      <c r="F26">
        <f t="shared" ca="1" si="0"/>
        <v>863</v>
      </c>
      <c r="G26" t="str">
        <f t="shared" si="1"/>
        <v>コマンド連続実行(並列)(cmd1実行結果に関わらず)</v>
      </c>
    </row>
    <row r="27" spans="1:7" ht="11.25" customHeight="1" outlineLevel="1">
      <c r="A27" s="15"/>
      <c r="B27" s="15" t="s">
        <v>1054</v>
      </c>
      <c r="C27" s="16" t="s">
        <v>122</v>
      </c>
      <c r="D27" s="17" t="s">
        <v>122</v>
      </c>
      <c r="F27">
        <f t="shared" ca="1" si="0"/>
        <v>864</v>
      </c>
      <c r="G27" t="str">
        <f t="shared" si="1"/>
        <v>コマンド連続実行(実行結果引渡し)(cmd1標準出力→cmd2標準入力)</v>
      </c>
    </row>
    <row r="28" spans="1:7" ht="11.25" customHeight="1" outlineLevel="1">
      <c r="A28" s="15"/>
      <c r="B28" s="15" t="s">
        <v>1055</v>
      </c>
      <c r="C28" s="16" t="s">
        <v>122</v>
      </c>
      <c r="D28" s="17" t="s">
        <v>122</v>
      </c>
      <c r="F28">
        <f t="shared" ca="1" si="0"/>
        <v>865</v>
      </c>
      <c r="G28" t="str">
        <f t="shared" si="1"/>
        <v>コマンド連続実行(実行結果引渡し)(cmd1標準出力＆エラー出力→cmd2標準入力)</v>
      </c>
    </row>
    <row r="29" spans="1:7" ht="11.25" customHeight="1" outlineLevel="1">
      <c r="A29" s="15"/>
      <c r="B29" s="15" t="s">
        <v>1058</v>
      </c>
      <c r="C29" s="16" t="s">
        <v>122</v>
      </c>
      <c r="D29" s="17" t="s">
        <v>122</v>
      </c>
      <c r="F29">
        <f t="shared" ca="1" si="0"/>
        <v>866</v>
      </c>
      <c r="G29" t="str">
        <f t="shared" si="1"/>
        <v>まとめてコマンド実行(サブシェル)</v>
      </c>
    </row>
    <row r="30" spans="1:7" ht="11.25" customHeight="1" outlineLevel="1">
      <c r="A30" s="15"/>
      <c r="B30" s="15" t="s">
        <v>1059</v>
      </c>
      <c r="C30" s="16" t="s">
        <v>122</v>
      </c>
      <c r="D30" s="17" t="s">
        <v>122</v>
      </c>
      <c r="F30">
        <f t="shared" ca="1" si="0"/>
        <v>867</v>
      </c>
      <c r="G30" t="str">
        <f t="shared" si="1"/>
        <v>まとめてコマンド実行(現在シェル)</v>
      </c>
    </row>
    <row r="31" spans="1:7" ht="11.25" customHeight="1" outlineLevel="1">
      <c r="A31" s="15"/>
      <c r="B31" s="15" t="s">
        <v>1147</v>
      </c>
      <c r="C31" s="16" t="s">
        <v>122</v>
      </c>
      <c r="D31" s="17" t="s">
        <v>122</v>
      </c>
      <c r="F31">
        <f t="shared" ca="1" si="0"/>
        <v>868</v>
      </c>
      <c r="G31" t="str">
        <f t="shared" si="1"/>
        <v>サブシェル実行結果保存1</v>
      </c>
    </row>
    <row r="32" spans="1:7" ht="11.25" customHeight="1" outlineLevel="1">
      <c r="A32" s="15"/>
      <c r="B32" s="15" t="s">
        <v>1149</v>
      </c>
      <c r="C32" s="16" t="s">
        <v>122</v>
      </c>
      <c r="D32" s="17" t="s">
        <v>122</v>
      </c>
      <c r="F32">
        <f t="shared" ca="1" si="0"/>
        <v>869</v>
      </c>
      <c r="G32" t="str">
        <f t="shared" si="1"/>
        <v>サブシェル実行結果保存2</v>
      </c>
    </row>
    <row r="33" spans="1:7" ht="11.25" customHeight="1" outlineLevel="1">
      <c r="A33" s="15"/>
      <c r="B33" s="15" t="s">
        <v>1876</v>
      </c>
      <c r="C33" s="16" t="s">
        <v>122</v>
      </c>
      <c r="D33" s="17" t="s">
        <v>122</v>
      </c>
      <c r="F33">
        <f t="shared" ca="1" si="0"/>
        <v>870</v>
      </c>
      <c r="G33" t="str">
        <f t="shared" si="1"/>
        <v>コメント</v>
      </c>
    </row>
    <row r="34" spans="1:7" ht="11.25" customHeight="1" outlineLevel="1">
      <c r="A34" s="15"/>
      <c r="B34" s="15" t="s">
        <v>1169</v>
      </c>
      <c r="C34" s="16" t="s">
        <v>122</v>
      </c>
      <c r="D34" s="17" t="s">
        <v>122</v>
      </c>
      <c r="F34">
        <f t="shared" ca="1" si="0"/>
        <v>871</v>
      </c>
      <c r="G34" t="str">
        <f t="shared" si="1"/>
        <v>シェルスクリプト実行(現在シェル)</v>
      </c>
    </row>
    <row r="35" spans="1:7" ht="11.25" customHeight="1" outlineLevel="1">
      <c r="A35" s="15"/>
      <c r="B35" s="15" t="s">
        <v>1169</v>
      </c>
      <c r="C35" s="16" t="s">
        <v>122</v>
      </c>
      <c r="D35" s="17" t="s">
        <v>122</v>
      </c>
      <c r="F35">
        <f t="shared" ca="1" si="0"/>
        <v>872</v>
      </c>
      <c r="G35" t="str">
        <f t="shared" si="1"/>
        <v>シェルスクリプト実行(現在シェル)</v>
      </c>
    </row>
    <row r="36" spans="1:7" ht="11.25" customHeight="1" outlineLevel="1">
      <c r="A36" s="15"/>
      <c r="B36" s="15" t="s">
        <v>1170</v>
      </c>
      <c r="C36" s="16" t="s">
        <v>122</v>
      </c>
      <c r="D36" s="17" t="s">
        <v>122</v>
      </c>
      <c r="F36">
        <f t="shared" ca="1" si="0"/>
        <v>873</v>
      </c>
      <c r="G36" t="str">
        <f t="shared" si="1"/>
        <v>シェルスクリプト実行(サブシェル)</v>
      </c>
    </row>
    <row r="37" spans="1:7" ht="11.25" customHeight="1" outlineLevel="1">
      <c r="A37" s="15"/>
      <c r="B37" s="15" t="s">
        <v>1170</v>
      </c>
      <c r="C37" s="16" t="s">
        <v>122</v>
      </c>
      <c r="D37" s="17" t="s">
        <v>122</v>
      </c>
      <c r="F37">
        <f t="shared" ca="1" si="0"/>
        <v>874</v>
      </c>
      <c r="G37" t="str">
        <f t="shared" si="1"/>
        <v>シェルスクリプト実行(サブシェル)</v>
      </c>
    </row>
    <row r="38" spans="1:7" ht="11.25" customHeight="1" outlineLevel="1">
      <c r="A38" s="15"/>
      <c r="B38" s="15" t="s">
        <v>529</v>
      </c>
      <c r="C38" s="16" t="s">
        <v>122</v>
      </c>
      <c r="D38" s="17" t="s">
        <v>122</v>
      </c>
      <c r="F38">
        <f t="shared" ca="1" si="0"/>
        <v>875</v>
      </c>
      <c r="G38" t="str">
        <f t="shared" si="1"/>
        <v>変数定義</v>
      </c>
    </row>
    <row r="39" spans="1:7" ht="11.25" customHeight="1" outlineLevel="1">
      <c r="A39" s="15"/>
      <c r="B39" s="15" t="s">
        <v>1152</v>
      </c>
      <c r="C39" s="16" t="s">
        <v>122</v>
      </c>
      <c r="D39" s="17" t="s">
        <v>122</v>
      </c>
      <c r="F39">
        <f t="shared" ca="1" si="0"/>
        <v>876</v>
      </c>
      <c r="G39" t="str">
        <f t="shared" si="1"/>
        <v>変数参照</v>
      </c>
    </row>
    <row r="40" spans="1:7" ht="11.25" customHeight="1" outlineLevel="1">
      <c r="A40" s="15"/>
      <c r="B40" s="15" t="s">
        <v>1152</v>
      </c>
      <c r="C40" s="16" t="s">
        <v>122</v>
      </c>
      <c r="D40" s="17" t="s">
        <v>122</v>
      </c>
      <c r="F40">
        <f t="shared" ca="1" si="0"/>
        <v>877</v>
      </c>
      <c r="G40" t="str">
        <f t="shared" si="1"/>
        <v>変数参照</v>
      </c>
    </row>
    <row r="41" spans="1:7" ht="11.25" customHeight="1" outlineLevel="1">
      <c r="A41" s="15"/>
      <c r="B41" s="15" t="s">
        <v>1152</v>
      </c>
      <c r="C41" s="16" t="s">
        <v>122</v>
      </c>
      <c r="D41" s="17" t="s">
        <v>122</v>
      </c>
      <c r="F41">
        <f t="shared" ca="1" si="0"/>
        <v>878</v>
      </c>
      <c r="G41" t="str">
        <f t="shared" si="1"/>
        <v>変数参照</v>
      </c>
    </row>
    <row r="42" spans="1:7" ht="11.25" customHeight="1" outlineLevel="1">
      <c r="A42" s="15"/>
      <c r="B42" s="15" t="s">
        <v>1153</v>
      </c>
      <c r="C42" s="16" t="s">
        <v>122</v>
      </c>
      <c r="D42" s="17" t="s">
        <v>122</v>
      </c>
      <c r="F42">
        <f t="shared" ca="1" si="0"/>
        <v>879</v>
      </c>
      <c r="G42" t="str">
        <f t="shared" si="1"/>
        <v>変数参照(非空文字列時word返却＆var非保存)</v>
      </c>
    </row>
    <row r="43" spans="1:7" ht="11.25" customHeight="1" outlineLevel="1">
      <c r="A43" s="15"/>
      <c r="B43" s="15" t="s">
        <v>1154</v>
      </c>
      <c r="C43" s="16" t="s">
        <v>122</v>
      </c>
      <c r="D43" s="17" t="s">
        <v>122</v>
      </c>
      <c r="F43">
        <f t="shared" ca="1" si="0"/>
        <v>880</v>
      </c>
      <c r="G43" t="str">
        <f t="shared" si="1"/>
        <v>変数参照(　空文字列時word返却＆var非保存)</v>
      </c>
    </row>
    <row r="44" spans="1:7" ht="11.25" customHeight="1" outlineLevel="1">
      <c r="A44" s="15"/>
      <c r="B44" s="15" t="s">
        <v>1155</v>
      </c>
      <c r="C44" s="16" t="s">
        <v>122</v>
      </c>
      <c r="D44" s="17" t="s">
        <v>122</v>
      </c>
      <c r="F44">
        <f t="shared" ca="1" si="0"/>
        <v>881</v>
      </c>
      <c r="G44" t="str">
        <f t="shared" si="1"/>
        <v>変数参照(　空文字列時word返却＆var　保存)</v>
      </c>
    </row>
    <row r="45" spans="1:7" ht="11.25" customHeight="1" outlineLevel="1">
      <c r="A45" s="15"/>
      <c r="B45" s="15" t="s">
        <v>1156</v>
      </c>
      <c r="C45" s="16" t="s">
        <v>122</v>
      </c>
      <c r="D45" s="17" t="s">
        <v>122</v>
      </c>
      <c r="F45">
        <f t="shared" ca="1" si="0"/>
        <v>882</v>
      </c>
      <c r="G45" t="str">
        <f t="shared" si="1"/>
        <v>変数参照(　空文字列時標準エラー出力表示)</v>
      </c>
    </row>
    <row r="46" spans="1:7" ht="11.25" customHeight="1" outlineLevel="1">
      <c r="A46" s="15"/>
      <c r="B46" s="15" t="s">
        <v>1157</v>
      </c>
      <c r="C46" s="16" t="s">
        <v>122</v>
      </c>
      <c r="D46" s="17" t="s">
        <v>122</v>
      </c>
      <c r="F46">
        <f t="shared" ca="1" si="0"/>
        <v>883</v>
      </c>
      <c r="G46" t="str">
        <f t="shared" si="1"/>
        <v>変数定義(配列)</v>
      </c>
    </row>
    <row r="47" spans="1:7" ht="11.25" customHeight="1" outlineLevel="1">
      <c r="A47" s="15"/>
      <c r="B47" s="15" t="s">
        <v>1158</v>
      </c>
      <c r="C47" s="16" t="s">
        <v>122</v>
      </c>
      <c r="D47" s="17" t="s">
        <v>122</v>
      </c>
      <c r="F47">
        <f t="shared" ca="1" si="0"/>
        <v>884</v>
      </c>
      <c r="G47" t="str">
        <f t="shared" si="1"/>
        <v>変数参照(配列)</v>
      </c>
    </row>
    <row r="48" spans="1:7" ht="11.25" customHeight="1" outlineLevel="1">
      <c r="A48" s="15"/>
      <c r="B48" s="15" t="s">
        <v>7</v>
      </c>
      <c r="C48" s="16" t="s">
        <v>122</v>
      </c>
      <c r="D48" s="17" t="s">
        <v>122</v>
      </c>
      <c r="F48">
        <f t="shared" ca="1" si="0"/>
        <v>885</v>
      </c>
      <c r="G48" t="str">
        <f t="shared" si="1"/>
        <v>関数定義</v>
      </c>
    </row>
    <row r="49" spans="1:7" ht="11.25" customHeight="1" outlineLevel="1">
      <c r="A49" s="15"/>
      <c r="B49" s="15" t="s">
        <v>1159</v>
      </c>
      <c r="C49" s="16" t="s">
        <v>122</v>
      </c>
      <c r="D49" s="17" t="s">
        <v>122</v>
      </c>
      <c r="F49">
        <f t="shared" ca="1" si="0"/>
        <v>886</v>
      </c>
      <c r="G49" t="str">
        <f t="shared" si="1"/>
        <v>関数定義削除</v>
      </c>
    </row>
    <row r="50" spans="1:7" ht="11.25" customHeight="1" outlineLevel="1">
      <c r="A50" s="15"/>
      <c r="B50" s="15" t="s">
        <v>1326</v>
      </c>
      <c r="C50" s="16" t="s">
        <v>122</v>
      </c>
      <c r="D50" s="17" t="s">
        <v>122</v>
      </c>
      <c r="F50">
        <f t="shared" ca="1" si="0"/>
        <v>887</v>
      </c>
      <c r="G50" t="str">
        <f t="shared" si="1"/>
        <v>シェル変数設定</v>
      </c>
    </row>
    <row r="51" spans="1:7" ht="11.25" customHeight="1" outlineLevel="1">
      <c r="A51" s="15"/>
      <c r="B51" s="18" t="s">
        <v>1882</v>
      </c>
      <c r="C51" s="16" t="s">
        <v>122</v>
      </c>
      <c r="D51" s="17" t="s">
        <v>122</v>
      </c>
      <c r="F51">
        <f t="shared" ref="F51:F88" ca="1" si="2">IF(G51="",OFFSET(F51,-1,0),OFFSET(F51,-1,0)+1)</f>
        <v>888</v>
      </c>
      <c r="G51" t="str">
        <f t="shared" ref="G51:G89" si="3">IF(B51="","",B51)</f>
        <v>xargs コマンドライン引数受取後実行</v>
      </c>
    </row>
    <row r="52" spans="1:7" ht="11.25" customHeight="1" outlineLevel="1">
      <c r="A52" s="15"/>
      <c r="B52" s="15" t="s">
        <v>1881</v>
      </c>
      <c r="C52" s="16" t="s">
        <v>122</v>
      </c>
      <c r="D52" s="17" t="s">
        <v>122</v>
      </c>
      <c r="F52">
        <f t="shared" ca="1" si="2"/>
        <v>889</v>
      </c>
      <c r="G52" t="str">
        <f t="shared" si="3"/>
        <v>xargs コマンドの間に展開(-I)</v>
      </c>
    </row>
    <row r="53" spans="1:7" ht="11.25" customHeight="1" outlineLevel="1">
      <c r="A53" s="15"/>
      <c r="B53" s="15" t="s">
        <v>1342</v>
      </c>
      <c r="C53" s="16" t="s">
        <v>122</v>
      </c>
      <c r="D53" s="17" t="s">
        <v>122</v>
      </c>
      <c r="F53">
        <f t="shared" ca="1" si="2"/>
        <v>890</v>
      </c>
      <c r="G53" t="str">
        <f t="shared" si="3"/>
        <v>標準出力書き出し(改行付与)</v>
      </c>
    </row>
    <row r="54" spans="1:7" ht="11.25" customHeight="1" outlineLevel="1">
      <c r="A54" s="15"/>
      <c r="B54" s="15" t="s">
        <v>1344</v>
      </c>
      <c r="C54" s="16" t="s">
        <v>122</v>
      </c>
      <c r="D54" s="17" t="s">
        <v>122</v>
      </c>
      <c r="F54">
        <f t="shared" ca="1" si="2"/>
        <v>891</v>
      </c>
      <c r="G54" t="str">
        <f t="shared" si="3"/>
        <v>標準出力書き出し(改行なし)</v>
      </c>
    </row>
    <row r="55" spans="1:7" ht="11.25" customHeight="1" outlineLevel="1">
      <c r="A55" s="15"/>
      <c r="B55" s="15" t="s">
        <v>1211</v>
      </c>
      <c r="C55" s="16" t="s">
        <v>122</v>
      </c>
      <c r="D55" s="17" t="s">
        <v>122</v>
      </c>
      <c r="F55">
        <f ca="1">IF(G55="",OFFSET(F55,-1,0),OFFSET(F55,-1,0)+1)</f>
        <v>892</v>
      </c>
      <c r="G55" t="str">
        <f>IF(B55="","",B55)</f>
        <v>標準入力取得１</v>
      </c>
    </row>
    <row r="56" spans="1:7" ht="11.25" customHeight="1" outlineLevel="1">
      <c r="A56" s="15"/>
      <c r="B56" s="15" t="s">
        <v>1213</v>
      </c>
      <c r="C56" s="16" t="s">
        <v>122</v>
      </c>
      <c r="D56" s="17" t="s">
        <v>122</v>
      </c>
      <c r="F56">
        <f ca="1">IF(G56="",OFFSET(F56,-1,0),OFFSET(F56,-1,0)+1)</f>
        <v>893</v>
      </c>
      <c r="G56" t="str">
        <f>IF(B56="","",B56)</f>
        <v>標準入力取得２</v>
      </c>
    </row>
    <row r="57" spans="1:7" ht="11.25" customHeight="1" outlineLevel="1">
      <c r="A57" s="15"/>
      <c r="B57" s="15" t="s">
        <v>1346</v>
      </c>
      <c r="C57" s="16" t="s">
        <v>122</v>
      </c>
      <c r="D57" s="19" t="s">
        <v>122</v>
      </c>
      <c r="F57">
        <f t="shared" ca="1" si="2"/>
        <v>894</v>
      </c>
      <c r="G57" t="str">
        <f t="shared" si="3"/>
        <v>C言語のprintfと同等</v>
      </c>
    </row>
    <row r="58" spans="1:7" ht="11.25" customHeight="1" outlineLevel="1">
      <c r="A58" s="15"/>
      <c r="B58" s="15" t="s">
        <v>1347</v>
      </c>
      <c r="C58" s="16" t="s">
        <v>122</v>
      </c>
      <c r="D58" s="17" t="s">
        <v>122</v>
      </c>
      <c r="F58">
        <f t="shared" ca="1" si="2"/>
        <v>895</v>
      </c>
      <c r="G58" t="str">
        <f t="shared" si="3"/>
        <v>永遠文字列表示</v>
      </c>
    </row>
    <row r="59" spans="1:7" ht="11.25" customHeight="1" outlineLevel="1">
      <c r="A59" s="15"/>
      <c r="B59" s="15" t="s">
        <v>1349</v>
      </c>
      <c r="C59" s="20" t="s">
        <v>122</v>
      </c>
      <c r="D59" s="17" t="s">
        <v>122</v>
      </c>
      <c r="F59">
        <f t="shared" ca="1" si="2"/>
        <v>896</v>
      </c>
      <c r="G59" t="str">
        <f t="shared" si="3"/>
        <v>何もしない(戻り値1)</v>
      </c>
    </row>
    <row r="60" spans="1:7" ht="11.25" customHeight="1" outlineLevel="1">
      <c r="A60" s="15"/>
      <c r="B60" s="15" t="s">
        <v>1350</v>
      </c>
      <c r="C60" s="20" t="s">
        <v>122</v>
      </c>
      <c r="D60" s="17" t="s">
        <v>122</v>
      </c>
      <c r="F60">
        <f t="shared" ca="1" si="2"/>
        <v>897</v>
      </c>
      <c r="G60" t="str">
        <f t="shared" si="3"/>
        <v>何もしない(戻り値0)</v>
      </c>
    </row>
    <row r="61" spans="1:7" ht="11.25" customHeight="1" outlineLevel="1">
      <c r="A61" s="15"/>
      <c r="B61" s="15" t="s">
        <v>1351</v>
      </c>
      <c r="C61" s="16" t="s">
        <v>122</v>
      </c>
      <c r="D61" s="17" t="s">
        <v>122</v>
      </c>
      <c r="F61">
        <f t="shared" ca="1" si="2"/>
        <v>898</v>
      </c>
      <c r="G61" t="str">
        <f t="shared" si="3"/>
        <v>コマンド戻り値判定</v>
      </c>
    </row>
    <row r="62" spans="1:7" ht="11.25" customHeight="1" outlineLevel="1">
      <c r="A62" s="15"/>
      <c r="B62" s="15" t="s">
        <v>1353</v>
      </c>
      <c r="C62" s="16" t="s">
        <v>122</v>
      </c>
      <c r="D62" s="17" t="s">
        <v>122</v>
      </c>
      <c r="F62">
        <f t="shared" ca="1" si="2"/>
        <v>899</v>
      </c>
      <c r="G62" t="str">
        <f t="shared" si="3"/>
        <v>出力を複数ファイルやプロセスに渡す</v>
      </c>
    </row>
    <row r="63" spans="1:7" ht="11.25" customHeight="1" outlineLevel="1">
      <c r="A63" s="15"/>
      <c r="B63" s="15" t="s">
        <v>1355</v>
      </c>
      <c r="C63" s="16" t="s">
        <v>122</v>
      </c>
      <c r="D63" s="17" t="s">
        <v>122</v>
      </c>
      <c r="F63">
        <f t="shared" ca="1" si="2"/>
        <v>900</v>
      </c>
      <c r="G63" t="str">
        <f t="shared" si="3"/>
        <v>エイリアス設定</v>
      </c>
    </row>
    <row r="64" spans="1:7" ht="11.25" customHeight="1" outlineLevel="1">
      <c r="A64" s="15"/>
      <c r="B64" s="15" t="s">
        <v>1357</v>
      </c>
      <c r="C64" s="16" t="s">
        <v>122</v>
      </c>
      <c r="D64" s="17" t="s">
        <v>122</v>
      </c>
      <c r="F64">
        <f t="shared" ca="1" si="2"/>
        <v>901</v>
      </c>
      <c r="G64" t="str">
        <f t="shared" si="3"/>
        <v>エイリアス解除</v>
      </c>
    </row>
    <row r="65" spans="1:7" ht="11.25" customHeight="1" outlineLevel="1">
      <c r="A65" s="15"/>
      <c r="B65" s="15" t="s">
        <v>1368</v>
      </c>
      <c r="C65" s="16" t="s">
        <v>122</v>
      </c>
      <c r="D65" s="17" t="s">
        <v>122</v>
      </c>
      <c r="F65">
        <f t="shared" ca="1" si="2"/>
        <v>902</v>
      </c>
      <c r="G65" t="str">
        <f t="shared" si="3"/>
        <v>管理者権限実行</v>
      </c>
    </row>
    <row r="66" spans="1:7" ht="11.25" customHeight="1" outlineLevel="1">
      <c r="A66" s="15"/>
      <c r="B66" s="15" t="s">
        <v>1366</v>
      </c>
      <c r="C66" s="16" t="s">
        <v>122</v>
      </c>
      <c r="D66" s="17" t="s">
        <v>122</v>
      </c>
      <c r="F66">
        <f t="shared" ca="1" si="2"/>
        <v>903</v>
      </c>
      <c r="G66" t="str">
        <f t="shared" si="3"/>
        <v>ユーザ切り替え</v>
      </c>
    </row>
    <row r="67" spans="1:7" ht="11.25" customHeight="1" outlineLevel="1">
      <c r="A67" s="15"/>
      <c r="B67" s="15" t="s">
        <v>1330</v>
      </c>
      <c r="C67" s="16" t="s">
        <v>122</v>
      </c>
      <c r="D67" s="17" t="s">
        <v>122</v>
      </c>
      <c r="F67">
        <f t="shared" ca="1" si="2"/>
        <v>904</v>
      </c>
      <c r="G67" t="str">
        <f t="shared" si="3"/>
        <v>コマンド履歴表示</v>
      </c>
    </row>
    <row r="68" spans="1:7" ht="11.25" customHeight="1" outlineLevel="1">
      <c r="A68" s="15"/>
      <c r="B68" s="15" t="s">
        <v>1370</v>
      </c>
      <c r="C68" s="16" t="s">
        <v>122</v>
      </c>
      <c r="D68" s="17" t="s">
        <v>122</v>
      </c>
      <c r="F68">
        <f t="shared" ca="1" si="2"/>
        <v>905</v>
      </c>
      <c r="G68" t="str">
        <f t="shared" si="3"/>
        <v>タイムリミット設定後コマンド実行</v>
      </c>
    </row>
    <row r="69" spans="1:7" ht="11.25" customHeight="1" outlineLevel="1">
      <c r="A69" s="15"/>
      <c r="B69" s="15" t="s">
        <v>1372</v>
      </c>
      <c r="C69" s="16" t="s">
        <v>122</v>
      </c>
      <c r="D69" s="17" t="s">
        <v>122</v>
      </c>
      <c r="F69">
        <f t="shared" ca="1" si="2"/>
        <v>906</v>
      </c>
      <c r="G69" t="str">
        <f t="shared" si="3"/>
        <v>実行遅延</v>
      </c>
    </row>
    <row r="70" spans="1:7" ht="11.25" customHeight="1" outlineLevel="1">
      <c r="A70" s="15"/>
      <c r="B70" s="15" t="s">
        <v>1904</v>
      </c>
      <c r="C70" s="16" t="s">
        <v>122</v>
      </c>
      <c r="D70" s="17" t="s">
        <v>122</v>
      </c>
      <c r="F70">
        <f t="shared" ca="1" si="2"/>
        <v>907</v>
      </c>
      <c r="G70" t="str">
        <f t="shared" si="3"/>
        <v>現在シェル表示</v>
      </c>
    </row>
    <row r="71" spans="1:7" ht="11.25" customHeight="1">
      <c r="A71" s="12" t="s">
        <v>1948</v>
      </c>
      <c r="B71" s="13"/>
      <c r="C71" s="13" t="s">
        <v>122</v>
      </c>
      <c r="D71" s="14" t="s">
        <v>122</v>
      </c>
      <c r="E71" t="s">
        <v>122</v>
      </c>
      <c r="F71">
        <f t="shared" ca="1" si="2"/>
        <v>907</v>
      </c>
      <c r="G71" t="str">
        <f t="shared" si="3"/>
        <v/>
      </c>
    </row>
    <row r="72" spans="1:7" ht="11.25" customHeight="1" outlineLevel="1">
      <c r="A72" s="15"/>
      <c r="B72" s="18" t="s">
        <v>1938</v>
      </c>
      <c r="C72" s="16" t="s">
        <v>122</v>
      </c>
      <c r="D72" s="17" t="s">
        <v>122</v>
      </c>
      <c r="F72">
        <f t="shared" ca="1" si="2"/>
        <v>908</v>
      </c>
      <c r="G72" t="str">
        <f t="shared" si="3"/>
        <v>set(変数一覧表示)</v>
      </c>
    </row>
    <row r="73" spans="1:7" ht="11.25" customHeight="1" outlineLevel="1">
      <c r="A73" s="15"/>
      <c r="B73" s="15" t="s">
        <v>1939</v>
      </c>
      <c r="C73" s="16" t="s">
        <v>122</v>
      </c>
      <c r="D73" s="17" t="s">
        <v>122</v>
      </c>
      <c r="F73">
        <f t="shared" ca="1" si="2"/>
        <v>909</v>
      </c>
      <c r="G73" t="str">
        <f t="shared" si="3"/>
        <v>set(シェルオプション表示)</v>
      </c>
    </row>
    <row r="74" spans="1:7" ht="11.25" customHeight="1" outlineLevel="1">
      <c r="A74" s="15"/>
      <c r="B74" s="15" t="s">
        <v>1940</v>
      </c>
      <c r="C74" s="16" t="s">
        <v>122</v>
      </c>
      <c r="D74" s="17" t="s">
        <v>122</v>
      </c>
      <c r="F74">
        <f t="shared" ca="1" si="2"/>
        <v>910</v>
      </c>
      <c r="G74" t="str">
        <f t="shared" si="3"/>
        <v>set(エラー発生時強制終了)</v>
      </c>
    </row>
    <row r="75" spans="1:7" ht="11.25" customHeight="1" outlineLevel="1">
      <c r="A75" s="15"/>
      <c r="B75" s="15" t="s">
        <v>1941</v>
      </c>
      <c r="C75" s="16" t="s">
        <v>122</v>
      </c>
      <c r="D75" s="17" t="s">
        <v>122</v>
      </c>
      <c r="F75">
        <f t="shared" ca="1" si="2"/>
        <v>911</v>
      </c>
      <c r="G75" t="str">
        <f t="shared" si="3"/>
        <v>set(未定義変数使用時強制終了)</v>
      </c>
    </row>
    <row r="76" spans="1:7" ht="11.25" customHeight="1" outlineLevel="1">
      <c r="A76" s="15"/>
      <c r="B76" s="15" t="s">
        <v>1942</v>
      </c>
      <c r="C76" s="16" t="s">
        <v>122</v>
      </c>
      <c r="D76" s="17" t="s">
        <v>122</v>
      </c>
      <c r="F76">
        <f t="shared" ca="1" si="2"/>
        <v>912</v>
      </c>
      <c r="G76" t="str">
        <f t="shared" si="3"/>
        <v>set(パス名展開無効化)</v>
      </c>
    </row>
    <row r="77" spans="1:7" ht="11.25" customHeight="1" outlineLevel="1">
      <c r="A77" s="15"/>
      <c r="B77" s="15" t="s">
        <v>1943</v>
      </c>
      <c r="C77" s="16" t="s">
        <v>122</v>
      </c>
      <c r="D77" s="17" t="s">
        <v>122</v>
      </c>
      <c r="F77">
        <f t="shared" ca="1" si="2"/>
        <v>913</v>
      </c>
      <c r="G77" t="str">
        <f t="shared" si="3"/>
        <v>set(実行コマンド出力)</v>
      </c>
    </row>
    <row r="78" spans="1:7" ht="11.25" customHeight="1" outlineLevel="1">
      <c r="A78" s="15"/>
      <c r="B78" s="15" t="s">
        <v>1943</v>
      </c>
      <c r="C78" s="16" t="s">
        <v>122</v>
      </c>
      <c r="D78" s="17" t="s">
        <v>122</v>
      </c>
      <c r="F78">
        <f t="shared" ca="1" si="2"/>
        <v>914</v>
      </c>
      <c r="G78" t="str">
        <f t="shared" si="3"/>
        <v>set(実行コマンド出力)</v>
      </c>
    </row>
    <row r="79" spans="1:7" ht="11.25" customHeight="1" outlineLevel="1">
      <c r="A79" s="15"/>
      <c r="B79" s="15" t="s">
        <v>1944</v>
      </c>
      <c r="C79" s="16" t="s">
        <v>122</v>
      </c>
      <c r="D79" s="17" t="s">
        <v>122</v>
      </c>
      <c r="F79">
        <f t="shared" ca="1" si="2"/>
        <v>915</v>
      </c>
      <c r="G79" t="str">
        <f t="shared" si="3"/>
        <v>set(構文チェックのみ実施(実行しない))</v>
      </c>
    </row>
    <row r="80" spans="1:7" ht="11.25" customHeight="1" outlineLevel="1">
      <c r="A80" s="15"/>
      <c r="B80" s="15" t="s">
        <v>1945</v>
      </c>
      <c r="C80" s="16" t="s">
        <v>122</v>
      </c>
      <c r="D80" s="17" t="s">
        <v>122</v>
      </c>
      <c r="F80">
        <f t="shared" ca="1" si="2"/>
        <v>916</v>
      </c>
      <c r="G80" t="str">
        <f t="shared" si="3"/>
        <v>set(ブレース展開無効化)</v>
      </c>
    </row>
    <row r="81" spans="1:7" ht="11.25" customHeight="1" outlineLevel="1">
      <c r="A81" s="15"/>
      <c r="B81" s="15" t="s">
        <v>1946</v>
      </c>
      <c r="C81" s="16" t="s">
        <v>122</v>
      </c>
      <c r="D81" s="17" t="s">
        <v>122</v>
      </c>
      <c r="F81">
        <f t="shared" ca="1" si="2"/>
        <v>917</v>
      </c>
      <c r="G81" t="str">
        <f t="shared" si="3"/>
        <v>set(リダイレクト時ファイル上書き無効化)</v>
      </c>
    </row>
    <row r="82" spans="1:7" ht="11.25" customHeight="1" outlineLevel="1">
      <c r="A82" s="15"/>
      <c r="B82" s="15" t="s">
        <v>1947</v>
      </c>
      <c r="C82" s="16" t="s">
        <v>122</v>
      </c>
      <c r="D82" s="17" t="s">
        <v>122</v>
      </c>
      <c r="F82">
        <f t="shared" ca="1" si="2"/>
        <v>918</v>
      </c>
      <c r="G82" t="str">
        <f t="shared" si="3"/>
        <v>set(作成/変更変数の自動的エクスポート)</v>
      </c>
    </row>
    <row r="83" spans="1:7" ht="11.25" customHeight="1" outlineLevel="1">
      <c r="A83" s="15"/>
      <c r="B83" s="18" t="s">
        <v>1960</v>
      </c>
      <c r="C83" s="16" t="s">
        <v>122</v>
      </c>
      <c r="D83" s="17" t="s">
        <v>122</v>
      </c>
      <c r="F83">
        <f t="shared" ca="1" si="2"/>
        <v>919</v>
      </c>
      <c r="G83" t="str">
        <f t="shared" si="3"/>
        <v>bash動作設定(シェルオプション)</v>
      </c>
    </row>
    <row r="84" spans="1:7" ht="11.25" customHeight="1" outlineLevel="1">
      <c r="A84" s="15"/>
      <c r="B84" s="15" t="s">
        <v>1949</v>
      </c>
      <c r="C84" s="16" t="s">
        <v>122</v>
      </c>
      <c r="D84" s="17" t="s">
        <v>122</v>
      </c>
      <c r="F84">
        <f t="shared" ca="1" si="2"/>
        <v>920</v>
      </c>
      <c r="G84" t="str">
        <f t="shared" si="3"/>
        <v>不一致globsを除去</v>
      </c>
    </row>
    <row r="85" spans="1:7" ht="11.25" customHeight="1" outlineLevel="1">
      <c r="A85" s="15"/>
      <c r="B85" s="15" t="s">
        <v>1951</v>
      </c>
      <c r="C85" s="16" t="s">
        <v>122</v>
      </c>
      <c r="D85" s="17" t="s">
        <v>122</v>
      </c>
      <c r="F85">
        <f t="shared" ca="1" si="2"/>
        <v>921</v>
      </c>
      <c r="G85" t="str">
        <f t="shared" si="3"/>
        <v>不一致globsはエラーにする</v>
      </c>
    </row>
    <row r="86" spans="1:7" ht="11.25" customHeight="1" outlineLevel="1">
      <c r="A86" s="15"/>
      <c r="B86" s="15" t="s">
        <v>1953</v>
      </c>
      <c r="C86" s="16" t="s">
        <v>122</v>
      </c>
      <c r="D86" s="17" t="s">
        <v>122</v>
      </c>
      <c r="F86">
        <f t="shared" ca="1" si="2"/>
        <v>922</v>
      </c>
      <c r="G86" t="str">
        <f t="shared" si="3"/>
        <v>globsの大文字小文字を区別しない</v>
      </c>
    </row>
    <row r="87" spans="1:7" ht="11.25" customHeight="1" outlineLevel="1">
      <c r="A87" s="15"/>
      <c r="B87" s="15" t="s">
        <v>1963</v>
      </c>
      <c r="C87" s="16" t="s">
        <v>122</v>
      </c>
      <c r="D87" s="17" t="s">
        <v>122</v>
      </c>
      <c r="F87">
        <f t="shared" ca="1" si="2"/>
        <v>923</v>
      </c>
      <c r="G87" t="str">
        <f t="shared" si="3"/>
        <v>dotfilesもワイルドカードにマッチさせる</v>
      </c>
    </row>
    <row r="88" spans="1:7" ht="11.25" customHeight="1" outlineLevel="1">
      <c r="A88" s="15"/>
      <c r="B88" s="15" t="s">
        <v>1957</v>
      </c>
      <c r="C88" s="16" t="s">
        <v>122</v>
      </c>
      <c r="D88" s="17" t="s">
        <v>122</v>
      </c>
      <c r="F88">
        <f t="shared" ca="1" si="2"/>
        <v>924</v>
      </c>
      <c r="G88" t="str">
        <f t="shared" si="3"/>
        <v>「**」を再帰マッチにする</v>
      </c>
    </row>
    <row r="89" spans="1:7" ht="11.25" customHeight="1" outlineLevel="1">
      <c r="A89" s="15"/>
      <c r="B89" s="18" t="s">
        <v>2377</v>
      </c>
      <c r="C89" s="16" t="s">
        <v>122</v>
      </c>
      <c r="D89" s="17" t="s">
        <v>122</v>
      </c>
      <c r="G89" t="str">
        <f t="shared" si="3"/>
        <v>ログ出力先指定toファイル（標準出力）</v>
      </c>
    </row>
    <row r="90" spans="1:7" ht="11.25" customHeight="1" outlineLevel="1">
      <c r="A90" s="15"/>
      <c r="B90" s="18" t="s">
        <v>2378</v>
      </c>
      <c r="C90" s="16" t="s">
        <v>122</v>
      </c>
      <c r="D90" s="17" t="s">
        <v>122</v>
      </c>
    </row>
    <row r="91" spans="1:7" ht="11.25" customHeight="1" outlineLevel="1">
      <c r="A91" s="15"/>
      <c r="B91" s="18" t="s">
        <v>2380</v>
      </c>
      <c r="C91" s="16" t="s">
        <v>122</v>
      </c>
      <c r="D91" s="17" t="s">
        <v>122</v>
      </c>
      <c r="G91" t="str">
        <f>IF(B91="","",B91)</f>
        <v>ログ出力先指定toファイル＆画面（標準出力）</v>
      </c>
    </row>
    <row r="92" spans="1:7" ht="11.25" customHeight="1" outlineLevel="1">
      <c r="A92" s="15"/>
      <c r="B92" s="18" t="s">
        <v>2379</v>
      </c>
      <c r="C92" s="16" t="s">
        <v>122</v>
      </c>
      <c r="D92" s="17" t="s">
        <v>122</v>
      </c>
    </row>
    <row r="93" spans="1:7" ht="11.25" customHeight="1">
      <c r="A93" s="12" t="s">
        <v>1319</v>
      </c>
      <c r="B93" s="13"/>
      <c r="C93" s="13" t="s">
        <v>122</v>
      </c>
      <c r="D93" s="14" t="s">
        <v>122</v>
      </c>
      <c r="E93" t="s">
        <v>122</v>
      </c>
      <c r="F93">
        <f t="shared" ref="F93:F99" ca="1" si="4">IF(G93="",OFFSET(F93,-1,0),OFFSET(F93,-1,0)+1)</f>
        <v>0</v>
      </c>
      <c r="G93" t="str">
        <f t="shared" ref="G93:G100" si="5">IF(B93="","",B93)</f>
        <v/>
      </c>
    </row>
    <row r="94" spans="1:7" ht="11.25" customHeight="1" outlineLevel="1">
      <c r="A94" s="15"/>
      <c r="B94" s="15" t="s">
        <v>1293</v>
      </c>
      <c r="C94" s="16" t="s">
        <v>122</v>
      </c>
      <c r="D94" s="17" t="s">
        <v>122</v>
      </c>
      <c r="F94">
        <f t="shared" ca="1" si="4"/>
        <v>1</v>
      </c>
      <c r="G94" t="str">
        <f t="shared" si="5"/>
        <v>算術演算</v>
      </c>
    </row>
    <row r="95" spans="1:7" ht="11.25" customHeight="1" outlineLevel="1">
      <c r="A95" s="15"/>
      <c r="B95" s="15" t="s">
        <v>1288</v>
      </c>
      <c r="C95" s="16" t="s">
        <v>122</v>
      </c>
      <c r="D95" s="17" t="s">
        <v>122</v>
      </c>
      <c r="F95">
        <f t="shared" ca="1" si="4"/>
        <v>2</v>
      </c>
      <c r="G95" t="str">
        <f t="shared" si="5"/>
        <v>算術演算(加)</v>
      </c>
    </row>
    <row r="96" spans="1:7" ht="11.25" customHeight="1" outlineLevel="1">
      <c r="A96" s="15"/>
      <c r="B96" s="15" t="s">
        <v>1289</v>
      </c>
      <c r="C96" s="16" t="s">
        <v>122</v>
      </c>
      <c r="D96" s="17" t="s">
        <v>122</v>
      </c>
      <c r="F96">
        <f t="shared" ca="1" si="4"/>
        <v>3</v>
      </c>
      <c r="G96" t="str">
        <f t="shared" si="5"/>
        <v>算術演算(減)</v>
      </c>
    </row>
    <row r="97" spans="1:7" ht="11.25" customHeight="1" outlineLevel="1">
      <c r="A97" s="15"/>
      <c r="B97" s="15" t="s">
        <v>1290</v>
      </c>
      <c r="C97" s="16" t="s">
        <v>122</v>
      </c>
      <c r="D97" s="17" t="s">
        <v>122</v>
      </c>
      <c r="F97">
        <f t="shared" ca="1" si="4"/>
        <v>4</v>
      </c>
      <c r="G97" t="str">
        <f t="shared" si="5"/>
        <v>算術演算(乗)</v>
      </c>
    </row>
    <row r="98" spans="1:7" ht="11.25" customHeight="1" outlineLevel="1">
      <c r="A98" s="15"/>
      <c r="B98" s="15" t="s">
        <v>1291</v>
      </c>
      <c r="C98" s="16" t="s">
        <v>122</v>
      </c>
      <c r="D98" s="17" t="s">
        <v>122</v>
      </c>
      <c r="F98">
        <f t="shared" ca="1" si="4"/>
        <v>5</v>
      </c>
      <c r="G98" t="str">
        <f t="shared" si="5"/>
        <v>算術演算(割)</v>
      </c>
    </row>
    <row r="99" spans="1:7" ht="11.25" customHeight="1" outlineLevel="1">
      <c r="A99" s="15"/>
      <c r="B99" s="15" t="s">
        <v>1292</v>
      </c>
      <c r="C99" s="16" t="s">
        <v>122</v>
      </c>
      <c r="D99" s="17" t="s">
        <v>122</v>
      </c>
      <c r="F99">
        <f t="shared" ca="1" si="4"/>
        <v>6</v>
      </c>
      <c r="G99" t="str">
        <f t="shared" si="5"/>
        <v>算術演算(剰余)</v>
      </c>
    </row>
    <row r="100" spans="1:7" ht="11.25" customHeight="1">
      <c r="A100" s="21" t="s">
        <v>1085</v>
      </c>
      <c r="B100" s="13"/>
      <c r="C100" s="13" t="s">
        <v>122</v>
      </c>
      <c r="D100" s="14" t="s">
        <v>122</v>
      </c>
      <c r="E100" t="s">
        <v>122</v>
      </c>
      <c r="F100">
        <f t="shared" ref="F100:F131" ca="1" si="6">IF(G100="",OFFSET(F100,-1,0),OFFSET(F100,-1,0)+1)</f>
        <v>6</v>
      </c>
      <c r="G100" t="str">
        <f t="shared" si="5"/>
        <v/>
      </c>
    </row>
    <row r="101" spans="1:7" ht="11.25" customHeight="1" outlineLevel="1">
      <c r="A101" s="15"/>
      <c r="B101" s="15" t="s">
        <v>1060</v>
      </c>
      <c r="C101" s="16" t="s">
        <v>122</v>
      </c>
      <c r="D101" s="17" t="s">
        <v>122</v>
      </c>
      <c r="F101">
        <f t="shared" ca="1" si="6"/>
        <v>7</v>
      </c>
      <c r="G101" t="str">
        <f t="shared" ref="G101:G132" si="7">IF(B101="","",B101)</f>
        <v>ブレース展開(例01)</v>
      </c>
    </row>
    <row r="102" spans="1:7" ht="11.25" customHeight="1" outlineLevel="1">
      <c r="A102" s="15"/>
      <c r="B102" s="15" t="s">
        <v>1063</v>
      </c>
      <c r="C102" s="16" t="s">
        <v>122</v>
      </c>
      <c r="D102" s="17" t="s">
        <v>122</v>
      </c>
      <c r="F102">
        <f t="shared" ca="1" si="6"/>
        <v>8</v>
      </c>
      <c r="G102" t="str">
        <f t="shared" si="7"/>
        <v>ブレース展開(例02)</v>
      </c>
    </row>
    <row r="103" spans="1:7" ht="11.25" customHeight="1" outlineLevel="1">
      <c r="A103" s="15"/>
      <c r="B103" s="15" t="s">
        <v>1066</v>
      </c>
      <c r="C103" s="16" t="s">
        <v>122</v>
      </c>
      <c r="D103" s="17" t="s">
        <v>122</v>
      </c>
      <c r="F103">
        <f t="shared" ca="1" si="6"/>
        <v>9</v>
      </c>
      <c r="G103" t="str">
        <f t="shared" si="7"/>
        <v>ブレース展開(例03)</v>
      </c>
    </row>
    <row r="104" spans="1:7" ht="11.25" customHeight="1" outlineLevel="1">
      <c r="A104" s="15"/>
      <c r="B104" s="15" t="s">
        <v>1086</v>
      </c>
      <c r="C104" s="16" t="s">
        <v>122</v>
      </c>
      <c r="D104" s="17" t="s">
        <v>122</v>
      </c>
      <c r="F104">
        <f t="shared" ca="1" si="6"/>
        <v>10</v>
      </c>
      <c r="G104" t="str">
        <f t="shared" si="7"/>
        <v>ブレース展開(例04)</v>
      </c>
    </row>
    <row r="105" spans="1:7" ht="11.25" customHeight="1" outlineLevel="1">
      <c r="A105" s="15"/>
      <c r="B105" s="15" t="s">
        <v>1087</v>
      </c>
      <c r="C105" s="16" t="s">
        <v>122</v>
      </c>
      <c r="D105" s="17" t="s">
        <v>122</v>
      </c>
      <c r="F105">
        <f t="shared" ca="1" si="6"/>
        <v>11</v>
      </c>
      <c r="G105" t="str">
        <f t="shared" si="7"/>
        <v>ブレース展開(例05)</v>
      </c>
    </row>
    <row r="106" spans="1:7" ht="11.25" customHeight="1" outlineLevel="1">
      <c r="A106" s="15"/>
      <c r="B106" s="15" t="s">
        <v>1088</v>
      </c>
      <c r="C106" s="16" t="s">
        <v>122</v>
      </c>
      <c r="D106" s="17" t="s">
        <v>122</v>
      </c>
      <c r="F106">
        <f t="shared" ca="1" si="6"/>
        <v>12</v>
      </c>
      <c r="G106" t="str">
        <f t="shared" si="7"/>
        <v>ブレース展開(例06)</v>
      </c>
    </row>
    <row r="107" spans="1:7" ht="11.25" customHeight="1" outlineLevel="1">
      <c r="A107" s="15"/>
      <c r="B107" s="15" t="s">
        <v>1089</v>
      </c>
      <c r="C107" s="16" t="s">
        <v>122</v>
      </c>
      <c r="D107" s="17" t="s">
        <v>122</v>
      </c>
      <c r="F107">
        <f t="shared" ca="1" si="6"/>
        <v>13</v>
      </c>
      <c r="G107" t="str">
        <f t="shared" si="7"/>
        <v>ブレース展開(例07)</v>
      </c>
    </row>
    <row r="108" spans="1:7" ht="11.25" customHeight="1" outlineLevel="1">
      <c r="A108" s="15"/>
      <c r="B108" s="15" t="s">
        <v>1090</v>
      </c>
      <c r="C108" s="16" t="s">
        <v>122</v>
      </c>
      <c r="D108" s="17" t="s">
        <v>122</v>
      </c>
      <c r="F108">
        <f t="shared" ca="1" si="6"/>
        <v>14</v>
      </c>
      <c r="G108" t="str">
        <f t="shared" si="7"/>
        <v>ブレース展開(例08)</v>
      </c>
    </row>
    <row r="109" spans="1:7" ht="11.25" customHeight="1" outlineLevel="1">
      <c r="A109" s="15"/>
      <c r="B109" s="15" t="s">
        <v>1091</v>
      </c>
      <c r="C109" s="16" t="s">
        <v>122</v>
      </c>
      <c r="D109" s="17" t="s">
        <v>122</v>
      </c>
      <c r="F109">
        <f t="shared" ca="1" si="6"/>
        <v>15</v>
      </c>
      <c r="G109" t="str">
        <f t="shared" si="7"/>
        <v>ブレース展開(例09)</v>
      </c>
    </row>
    <row r="110" spans="1:7" ht="11.25" customHeight="1" outlineLevel="1">
      <c r="A110" s="15"/>
      <c r="B110" s="15" t="s">
        <v>1092</v>
      </c>
      <c r="C110" s="16" t="s">
        <v>122</v>
      </c>
      <c r="D110" s="17" t="s">
        <v>122</v>
      </c>
      <c r="F110">
        <f t="shared" ca="1" si="6"/>
        <v>16</v>
      </c>
      <c r="G110" t="str">
        <f t="shared" si="7"/>
        <v>ブレース展開(例10)</v>
      </c>
    </row>
    <row r="111" spans="1:7" ht="11.25" customHeight="1" outlineLevel="1">
      <c r="A111" s="15"/>
      <c r="B111" s="15" t="s">
        <v>1093</v>
      </c>
      <c r="C111" s="16" t="s">
        <v>122</v>
      </c>
      <c r="D111" s="17" t="s">
        <v>122</v>
      </c>
      <c r="F111">
        <f t="shared" ca="1" si="6"/>
        <v>17</v>
      </c>
      <c r="G111" t="str">
        <f t="shared" si="7"/>
        <v>ブレース展開(例11)</v>
      </c>
    </row>
    <row r="112" spans="1:7" ht="11.25" customHeight="1">
      <c r="A112" s="21" t="s">
        <v>1094</v>
      </c>
      <c r="B112" s="13"/>
      <c r="C112" s="13" t="s">
        <v>122</v>
      </c>
      <c r="D112" s="14" t="s">
        <v>122</v>
      </c>
      <c r="E112" t="s">
        <v>122</v>
      </c>
      <c r="F112">
        <f t="shared" ca="1" si="6"/>
        <v>17</v>
      </c>
      <c r="G112" t="str">
        <f t="shared" si="7"/>
        <v/>
      </c>
    </row>
    <row r="113" spans="1:7" ht="11.25" customHeight="1" outlineLevel="1">
      <c r="A113" s="15"/>
      <c r="B113" s="15" t="s">
        <v>1095</v>
      </c>
      <c r="C113" s="16" t="s">
        <v>122</v>
      </c>
      <c r="D113" s="17" t="s">
        <v>122</v>
      </c>
      <c r="F113">
        <f t="shared" ca="1" si="6"/>
        <v>18</v>
      </c>
      <c r="G113" t="str">
        <f t="shared" si="7"/>
        <v>参照</v>
      </c>
    </row>
    <row r="114" spans="1:7" ht="11.25" customHeight="1" outlineLevel="1">
      <c r="A114" s="15"/>
      <c r="B114" s="15" t="s">
        <v>1097</v>
      </c>
      <c r="C114" s="16" t="s">
        <v>122</v>
      </c>
      <c r="D114" s="17" t="s">
        <v>122</v>
      </c>
      <c r="F114">
        <f t="shared" ca="1" si="6"/>
        <v>19</v>
      </c>
      <c r="G114" t="str">
        <f t="shared" si="7"/>
        <v>空変数時デフォルト値参照</v>
      </c>
    </row>
    <row r="115" spans="1:7" ht="11.25" customHeight="1" outlineLevel="1">
      <c r="A115" s="15"/>
      <c r="B115" s="15" t="s">
        <v>1099</v>
      </c>
      <c r="C115" s="16" t="s">
        <v>122</v>
      </c>
      <c r="D115" s="17" t="s">
        <v>122</v>
      </c>
      <c r="F115">
        <f t="shared" ca="1" si="6"/>
        <v>20</v>
      </c>
      <c r="G115" t="str">
        <f t="shared" si="7"/>
        <v>空変数時デフォルト値代入</v>
      </c>
    </row>
    <row r="116" spans="1:7" ht="11.25" customHeight="1" outlineLevel="1">
      <c r="A116" s="15"/>
      <c r="B116" s="15" t="s">
        <v>1102</v>
      </c>
      <c r="C116" s="16" t="s">
        <v>122</v>
      </c>
      <c r="D116" s="17" t="s">
        <v>122</v>
      </c>
      <c r="F116">
        <f t="shared" ca="1" si="6"/>
        <v>21</v>
      </c>
      <c r="G116" t="str">
        <f t="shared" si="7"/>
        <v>変数未定義時デフォルト値参照</v>
      </c>
    </row>
    <row r="117" spans="1:7" ht="11.25" customHeight="1" outlineLevel="1">
      <c r="A117" s="15"/>
      <c r="B117" s="15" t="s">
        <v>1104</v>
      </c>
      <c r="C117" s="16" t="s">
        <v>122</v>
      </c>
      <c r="D117" s="17" t="s">
        <v>122</v>
      </c>
      <c r="F117">
        <f t="shared" ca="1" si="6"/>
        <v>22</v>
      </c>
      <c r="G117" t="str">
        <f t="shared" si="7"/>
        <v>変数未定義時デフォルト値代入</v>
      </c>
    </row>
    <row r="118" spans="1:7" ht="11.25" customHeight="1" outlineLevel="1">
      <c r="A118" s="15"/>
      <c r="B118" s="15" t="s">
        <v>1106</v>
      </c>
      <c r="C118" s="16" t="s">
        <v>122</v>
      </c>
      <c r="D118" s="17" t="s">
        <v>122</v>
      </c>
      <c r="F118">
        <f t="shared" ca="1" si="6"/>
        <v>23</v>
      </c>
      <c r="G118" t="str">
        <f t="shared" si="7"/>
        <v>変数未定義時エラー出力</v>
      </c>
    </row>
    <row r="119" spans="1:7" ht="11.25" customHeight="1" outlineLevel="1">
      <c r="A119" s="15"/>
      <c r="B119" s="15" t="s">
        <v>1108</v>
      </c>
      <c r="C119" s="16" t="s">
        <v>122</v>
      </c>
      <c r="D119" s="17" t="s">
        <v>122</v>
      </c>
      <c r="F119">
        <f t="shared" ca="1" si="6"/>
        <v>24</v>
      </c>
      <c r="G119" t="str">
        <f t="shared" si="7"/>
        <v>非空変数時代用代入</v>
      </c>
    </row>
    <row r="120" spans="1:7" ht="11.25" customHeight="1" outlineLevel="1">
      <c r="A120" s="15"/>
      <c r="B120" s="15" t="s">
        <v>1110</v>
      </c>
      <c r="C120" s="16" t="s">
        <v>122</v>
      </c>
      <c r="D120" s="17" t="s">
        <v>122</v>
      </c>
      <c r="F120">
        <f t="shared" ca="1" si="6"/>
        <v>25</v>
      </c>
      <c r="G120" t="str">
        <f t="shared" si="7"/>
        <v>非空変数時代用参照</v>
      </c>
    </row>
    <row r="121" spans="1:7" ht="11.25" customHeight="1" outlineLevel="1">
      <c r="A121" s="15"/>
      <c r="B121" s="15" t="s">
        <v>1112</v>
      </c>
      <c r="C121" s="16" t="s">
        <v>122</v>
      </c>
      <c r="D121" s="17" t="s">
        <v>122</v>
      </c>
      <c r="F121">
        <f t="shared" ca="1" si="6"/>
        <v>26</v>
      </c>
      <c r="G121" t="str">
        <f t="shared" si="7"/>
        <v>文字列抽出</v>
      </c>
    </row>
    <row r="122" spans="1:7" ht="11.25" customHeight="1" outlineLevel="1">
      <c r="A122" s="15"/>
      <c r="B122" s="15" t="s">
        <v>1112</v>
      </c>
      <c r="C122" s="16" t="s">
        <v>122</v>
      </c>
      <c r="D122" s="17" t="s">
        <v>122</v>
      </c>
      <c r="F122">
        <f t="shared" ca="1" si="6"/>
        <v>27</v>
      </c>
      <c r="G122" t="str">
        <f t="shared" si="7"/>
        <v>文字列抽出</v>
      </c>
    </row>
    <row r="123" spans="1:7" ht="11.25" customHeight="1" outlineLevel="1">
      <c r="A123" s="15"/>
      <c r="B123" s="15" t="s">
        <v>1112</v>
      </c>
      <c r="C123" s="16" t="s">
        <v>122</v>
      </c>
      <c r="D123" s="17" t="s">
        <v>122</v>
      </c>
      <c r="F123">
        <f t="shared" ca="1" si="6"/>
        <v>28</v>
      </c>
      <c r="G123" t="str">
        <f t="shared" si="7"/>
        <v>文字列抽出</v>
      </c>
    </row>
    <row r="124" spans="1:7" ht="11.25" customHeight="1" outlineLevel="1">
      <c r="A124" s="15"/>
      <c r="B124" s="15" t="s">
        <v>1119</v>
      </c>
      <c r="C124" s="16" t="s">
        <v>122</v>
      </c>
      <c r="D124" s="17" t="s">
        <v>122</v>
      </c>
      <c r="F124">
        <f t="shared" ca="1" si="6"/>
        <v>29</v>
      </c>
      <c r="G124" t="str">
        <f t="shared" si="7"/>
        <v>文字数出力</v>
      </c>
    </row>
    <row r="125" spans="1:7" ht="11.25" customHeight="1" outlineLevel="1">
      <c r="A125" s="15"/>
      <c r="B125" s="15" t="s">
        <v>1122</v>
      </c>
      <c r="C125" s="16" t="s">
        <v>122</v>
      </c>
      <c r="D125" s="17" t="s">
        <v>122</v>
      </c>
      <c r="F125">
        <f t="shared" ca="1" si="6"/>
        <v>30</v>
      </c>
      <c r="G125" t="str">
        <f t="shared" si="7"/>
        <v>配列要素数出力</v>
      </c>
    </row>
    <row r="126" spans="1:7" ht="11.25" customHeight="1" outlineLevel="1">
      <c r="A126" s="15"/>
      <c r="B126" s="15" t="s">
        <v>1124</v>
      </c>
      <c r="C126" s="16" t="s">
        <v>122</v>
      </c>
      <c r="D126" s="17" t="s">
        <v>122</v>
      </c>
      <c r="F126">
        <f t="shared" ca="1" si="6"/>
        <v>31</v>
      </c>
      <c r="G126" t="str">
        <f t="shared" si="7"/>
        <v>前方一致除去(最短一致)</v>
      </c>
    </row>
    <row r="127" spans="1:7" ht="11.25" customHeight="1" outlineLevel="1">
      <c r="A127" s="15"/>
      <c r="B127" s="15" t="s">
        <v>1125</v>
      </c>
      <c r="C127" s="16" t="s">
        <v>122</v>
      </c>
      <c r="D127" s="17" t="s">
        <v>122</v>
      </c>
      <c r="F127">
        <f t="shared" ca="1" si="6"/>
        <v>32</v>
      </c>
      <c r="G127" t="str">
        <f t="shared" si="7"/>
        <v>前方一致除去(最長一致)</v>
      </c>
    </row>
    <row r="128" spans="1:7" ht="11.25" customHeight="1" outlineLevel="1">
      <c r="A128" s="15"/>
      <c r="B128" s="15" t="s">
        <v>1126</v>
      </c>
      <c r="C128" s="16" t="s">
        <v>122</v>
      </c>
      <c r="D128" s="17" t="s">
        <v>122</v>
      </c>
      <c r="F128">
        <f t="shared" ca="1" si="6"/>
        <v>33</v>
      </c>
      <c r="G128" t="str">
        <f t="shared" si="7"/>
        <v>後方一致除去(最短一致)</v>
      </c>
    </row>
    <row r="129" spans="1:7" ht="11.25" customHeight="1" outlineLevel="1">
      <c r="A129" s="15"/>
      <c r="B129" s="15" t="s">
        <v>1127</v>
      </c>
      <c r="C129" s="16" t="s">
        <v>122</v>
      </c>
      <c r="D129" s="17" t="s">
        <v>122</v>
      </c>
      <c r="F129">
        <f t="shared" ca="1" si="6"/>
        <v>34</v>
      </c>
      <c r="G129" t="str">
        <f t="shared" si="7"/>
        <v>後方一致除去(最長一致)</v>
      </c>
    </row>
    <row r="130" spans="1:7" ht="11.25" customHeight="1" outlineLevel="1">
      <c r="A130" s="15"/>
      <c r="B130" s="15" t="s">
        <v>1128</v>
      </c>
      <c r="C130" s="16" t="s">
        <v>122</v>
      </c>
      <c r="D130" s="17" t="s">
        <v>122</v>
      </c>
      <c r="F130">
        <f t="shared" ca="1" si="6"/>
        <v>35</v>
      </c>
      <c r="G130" t="str">
        <f t="shared" si="7"/>
        <v>文字列置換(先頭単語のみ)</v>
      </c>
    </row>
    <row r="131" spans="1:7" ht="11.25" customHeight="1" outlineLevel="1">
      <c r="A131" s="15"/>
      <c r="B131" s="15" t="s">
        <v>1131</v>
      </c>
      <c r="C131" s="16" t="s">
        <v>122</v>
      </c>
      <c r="D131" s="17" t="s">
        <v>122</v>
      </c>
      <c r="F131">
        <f t="shared" ca="1" si="6"/>
        <v>36</v>
      </c>
      <c r="G131" t="str">
        <f t="shared" si="7"/>
        <v>文字列置換(全単語)</v>
      </c>
    </row>
    <row r="132" spans="1:7" ht="11.25" customHeight="1" outlineLevel="1">
      <c r="A132" s="15"/>
      <c r="B132" s="15" t="s">
        <v>1133</v>
      </c>
      <c r="C132" s="16" t="s">
        <v>122</v>
      </c>
      <c r="D132" s="17" t="s">
        <v>122</v>
      </c>
      <c r="F132">
        <f t="shared" ref="F132:F163" ca="1" si="8">IF(G132="",OFFSET(F132,-1,0),OFFSET(F132,-1,0)+1)</f>
        <v>37</v>
      </c>
      <c r="G132" t="str">
        <f t="shared" si="7"/>
        <v>大文字化(先頭文字)</v>
      </c>
    </row>
    <row r="133" spans="1:7" ht="11.25" customHeight="1" outlineLevel="1">
      <c r="A133" s="15"/>
      <c r="B133" s="15" t="s">
        <v>1135</v>
      </c>
      <c r="C133" s="16" t="s">
        <v>122</v>
      </c>
      <c r="D133" s="17" t="s">
        <v>122</v>
      </c>
      <c r="F133">
        <f t="shared" ca="1" si="8"/>
        <v>38</v>
      </c>
      <c r="G133" t="str">
        <f t="shared" ref="G133:G164" si="9">IF(B133="","",B133)</f>
        <v>大文字化(全文字)</v>
      </c>
    </row>
    <row r="134" spans="1:7" ht="11.25" customHeight="1" outlineLevel="1">
      <c r="A134" s="15"/>
      <c r="B134" s="15" t="s">
        <v>1137</v>
      </c>
      <c r="C134" s="16" t="s">
        <v>122</v>
      </c>
      <c r="D134" s="17" t="s">
        <v>122</v>
      </c>
      <c r="F134">
        <f t="shared" ca="1" si="8"/>
        <v>39</v>
      </c>
      <c r="G134" t="str">
        <f t="shared" si="9"/>
        <v>小文字化(先頭文字)</v>
      </c>
    </row>
    <row r="135" spans="1:7" ht="11.25" customHeight="1" outlineLevel="1">
      <c r="A135" s="15"/>
      <c r="B135" s="15" t="s">
        <v>1139</v>
      </c>
      <c r="C135" s="16" t="s">
        <v>122</v>
      </c>
      <c r="D135" s="17" t="s">
        <v>122</v>
      </c>
      <c r="F135">
        <f t="shared" ca="1" si="8"/>
        <v>40</v>
      </c>
      <c r="G135" t="str">
        <f t="shared" si="9"/>
        <v>小文字化(全文字)</v>
      </c>
    </row>
    <row r="136" spans="1:7" ht="11.25" customHeight="1" outlineLevel="1">
      <c r="A136" s="15"/>
      <c r="B136" s="15" t="s">
        <v>1141</v>
      </c>
      <c r="C136" s="16" t="s">
        <v>122</v>
      </c>
      <c r="D136" s="17" t="s">
        <v>122</v>
      </c>
      <c r="F136">
        <f t="shared" ca="1" si="8"/>
        <v>41</v>
      </c>
      <c r="G136" t="str">
        <f t="shared" si="9"/>
        <v>大文字小文字反転(先頭文字)</v>
      </c>
    </row>
    <row r="137" spans="1:7" ht="11.25" customHeight="1" outlineLevel="1">
      <c r="A137" s="15"/>
      <c r="B137" s="15" t="s">
        <v>1143</v>
      </c>
      <c r="C137" s="16" t="s">
        <v>122</v>
      </c>
      <c r="D137" s="17" t="s">
        <v>122</v>
      </c>
      <c r="F137">
        <f t="shared" ca="1" si="8"/>
        <v>42</v>
      </c>
      <c r="G137" t="str">
        <f t="shared" si="9"/>
        <v>大文字小文字反転(全文字)</v>
      </c>
    </row>
    <row r="138" spans="1:7" ht="11.25" customHeight="1" outlineLevel="1">
      <c r="A138" s="15"/>
      <c r="B138" s="15" t="s">
        <v>1145</v>
      </c>
      <c r="C138" s="16" t="s">
        <v>122</v>
      </c>
      <c r="D138" s="17" t="s">
        <v>122</v>
      </c>
      <c r="F138">
        <f t="shared" ca="1" si="8"/>
        <v>43</v>
      </c>
      <c r="G138" t="str">
        <f t="shared" si="9"/>
        <v>数式展開</v>
      </c>
    </row>
    <row r="139" spans="1:7" ht="11.25" customHeight="1" outlineLevel="1">
      <c r="A139" s="15"/>
      <c r="B139" s="15" t="s">
        <v>1172</v>
      </c>
      <c r="C139" s="16" t="s">
        <v>2387</v>
      </c>
      <c r="D139" s="17" t="s">
        <v>2390</v>
      </c>
      <c r="F139">
        <f t="shared" ca="1" si="8"/>
        <v>44</v>
      </c>
      <c r="G139" t="str">
        <f t="shared" si="9"/>
        <v>特殊変数 引数の数</v>
      </c>
    </row>
    <row r="140" spans="1:7" ht="11.25" customHeight="1" outlineLevel="1">
      <c r="A140" s="15"/>
      <c r="B140" s="15" t="s">
        <v>1174</v>
      </c>
      <c r="C140" s="16" t="s">
        <v>2388</v>
      </c>
      <c r="D140" s="17" t="s">
        <v>2389</v>
      </c>
      <c r="F140">
        <f t="shared" ca="1" si="8"/>
        <v>45</v>
      </c>
      <c r="G140" t="str">
        <f t="shared" si="9"/>
        <v>特殊変数 引数の値</v>
      </c>
    </row>
    <row r="141" spans="1:7" ht="11.25" customHeight="1" outlineLevel="1">
      <c r="A141" s="15"/>
      <c r="B141" s="15" t="s">
        <v>1176</v>
      </c>
      <c r="C141" s="22" t="s">
        <v>122</v>
      </c>
      <c r="D141" s="17" t="s">
        <v>122</v>
      </c>
      <c r="F141">
        <f t="shared" ca="1" si="8"/>
        <v>46</v>
      </c>
      <c r="G141" t="str">
        <f t="shared" si="9"/>
        <v>特殊変数 シェルスクリプトファイル名</v>
      </c>
    </row>
    <row r="142" spans="1:7" ht="11.25" customHeight="1" outlineLevel="1">
      <c r="A142" s="15"/>
      <c r="B142" s="15" t="s">
        <v>1177</v>
      </c>
      <c r="C142" s="23" t="s">
        <v>122</v>
      </c>
      <c r="D142" s="17" t="s">
        <v>122</v>
      </c>
      <c r="F142">
        <f t="shared" ca="1" si="8"/>
        <v>47</v>
      </c>
      <c r="G142" t="str">
        <f t="shared" si="9"/>
        <v>特殊変数 全ての引数(区切りはスペース)</v>
      </c>
    </row>
    <row r="143" spans="1:7" ht="11.25" customHeight="1" outlineLevel="1">
      <c r="A143" s="15"/>
      <c r="B143" s="15" t="s">
        <v>1178</v>
      </c>
      <c r="C143" s="16" t="s">
        <v>122</v>
      </c>
      <c r="D143" s="17" t="s">
        <v>122</v>
      </c>
      <c r="F143">
        <f t="shared" ca="1" si="8"/>
        <v>48</v>
      </c>
      <c r="G143" t="str">
        <f t="shared" si="9"/>
        <v>特殊変数 全ての引数(区切りは環境変数IFSで指定したもの)</v>
      </c>
    </row>
    <row r="144" spans="1:7" ht="11.25" customHeight="1" outlineLevel="1">
      <c r="A144" s="15"/>
      <c r="B144" s="15" t="s">
        <v>1179</v>
      </c>
      <c r="C144" s="16" t="s">
        <v>122</v>
      </c>
      <c r="D144" s="17" t="s">
        <v>122</v>
      </c>
      <c r="F144">
        <f t="shared" ca="1" si="8"/>
        <v>49</v>
      </c>
      <c r="G144" t="str">
        <f t="shared" si="9"/>
        <v>特殊変数 現在実行シェルプロセスID</v>
      </c>
    </row>
    <row r="145" spans="1:7" ht="11.25" customHeight="1" outlineLevel="1">
      <c r="A145" s="15"/>
      <c r="B145" s="15" t="s">
        <v>1181</v>
      </c>
      <c r="C145" s="16" t="s">
        <v>122</v>
      </c>
      <c r="D145" s="17" t="s">
        <v>122</v>
      </c>
      <c r="F145">
        <f t="shared" ca="1" si="8"/>
        <v>50</v>
      </c>
      <c r="G145" t="str">
        <f t="shared" si="9"/>
        <v>特殊変数 最終実行バックグラウンドプロセスID</v>
      </c>
    </row>
    <row r="146" spans="1:7" ht="11.25" customHeight="1" outlineLevel="1">
      <c r="A146" s="15"/>
      <c r="B146" s="15" t="s">
        <v>1183</v>
      </c>
      <c r="C146" s="16" t="s">
        <v>122</v>
      </c>
      <c r="D146" s="17" t="s">
        <v>122</v>
      </c>
      <c r="F146">
        <f t="shared" ca="1" si="8"/>
        <v>51</v>
      </c>
      <c r="G146" t="str">
        <f t="shared" si="9"/>
        <v>特殊変数 直前実行したコマンド終了値(0=正常終了、1=異常終了、それ以外はエラー）</v>
      </c>
    </row>
    <row r="147" spans="1:7" ht="11.25" customHeight="1" outlineLevel="1">
      <c r="A147" s="15"/>
      <c r="B147" s="15" t="s">
        <v>1185</v>
      </c>
      <c r="C147" s="16" t="s">
        <v>122</v>
      </c>
      <c r="D147" s="17" t="s">
        <v>122</v>
      </c>
      <c r="F147">
        <f t="shared" ca="1" si="8"/>
        <v>52</v>
      </c>
      <c r="G147" t="str">
        <f t="shared" si="9"/>
        <v>特殊変数 最終実行コマンド最終引数</v>
      </c>
    </row>
    <row r="148" spans="1:7" ht="11.25" customHeight="1">
      <c r="A148" s="12" t="s">
        <v>1305</v>
      </c>
      <c r="B148" s="13"/>
      <c r="C148" s="13" t="s">
        <v>122</v>
      </c>
      <c r="D148" s="14" t="s">
        <v>122</v>
      </c>
      <c r="E148" t="s">
        <v>122</v>
      </c>
      <c r="F148">
        <f t="shared" ca="1" si="8"/>
        <v>52</v>
      </c>
      <c r="G148" t="str">
        <f t="shared" si="9"/>
        <v/>
      </c>
    </row>
    <row r="149" spans="1:7" ht="11.25" customHeight="1" outlineLevel="1">
      <c r="A149" s="15"/>
      <c r="B149" s="15" t="s">
        <v>532</v>
      </c>
      <c r="C149" s="24" t="s">
        <v>122</v>
      </c>
      <c r="D149" s="54" t="s">
        <v>122</v>
      </c>
      <c r="F149">
        <f t="shared" ca="1" si="8"/>
        <v>53</v>
      </c>
      <c r="G149" t="str">
        <f t="shared" si="9"/>
        <v>if</v>
      </c>
    </row>
    <row r="150" spans="1:7" ht="11.25" customHeight="1" outlineLevel="1">
      <c r="A150" s="15"/>
      <c r="B150" s="15" t="s">
        <v>2043</v>
      </c>
      <c r="C150" s="24" t="s">
        <v>122</v>
      </c>
      <c r="D150" s="17" t="s">
        <v>122</v>
      </c>
      <c r="F150">
        <f t="shared" ca="1" si="8"/>
        <v>54</v>
      </c>
      <c r="G150" t="str">
        <f t="shared" si="9"/>
        <v>if (何もしない)</v>
      </c>
    </row>
    <row r="151" spans="1:7" ht="11.25" customHeight="1" outlineLevel="1">
      <c r="A151" s="15"/>
      <c r="B151" s="15" t="s">
        <v>1295</v>
      </c>
      <c r="C151" s="24" t="s">
        <v>122</v>
      </c>
      <c r="D151" s="17" t="s">
        <v>122</v>
      </c>
      <c r="F151">
        <f t="shared" ca="1" si="8"/>
        <v>55</v>
      </c>
      <c r="G151" t="str">
        <f t="shared" si="9"/>
        <v>switch</v>
      </c>
    </row>
    <row r="152" spans="1:7" ht="11.25" customHeight="1" outlineLevel="1">
      <c r="A152" s="15"/>
      <c r="B152" s="15" t="s">
        <v>1297</v>
      </c>
      <c r="C152" s="24" t="s">
        <v>122</v>
      </c>
      <c r="D152" s="17" t="s">
        <v>122</v>
      </c>
      <c r="F152">
        <f t="shared" ca="1" si="8"/>
        <v>56</v>
      </c>
      <c r="G152" t="str">
        <f t="shared" si="9"/>
        <v>for(数値指定1)</v>
      </c>
    </row>
    <row r="153" spans="1:7" ht="11.25" customHeight="1" outlineLevel="1">
      <c r="A153" s="15"/>
      <c r="B153" s="15" t="s">
        <v>1298</v>
      </c>
      <c r="C153" s="24" t="s">
        <v>122</v>
      </c>
      <c r="D153" s="17" t="s">
        <v>122</v>
      </c>
      <c r="F153">
        <f t="shared" ca="1" si="8"/>
        <v>57</v>
      </c>
      <c r="G153" t="str">
        <f t="shared" si="9"/>
        <v>for(数値指定2)</v>
      </c>
    </row>
    <row r="154" spans="1:7" ht="11.25" customHeight="1" outlineLevel="1">
      <c r="A154" s="15"/>
      <c r="B154" s="15" t="s">
        <v>1296</v>
      </c>
      <c r="C154" s="24" t="s">
        <v>122</v>
      </c>
      <c r="D154" s="17" t="s">
        <v>122</v>
      </c>
      <c r="F154">
        <f t="shared" ca="1" si="8"/>
        <v>58</v>
      </c>
      <c r="G154" t="str">
        <f t="shared" si="9"/>
        <v>for(リスト指定)</v>
      </c>
    </row>
    <row r="155" spans="1:7" ht="11.25" customHeight="1" outlineLevel="1">
      <c r="A155" s="15"/>
      <c r="B155" s="15" t="s">
        <v>1296</v>
      </c>
      <c r="C155" s="24" t="s">
        <v>122</v>
      </c>
      <c r="D155" s="17" t="s">
        <v>122</v>
      </c>
      <c r="F155">
        <f t="shared" ca="1" si="8"/>
        <v>59</v>
      </c>
      <c r="G155" t="str">
        <f t="shared" si="9"/>
        <v>for(リスト指定)</v>
      </c>
    </row>
    <row r="156" spans="1:7" ht="11.25" customHeight="1" outlineLevel="1">
      <c r="A156" s="15"/>
      <c r="B156" s="15" t="s">
        <v>1917</v>
      </c>
      <c r="C156" s="24" t="s">
        <v>122</v>
      </c>
      <c r="D156" s="17" t="s">
        <v>122</v>
      </c>
      <c r="F156">
        <f t="shared" ca="1" si="8"/>
        <v>60</v>
      </c>
      <c r="G156" t="str">
        <f t="shared" si="9"/>
        <v>for(リスト指定)</v>
      </c>
    </row>
    <row r="157" spans="1:7" ht="11.25" customHeight="1" outlineLevel="1">
      <c r="A157" s="15"/>
      <c r="B157" s="15" t="s">
        <v>1917</v>
      </c>
      <c r="C157" s="16" t="s">
        <v>122</v>
      </c>
      <c r="D157" s="17" t="s">
        <v>122</v>
      </c>
      <c r="F157">
        <f t="shared" ca="1" si="8"/>
        <v>61</v>
      </c>
      <c r="G157" t="str">
        <f t="shared" si="9"/>
        <v>for(リスト指定)</v>
      </c>
    </row>
    <row r="158" spans="1:7" ht="11.25" customHeight="1" outlineLevel="1">
      <c r="A158" s="15"/>
      <c r="B158" s="15" t="s">
        <v>2045</v>
      </c>
      <c r="C158" s="16" t="s">
        <v>122</v>
      </c>
      <c r="D158" s="17" t="s">
        <v>122</v>
      </c>
      <c r="F158">
        <f t="shared" ca="1" si="8"/>
        <v>62</v>
      </c>
      <c r="G158" t="str">
        <f t="shared" si="9"/>
        <v>for(引数操作＠for each形式)</v>
      </c>
    </row>
    <row r="159" spans="1:7" ht="11.25" customHeight="1" outlineLevel="1">
      <c r="A159" s="15"/>
      <c r="B159" s="15" t="s">
        <v>2046</v>
      </c>
      <c r="C159" s="16" t="s">
        <v>122</v>
      </c>
      <c r="D159" s="17" t="s">
        <v>122</v>
      </c>
      <c r="F159">
        <f t="shared" ca="1" si="8"/>
        <v>63</v>
      </c>
      <c r="G159" t="str">
        <f t="shared" si="9"/>
        <v>for(引数操作＠配列形式)</v>
      </c>
    </row>
    <row r="160" spans="1:7" ht="11.25" customHeight="1" outlineLevel="1">
      <c r="A160" s="15"/>
      <c r="B160" s="15" t="s">
        <v>1918</v>
      </c>
      <c r="C160" s="24" t="s">
        <v>122</v>
      </c>
      <c r="D160" s="17" t="s">
        <v>122</v>
      </c>
      <c r="F160">
        <f t="shared" ca="1" si="8"/>
        <v>64</v>
      </c>
      <c r="G160" t="str">
        <f t="shared" si="9"/>
        <v>while(無限ループ)</v>
      </c>
    </row>
    <row r="161" spans="1:7" ht="11.25" customHeight="1" outlineLevel="1">
      <c r="A161" s="15"/>
      <c r="B161" s="15" t="s">
        <v>1299</v>
      </c>
      <c r="C161" s="24" t="s">
        <v>122</v>
      </c>
      <c r="D161" s="17" t="s">
        <v>122</v>
      </c>
      <c r="F161">
        <f t="shared" ca="1" si="8"/>
        <v>65</v>
      </c>
      <c r="G161" t="str">
        <f t="shared" si="9"/>
        <v>while</v>
      </c>
    </row>
    <row r="162" spans="1:7" ht="11.25" customHeight="1" outlineLevel="1">
      <c r="A162" s="15"/>
      <c r="B162" s="15" t="s">
        <v>1300</v>
      </c>
      <c r="C162" s="24" t="s">
        <v>122</v>
      </c>
      <c r="D162" s="17" t="s">
        <v>122</v>
      </c>
      <c r="F162">
        <f t="shared" ca="1" si="8"/>
        <v>66</v>
      </c>
      <c r="G162" t="str">
        <f t="shared" si="9"/>
        <v>until</v>
      </c>
    </row>
    <row r="163" spans="1:7" ht="11.25" customHeight="1" outlineLevel="1">
      <c r="A163" s="15"/>
      <c r="B163" s="15" t="s">
        <v>1314</v>
      </c>
      <c r="C163" s="16" t="s">
        <v>122</v>
      </c>
      <c r="D163" s="17" t="s">
        <v>122</v>
      </c>
      <c r="F163">
        <f t="shared" ca="1" si="8"/>
        <v>67</v>
      </c>
      <c r="G163" t="str">
        <f t="shared" si="9"/>
        <v>論理結合(否定)</v>
      </c>
    </row>
    <row r="164" spans="1:7" ht="11.25" customHeight="1" outlineLevel="1">
      <c r="A164" s="15"/>
      <c r="B164" s="15" t="s">
        <v>1284</v>
      </c>
      <c r="C164" s="16" t="s">
        <v>122</v>
      </c>
      <c r="D164" s="17" t="s">
        <v>122</v>
      </c>
      <c r="F164">
        <f t="shared" ref="F164:F195" ca="1" si="10">IF(G164="",OFFSET(F164,-1,0),OFFSET(F164,-1,0)+1)</f>
        <v>68</v>
      </c>
      <c r="G164" t="str">
        <f t="shared" si="9"/>
        <v>論理結合(AND)</v>
      </c>
    </row>
    <row r="165" spans="1:7" ht="11.25" customHeight="1" outlineLevel="1">
      <c r="A165" s="15"/>
      <c r="B165" s="15" t="s">
        <v>1285</v>
      </c>
      <c r="C165" s="16" t="s">
        <v>122</v>
      </c>
      <c r="D165" s="17" t="s">
        <v>122</v>
      </c>
      <c r="F165">
        <f t="shared" ca="1" si="10"/>
        <v>69</v>
      </c>
      <c r="G165" t="str">
        <f t="shared" ref="G165:G196" si="11">IF(B165="","",B165)</f>
        <v>論理結合(OR)</v>
      </c>
    </row>
    <row r="166" spans="1:7" ht="11.25" customHeight="1" outlineLevel="1">
      <c r="A166" s="15"/>
      <c r="B166" s="15" t="s">
        <v>1315</v>
      </c>
      <c r="C166" s="16" t="s">
        <v>122</v>
      </c>
      <c r="D166" s="17" t="s">
        <v>122</v>
      </c>
      <c r="F166">
        <f t="shared" ca="1" si="10"/>
        <v>70</v>
      </c>
      <c r="G166" t="str">
        <f t="shared" si="11"/>
        <v>論理結合(AND+OR)</v>
      </c>
    </row>
    <row r="167" spans="1:7" ht="11.25" customHeight="1" outlineLevel="1">
      <c r="A167" s="15"/>
      <c r="B167" s="15" t="s">
        <v>1215</v>
      </c>
      <c r="C167" s="16" t="s">
        <v>122</v>
      </c>
      <c r="D167" s="17" t="s">
        <v>122</v>
      </c>
      <c r="F167">
        <f t="shared" ca="1" si="10"/>
        <v>71</v>
      </c>
      <c r="G167" t="str">
        <f t="shared" si="11"/>
        <v>数値比較(＝)</v>
      </c>
    </row>
    <row r="168" spans="1:7" ht="11.25" customHeight="1" outlineLevel="1">
      <c r="A168" s="15"/>
      <c r="B168" s="15" t="s">
        <v>1216</v>
      </c>
      <c r="C168" s="16" t="s">
        <v>122</v>
      </c>
      <c r="D168" s="17" t="s">
        <v>122</v>
      </c>
      <c r="F168">
        <f t="shared" ca="1" si="10"/>
        <v>72</v>
      </c>
      <c r="G168" t="str">
        <f t="shared" si="11"/>
        <v>数値比較(≠)</v>
      </c>
    </row>
    <row r="169" spans="1:7" ht="11.25" customHeight="1" outlineLevel="1">
      <c r="A169" s="15"/>
      <c r="B169" s="15" t="s">
        <v>1217</v>
      </c>
      <c r="C169" s="16" t="s">
        <v>122</v>
      </c>
      <c r="D169" s="17" t="s">
        <v>122</v>
      </c>
      <c r="F169">
        <f t="shared" ca="1" si="10"/>
        <v>73</v>
      </c>
      <c r="G169" t="str">
        <f t="shared" si="11"/>
        <v>数値比較(≧)</v>
      </c>
    </row>
    <row r="170" spans="1:7" ht="11.25" customHeight="1" outlineLevel="1">
      <c r="A170" s="15"/>
      <c r="B170" s="15" t="s">
        <v>1218</v>
      </c>
      <c r="C170" s="16" t="s">
        <v>122</v>
      </c>
      <c r="D170" s="17" t="s">
        <v>122</v>
      </c>
      <c r="F170">
        <f t="shared" ca="1" si="10"/>
        <v>74</v>
      </c>
      <c r="G170" t="str">
        <f t="shared" si="11"/>
        <v>数値比較(＞)</v>
      </c>
    </row>
    <row r="171" spans="1:7" ht="11.25" customHeight="1" outlineLevel="1">
      <c r="A171" s="15"/>
      <c r="B171" s="15" t="s">
        <v>1219</v>
      </c>
      <c r="C171" s="16" t="s">
        <v>122</v>
      </c>
      <c r="D171" s="17" t="s">
        <v>122</v>
      </c>
      <c r="F171">
        <f t="shared" ca="1" si="10"/>
        <v>75</v>
      </c>
      <c r="G171" t="str">
        <f t="shared" si="11"/>
        <v>数値比較(≦)</v>
      </c>
    </row>
    <row r="172" spans="1:7" ht="11.25" customHeight="1" outlineLevel="1">
      <c r="A172" s="15"/>
      <c r="B172" s="15" t="s">
        <v>1220</v>
      </c>
      <c r="C172" s="16" t="s">
        <v>122</v>
      </c>
      <c r="D172" s="17" t="s">
        <v>122</v>
      </c>
      <c r="F172">
        <f t="shared" ca="1" si="10"/>
        <v>76</v>
      </c>
      <c r="G172" t="str">
        <f t="shared" si="11"/>
        <v>数値比較(＜)</v>
      </c>
    </row>
    <row r="173" spans="1:7" ht="11.25" customHeight="1" outlineLevel="1">
      <c r="A173" s="15"/>
      <c r="B173" s="15" t="s">
        <v>1221</v>
      </c>
      <c r="C173" s="16" t="s">
        <v>122</v>
      </c>
      <c r="D173" s="17" t="s">
        <v>122</v>
      </c>
      <c r="F173">
        <f t="shared" ca="1" si="10"/>
        <v>77</v>
      </c>
      <c r="G173" t="str">
        <f t="shared" si="11"/>
        <v>文字列比較(＝)</v>
      </c>
    </row>
    <row r="174" spans="1:7" ht="11.25" customHeight="1" outlineLevel="1">
      <c r="A174" s="15"/>
      <c r="B174" s="15" t="s">
        <v>1222</v>
      </c>
      <c r="C174" s="16" t="s">
        <v>122</v>
      </c>
      <c r="D174" s="17" t="s">
        <v>122</v>
      </c>
      <c r="F174">
        <f t="shared" ca="1" si="10"/>
        <v>78</v>
      </c>
      <c r="G174" t="str">
        <f t="shared" si="11"/>
        <v>文字列比較(≠)</v>
      </c>
    </row>
    <row r="175" spans="1:7" ht="11.25" customHeight="1" outlineLevel="1">
      <c r="A175" s="15"/>
      <c r="B175" s="15" t="s">
        <v>1223</v>
      </c>
      <c r="C175" s="16" t="s">
        <v>122</v>
      </c>
      <c r="D175" s="17" t="s">
        <v>122</v>
      </c>
      <c r="F175">
        <f t="shared" ca="1" si="10"/>
        <v>79</v>
      </c>
      <c r="G175" t="str">
        <f t="shared" si="11"/>
        <v>空文字列判定</v>
      </c>
    </row>
    <row r="176" spans="1:7" ht="11.25" customHeight="1" outlineLevel="1">
      <c r="A176" s="15"/>
      <c r="B176" s="15" t="s">
        <v>1224</v>
      </c>
      <c r="C176" s="16" t="s">
        <v>122</v>
      </c>
      <c r="D176" s="17" t="s">
        <v>122</v>
      </c>
      <c r="F176">
        <f t="shared" ca="1" si="10"/>
        <v>80</v>
      </c>
      <c r="G176" t="str">
        <f t="shared" si="11"/>
        <v>非空文字列判定</v>
      </c>
    </row>
    <row r="177" spans="1:7" ht="11.25" customHeight="1" outlineLevel="1">
      <c r="A177" s="15"/>
      <c r="B177" s="15" t="s">
        <v>1225</v>
      </c>
      <c r="C177" s="16" t="s">
        <v>122</v>
      </c>
      <c r="D177" s="17" t="s">
        <v>122</v>
      </c>
      <c r="F177">
        <f t="shared" ca="1" si="10"/>
        <v>81</v>
      </c>
      <c r="G177" t="str">
        <f t="shared" si="11"/>
        <v>存在確認</v>
      </c>
    </row>
    <row r="178" spans="1:7" ht="11.25" customHeight="1" outlineLevel="1">
      <c r="A178" s="15"/>
      <c r="B178" s="15" t="s">
        <v>1227</v>
      </c>
      <c r="C178" s="16" t="s">
        <v>122</v>
      </c>
      <c r="D178" s="17" t="s">
        <v>122</v>
      </c>
      <c r="F178">
        <f t="shared" ca="1" si="10"/>
        <v>82</v>
      </c>
      <c r="G178" t="str">
        <f t="shared" si="11"/>
        <v>存在確認(ファイルのみ)</v>
      </c>
    </row>
    <row r="179" spans="1:7" ht="11.25" customHeight="1" outlineLevel="1">
      <c r="A179" s="15"/>
      <c r="B179" s="15" t="s">
        <v>1228</v>
      </c>
      <c r="C179" s="16" t="s">
        <v>122</v>
      </c>
      <c r="D179" s="17" t="s">
        <v>122</v>
      </c>
      <c r="F179">
        <f t="shared" ca="1" si="10"/>
        <v>83</v>
      </c>
      <c r="G179" t="str">
        <f t="shared" si="11"/>
        <v>存在確認(ディレクトリのみ)</v>
      </c>
    </row>
    <row r="180" spans="1:7" ht="11.25" customHeight="1" outlineLevel="1">
      <c r="A180" s="15"/>
      <c r="B180" s="15" t="s">
        <v>1229</v>
      </c>
      <c r="C180" s="16" t="s">
        <v>122</v>
      </c>
      <c r="D180" s="17" t="s">
        <v>122</v>
      </c>
      <c r="F180">
        <f t="shared" ca="1" si="10"/>
        <v>84</v>
      </c>
      <c r="G180" t="str">
        <f t="shared" si="11"/>
        <v>存在確認(シンボリックリンク)</v>
      </c>
    </row>
    <row r="181" spans="1:7" ht="11.25" customHeight="1" outlineLevel="1">
      <c r="A181" s="15"/>
      <c r="B181" s="15" t="s">
        <v>1313</v>
      </c>
      <c r="C181" s="16" t="s">
        <v>122</v>
      </c>
      <c r="D181" s="17" t="s">
        <v>122</v>
      </c>
      <c r="F181">
        <f t="shared" ca="1" si="10"/>
        <v>85</v>
      </c>
      <c r="G181" t="str">
        <f t="shared" si="11"/>
        <v>ファイル種別判定(0バイト以上)</v>
      </c>
    </row>
    <row r="182" spans="1:7" ht="11.25" customHeight="1" outlineLevel="1">
      <c r="A182" s="15"/>
      <c r="B182" s="15" t="s">
        <v>1259</v>
      </c>
      <c r="C182" s="16" t="s">
        <v>122</v>
      </c>
      <c r="D182" s="17" t="s">
        <v>122</v>
      </c>
      <c r="F182">
        <f t="shared" ca="1" si="10"/>
        <v>86</v>
      </c>
      <c r="G182" t="str">
        <f t="shared" si="11"/>
        <v>ファイル種別判定(レギュラーファイル)</v>
      </c>
    </row>
    <row r="183" spans="1:7" ht="11.25" customHeight="1" outlineLevel="1">
      <c r="A183" s="15"/>
      <c r="B183" s="15" t="s">
        <v>1260</v>
      </c>
      <c r="C183" s="16" t="s">
        <v>122</v>
      </c>
      <c r="D183" s="17" t="s">
        <v>122</v>
      </c>
      <c r="F183">
        <f t="shared" ca="1" si="10"/>
        <v>87</v>
      </c>
      <c r="G183" t="str">
        <f t="shared" si="11"/>
        <v>ファイル種別判定(読込み可)</v>
      </c>
    </row>
    <row r="184" spans="1:7" ht="11.25" customHeight="1" outlineLevel="1">
      <c r="A184" s="15"/>
      <c r="B184" s="15" t="s">
        <v>1262</v>
      </c>
      <c r="C184" s="16" t="s">
        <v>122</v>
      </c>
      <c r="D184" s="17" t="s">
        <v>122</v>
      </c>
      <c r="F184">
        <f t="shared" ca="1" si="10"/>
        <v>88</v>
      </c>
      <c r="G184" t="str">
        <f t="shared" si="11"/>
        <v>ファイル種別判定(書込み可)</v>
      </c>
    </row>
    <row r="185" spans="1:7" ht="11.25" customHeight="1" outlineLevel="1">
      <c r="A185" s="15"/>
      <c r="B185" s="15" t="s">
        <v>1264</v>
      </c>
      <c r="C185" s="16" t="s">
        <v>122</v>
      </c>
      <c r="D185" s="17" t="s">
        <v>122</v>
      </c>
      <c r="F185">
        <f t="shared" ca="1" si="10"/>
        <v>89</v>
      </c>
      <c r="G185" t="str">
        <f t="shared" si="11"/>
        <v>ファイル種別判定(実行可能)(ディレクトリの場合は移動可能)</v>
      </c>
    </row>
    <row r="186" spans="1:7" ht="11.25" customHeight="1" outlineLevel="1">
      <c r="A186" s="15"/>
      <c r="B186" s="15" t="s">
        <v>1266</v>
      </c>
      <c r="C186" s="16" t="s">
        <v>122</v>
      </c>
      <c r="D186" s="17" t="s">
        <v>122</v>
      </c>
      <c r="F186">
        <f t="shared" ca="1" si="10"/>
        <v>90</v>
      </c>
      <c r="G186" t="str">
        <f t="shared" si="11"/>
        <v>ファイル種別判定(シンボリックリンクファイル)</v>
      </c>
    </row>
    <row r="187" spans="1:7" ht="11.25" customHeight="1" outlineLevel="1">
      <c r="A187" s="15"/>
      <c r="B187" s="15" t="s">
        <v>1266</v>
      </c>
      <c r="C187" s="16" t="s">
        <v>122</v>
      </c>
      <c r="D187" s="17" t="s">
        <v>122</v>
      </c>
      <c r="F187">
        <f t="shared" ca="1" si="10"/>
        <v>91</v>
      </c>
      <c r="G187" t="str">
        <f t="shared" si="11"/>
        <v>ファイル種別判定(シンボリックリンクファイル)</v>
      </c>
    </row>
    <row r="188" spans="1:7" ht="11.25" customHeight="1" outlineLevel="1">
      <c r="A188" s="15"/>
      <c r="B188" s="15" t="s">
        <v>1269</v>
      </c>
      <c r="C188" s="16" t="s">
        <v>122</v>
      </c>
      <c r="D188" s="17" t="s">
        <v>122</v>
      </c>
      <c r="F188">
        <f t="shared" ca="1" si="10"/>
        <v>92</v>
      </c>
      <c r="G188" t="str">
        <f t="shared" si="11"/>
        <v>ファイル種別判定(ブロックデバイスファイル)</v>
      </c>
    </row>
    <row r="189" spans="1:7" ht="11.25" customHeight="1" outlineLevel="1">
      <c r="A189" s="15"/>
      <c r="B189" s="15" t="s">
        <v>1271</v>
      </c>
      <c r="C189" s="16" t="s">
        <v>122</v>
      </c>
      <c r="D189" s="17" t="s">
        <v>122</v>
      </c>
      <c r="F189">
        <f t="shared" ca="1" si="10"/>
        <v>93</v>
      </c>
      <c r="G189" t="str">
        <f t="shared" si="11"/>
        <v>ファイル種別判定(キャラクタデバイスファイル)</v>
      </c>
    </row>
    <row r="190" spans="1:7" ht="11.25" customHeight="1" outlineLevel="1">
      <c r="A190" s="15"/>
      <c r="B190" s="15" t="s">
        <v>1273</v>
      </c>
      <c r="C190" s="16" t="s">
        <v>122</v>
      </c>
      <c r="D190" s="17" t="s">
        <v>122</v>
      </c>
      <c r="F190">
        <f t="shared" ca="1" si="10"/>
        <v>94</v>
      </c>
      <c r="G190" t="str">
        <f t="shared" si="11"/>
        <v>ファイル種別判定(名前付きパイプ)</v>
      </c>
    </row>
    <row r="191" spans="1:7" ht="11.25" customHeight="1" outlineLevel="1">
      <c r="A191" s="15"/>
      <c r="B191" s="15" t="s">
        <v>1275</v>
      </c>
      <c r="C191" s="16" t="s">
        <v>122</v>
      </c>
      <c r="D191" s="17" t="s">
        <v>122</v>
      </c>
      <c r="F191">
        <f t="shared" ca="1" si="10"/>
        <v>95</v>
      </c>
      <c r="G191" t="str">
        <f t="shared" si="11"/>
        <v>ファイル種別判定(ソケットファイル)</v>
      </c>
    </row>
    <row r="192" spans="1:7" ht="11.25" customHeight="1" outlineLevel="1">
      <c r="A192" s="15"/>
      <c r="B192" s="15" t="s">
        <v>1277</v>
      </c>
      <c r="C192" s="16" t="s">
        <v>122</v>
      </c>
      <c r="D192" s="17" t="s">
        <v>122</v>
      </c>
      <c r="F192">
        <f t="shared" ca="1" si="10"/>
        <v>96</v>
      </c>
      <c r="G192" t="str">
        <f t="shared" si="11"/>
        <v>ファイル種別判定(スティッキービット設定)</v>
      </c>
    </row>
    <row r="193" spans="1:7" ht="11.25" customHeight="1" outlineLevel="1">
      <c r="A193" s="15"/>
      <c r="B193" s="15" t="s">
        <v>1278</v>
      </c>
      <c r="C193" s="16" t="s">
        <v>122</v>
      </c>
      <c r="D193" s="17" t="s">
        <v>122</v>
      </c>
      <c r="F193">
        <f t="shared" ca="1" si="10"/>
        <v>97</v>
      </c>
      <c r="G193" t="str">
        <f t="shared" si="11"/>
        <v>ファイル種別判定(セットユーザIDビット設定)</v>
      </c>
    </row>
    <row r="194" spans="1:7" ht="11.25" customHeight="1" outlineLevel="1">
      <c r="A194" s="15"/>
      <c r="B194" s="15" t="s">
        <v>1279</v>
      </c>
      <c r="C194" s="16" t="s">
        <v>122</v>
      </c>
      <c r="D194" s="17" t="s">
        <v>122</v>
      </c>
      <c r="F194">
        <f t="shared" ca="1" si="10"/>
        <v>98</v>
      </c>
      <c r="G194" t="str">
        <f t="shared" si="11"/>
        <v>ファイル種別判定(セットグループIDビット設定)</v>
      </c>
    </row>
    <row r="195" spans="1:7" ht="11.25" customHeight="1" outlineLevel="1">
      <c r="A195" s="15"/>
      <c r="B195" s="15" t="s">
        <v>1280</v>
      </c>
      <c r="C195" s="16" t="s">
        <v>122</v>
      </c>
      <c r="D195" s="17" t="s">
        <v>122</v>
      </c>
      <c r="F195">
        <f t="shared" ca="1" si="10"/>
        <v>99</v>
      </c>
      <c r="G195" t="str">
        <f t="shared" si="11"/>
        <v>ファイル種別判定(実効ユーザID所有)</v>
      </c>
    </row>
    <row r="196" spans="1:7" ht="11.25" customHeight="1" outlineLevel="1">
      <c r="A196" s="15"/>
      <c r="B196" s="15" t="s">
        <v>1282</v>
      </c>
      <c r="C196" s="16" t="s">
        <v>122</v>
      </c>
      <c r="D196" s="17" t="s">
        <v>122</v>
      </c>
      <c r="F196">
        <f t="shared" ref="F196:F227" ca="1" si="12">IF(G196="",OFFSET(F196,-1,0),OFFSET(F196,-1,0)+1)</f>
        <v>100</v>
      </c>
      <c r="G196" t="str">
        <f t="shared" si="11"/>
        <v>ファイル種別判定(実効グループID所有)</v>
      </c>
    </row>
    <row r="197" spans="1:7" ht="11.25" customHeight="1" outlineLevel="1">
      <c r="A197" s="15"/>
      <c r="B197" s="18" t="s">
        <v>2005</v>
      </c>
      <c r="C197" s="16" t="s">
        <v>122</v>
      </c>
      <c r="D197" s="17" t="s">
        <v>122</v>
      </c>
      <c r="F197">
        <f t="shared" ca="1" si="12"/>
        <v>101</v>
      </c>
      <c r="G197" t="str">
        <f t="shared" ref="G197:G228" si="13">IF(B197="","",B197)</f>
        <v>正規表現一致確認</v>
      </c>
    </row>
    <row r="198" spans="1:7" ht="11.25" customHeight="1" outlineLevel="1">
      <c r="A198" s="15"/>
      <c r="B198" s="15" t="s">
        <v>1286</v>
      </c>
      <c r="C198" s="16" t="s">
        <v>122</v>
      </c>
      <c r="D198" s="17" t="s">
        <v>122</v>
      </c>
      <c r="F198">
        <f t="shared" ca="1" si="12"/>
        <v>102</v>
      </c>
      <c r="G198" t="str">
        <f t="shared" si="13"/>
        <v>文字数値変換(文字→数値)</v>
      </c>
    </row>
    <row r="199" spans="1:7" ht="11.25" customHeight="1" outlineLevel="1">
      <c r="A199" s="15"/>
      <c r="B199" s="15" t="s">
        <v>1287</v>
      </c>
      <c r="C199" s="16" t="s">
        <v>122</v>
      </c>
      <c r="D199" s="17" t="s">
        <v>122</v>
      </c>
      <c r="F199">
        <f t="shared" ca="1" si="12"/>
        <v>103</v>
      </c>
      <c r="G199" t="str">
        <f t="shared" si="13"/>
        <v>文字数値変換(数値→文字)</v>
      </c>
    </row>
    <row r="200" spans="1:7" ht="11.25" customHeight="1">
      <c r="A200" s="12" t="s">
        <v>345</v>
      </c>
      <c r="B200" s="13"/>
      <c r="C200" s="13" t="s">
        <v>122</v>
      </c>
      <c r="D200" s="14" t="s">
        <v>122</v>
      </c>
      <c r="E200" t="s">
        <v>122</v>
      </c>
      <c r="F200">
        <f t="shared" ca="1" si="12"/>
        <v>103</v>
      </c>
      <c r="G200" t="str">
        <f t="shared" si="13"/>
        <v/>
      </c>
    </row>
    <row r="201" spans="1:7" ht="11.25" customHeight="1" outlineLevel="1">
      <c r="A201" s="15"/>
      <c r="B201" s="15" t="s">
        <v>1393</v>
      </c>
      <c r="C201" s="16" t="s">
        <v>122</v>
      </c>
      <c r="D201" s="17" t="s">
        <v>122</v>
      </c>
      <c r="F201">
        <f t="shared" ca="1" si="12"/>
        <v>104</v>
      </c>
      <c r="G201" t="str">
        <f t="shared" si="13"/>
        <v>ファイル作成</v>
      </c>
    </row>
    <row r="202" spans="1:7" ht="11.25" customHeight="1" outlineLevel="1">
      <c r="A202" s="15"/>
      <c r="B202" s="15" t="s">
        <v>1301</v>
      </c>
      <c r="C202" s="16" t="s">
        <v>122</v>
      </c>
      <c r="D202" s="17" t="s">
        <v>122</v>
      </c>
      <c r="F202">
        <f t="shared" ca="1" si="12"/>
        <v>105</v>
      </c>
      <c r="G202" t="str">
        <f t="shared" si="13"/>
        <v>ファイル名取得</v>
      </c>
    </row>
    <row r="203" spans="1:7" ht="11.25" customHeight="1" outlineLevel="1">
      <c r="A203" s="15"/>
      <c r="B203" s="15" t="s">
        <v>1916</v>
      </c>
      <c r="C203" s="16" t="s">
        <v>122</v>
      </c>
      <c r="D203" s="17" t="s">
        <v>122</v>
      </c>
      <c r="F203">
        <f t="shared" ca="1" si="12"/>
        <v>106</v>
      </c>
      <c r="G203" t="str">
        <f t="shared" si="13"/>
        <v>ファイル名取得＆操作</v>
      </c>
    </row>
    <row r="204" spans="1:7" ht="11.25" customHeight="1" outlineLevel="1">
      <c r="A204" s="15"/>
      <c r="B204" s="15" t="s">
        <v>1397</v>
      </c>
      <c r="C204" s="16" t="s">
        <v>122</v>
      </c>
      <c r="D204" s="17" t="s">
        <v>122</v>
      </c>
      <c r="F204">
        <f t="shared" ca="1" si="12"/>
        <v>107</v>
      </c>
      <c r="G204" t="str">
        <f t="shared" si="13"/>
        <v>ファイル削除</v>
      </c>
    </row>
    <row r="205" spans="1:7" ht="11.25" customHeight="1" outlineLevel="1">
      <c r="A205" s="15"/>
      <c r="B205" s="15" t="s">
        <v>1404</v>
      </c>
      <c r="C205" s="16" t="s">
        <v>122</v>
      </c>
      <c r="D205" s="17" t="s">
        <v>122</v>
      </c>
      <c r="F205">
        <f t="shared" ca="1" si="12"/>
        <v>108</v>
      </c>
      <c r="G205" t="str">
        <f t="shared" si="13"/>
        <v>ファイル完全削除</v>
      </c>
    </row>
    <row r="206" spans="1:7" ht="11.25" customHeight="1" outlineLevel="1">
      <c r="A206" s="15"/>
      <c r="B206" s="15" t="s">
        <v>1406</v>
      </c>
      <c r="C206" s="16" t="s">
        <v>122</v>
      </c>
      <c r="D206" s="17" t="s">
        <v>122</v>
      </c>
      <c r="F206">
        <f t="shared" ca="1" si="12"/>
        <v>109</v>
      </c>
      <c r="G206" t="str">
        <f t="shared" si="13"/>
        <v>ファイル移動</v>
      </c>
    </row>
    <row r="207" spans="1:7" ht="11.25" customHeight="1" outlineLevel="1">
      <c r="A207" s="15"/>
      <c r="B207" s="15" t="s">
        <v>2015</v>
      </c>
      <c r="C207" s="16" t="s">
        <v>122</v>
      </c>
      <c r="D207" s="17" t="s">
        <v>122</v>
      </c>
      <c r="F207">
        <f t="shared" ca="1" si="12"/>
        <v>110</v>
      </c>
      <c r="G207" t="str">
        <f t="shared" si="13"/>
        <v>ファイルリネーム1</v>
      </c>
    </row>
    <row r="208" spans="1:7" ht="11.25" customHeight="1" outlineLevel="1">
      <c r="A208" s="15"/>
      <c r="B208" s="15" t="s">
        <v>2016</v>
      </c>
      <c r="C208" s="16" t="s">
        <v>122</v>
      </c>
      <c r="D208" s="17" t="s">
        <v>122</v>
      </c>
      <c r="F208">
        <f t="shared" ca="1" si="12"/>
        <v>111</v>
      </c>
      <c r="G208" t="str">
        <f t="shared" si="13"/>
        <v>ファイルリネーム2</v>
      </c>
    </row>
    <row r="209" spans="1:7" ht="11.25" customHeight="1" outlineLevel="1">
      <c r="A209" s="15"/>
      <c r="B209" s="15" t="s">
        <v>1411</v>
      </c>
      <c r="C209" s="16" t="s">
        <v>122</v>
      </c>
      <c r="D209" s="17" t="s">
        <v>122</v>
      </c>
      <c r="F209">
        <f t="shared" ca="1" si="12"/>
        <v>112</v>
      </c>
      <c r="G209" t="str">
        <f t="shared" si="13"/>
        <v>ファイルコピー1</v>
      </c>
    </row>
    <row r="210" spans="1:7" ht="11.25" customHeight="1" outlineLevel="1">
      <c r="A210" s="15"/>
      <c r="B210" s="15" t="s">
        <v>1413</v>
      </c>
      <c r="C210" s="16" t="s">
        <v>122</v>
      </c>
      <c r="D210" s="17" t="s">
        <v>122</v>
      </c>
      <c r="F210">
        <f t="shared" ca="1" si="12"/>
        <v>113</v>
      </c>
      <c r="G210" t="str">
        <f t="shared" si="13"/>
        <v>ファイルコピー2</v>
      </c>
    </row>
    <row r="211" spans="1:7" ht="11.25" customHeight="1" outlineLevel="1">
      <c r="A211" s="15"/>
      <c r="B211" s="15" t="s">
        <v>2021</v>
      </c>
      <c r="C211" s="20" t="s">
        <v>122</v>
      </c>
      <c r="D211" s="52" t="s">
        <v>122</v>
      </c>
      <c r="F211">
        <f t="shared" ca="1" si="12"/>
        <v>114</v>
      </c>
      <c r="G211" t="str">
        <f t="shared" si="13"/>
        <v>ファイルコピー(ディレクトリ作成＆コピー)</v>
      </c>
    </row>
    <row r="212" spans="1:7" ht="11.25" customHeight="1" outlineLevel="1">
      <c r="A212" s="15"/>
      <c r="B212" s="15" t="s">
        <v>1415</v>
      </c>
      <c r="C212" s="16" t="s">
        <v>122</v>
      </c>
      <c r="D212" s="17" t="s">
        <v>122</v>
      </c>
      <c r="F212">
        <f t="shared" ca="1" si="12"/>
        <v>115</v>
      </c>
      <c r="G212" t="str">
        <f t="shared" si="13"/>
        <v>ファイルコピー(シンボリックリンク)</v>
      </c>
    </row>
    <row r="213" spans="1:7" ht="11.25" customHeight="1" outlineLevel="1">
      <c r="A213" s="15"/>
      <c r="B213" s="15" t="s">
        <v>2017</v>
      </c>
      <c r="C213" s="20" t="s">
        <v>122</v>
      </c>
      <c r="D213" s="17" t="s">
        <v>122</v>
      </c>
      <c r="F213">
        <f t="shared" ca="1" si="12"/>
        <v>116</v>
      </c>
      <c r="G213" t="str">
        <f t="shared" si="13"/>
        <v>ファイルコピー(パーミッション保持)</v>
      </c>
    </row>
    <row r="214" spans="1:7" ht="11.25" customHeight="1" outlineLevel="1">
      <c r="A214" s="15"/>
      <c r="B214" s="18" t="s">
        <v>1479</v>
      </c>
      <c r="C214" s="16" t="s">
        <v>122</v>
      </c>
      <c r="D214" s="17" t="s">
        <v>122</v>
      </c>
      <c r="F214">
        <f t="shared" ca="1" si="12"/>
        <v>117</v>
      </c>
      <c r="G214" t="str">
        <f t="shared" si="13"/>
        <v>ファイルコピー(ブロック単位)</v>
      </c>
    </row>
    <row r="215" spans="1:7" ht="11.25" customHeight="1" outlineLevel="1">
      <c r="A215" s="15"/>
      <c r="B215" s="15" t="s">
        <v>1418</v>
      </c>
      <c r="C215" s="16" t="s">
        <v>122</v>
      </c>
      <c r="D215" s="17" t="s">
        <v>122</v>
      </c>
      <c r="F215">
        <f t="shared" ca="1" si="12"/>
        <v>118</v>
      </c>
      <c r="G215" t="str">
        <f t="shared" si="13"/>
        <v>ファイルコピー＆アクセス権設定</v>
      </c>
    </row>
    <row r="216" spans="1:7" ht="11.25" customHeight="1" outlineLevel="1">
      <c r="A216" s="15"/>
      <c r="B216" s="15" t="s">
        <v>1419</v>
      </c>
      <c r="C216" s="16" t="s">
        <v>122</v>
      </c>
      <c r="D216" s="17" t="s">
        <v>122</v>
      </c>
      <c r="F216">
        <f t="shared" ca="1" si="12"/>
        <v>119</v>
      </c>
      <c r="G216" t="str">
        <f t="shared" si="13"/>
        <v>ファイル分割(行番号指定)</v>
      </c>
    </row>
    <row r="217" spans="1:7" ht="11.25" customHeight="1" outlineLevel="1">
      <c r="A217" s="15"/>
      <c r="B217" s="15" t="s">
        <v>1421</v>
      </c>
      <c r="C217" s="16" t="s">
        <v>122</v>
      </c>
      <c r="D217" s="17" t="s">
        <v>122</v>
      </c>
      <c r="F217">
        <f t="shared" ca="1" si="12"/>
        <v>120</v>
      </c>
      <c r="G217" t="str">
        <f t="shared" si="13"/>
        <v>ファイル分割(文脈指定)</v>
      </c>
    </row>
    <row r="218" spans="1:7" ht="11.25" customHeight="1" outlineLevel="1">
      <c r="A218" s="15"/>
      <c r="B218" s="15" t="s">
        <v>1302</v>
      </c>
      <c r="C218" s="16" t="s">
        <v>122</v>
      </c>
      <c r="D218" s="17" t="s">
        <v>122</v>
      </c>
      <c r="F218">
        <f t="shared" ca="1" si="12"/>
        <v>121</v>
      </c>
      <c r="G218" t="str">
        <f t="shared" si="13"/>
        <v>ディレクトリパス取得</v>
      </c>
    </row>
    <row r="219" spans="1:7" ht="11.25" customHeight="1" outlineLevel="1">
      <c r="A219" s="15"/>
      <c r="B219" s="15" t="s">
        <v>1303</v>
      </c>
      <c r="C219" s="16" t="s">
        <v>122</v>
      </c>
      <c r="D219" s="17" t="s">
        <v>122</v>
      </c>
      <c r="F219">
        <f t="shared" ca="1" si="12"/>
        <v>122</v>
      </c>
      <c r="G219" t="str">
        <f t="shared" si="13"/>
        <v>ディレクトリ名取得＆操作</v>
      </c>
    </row>
    <row r="220" spans="1:7" ht="11.25" customHeight="1" outlineLevel="1">
      <c r="A220" s="15"/>
      <c r="B220" s="15" t="s">
        <v>1386</v>
      </c>
      <c r="C220" s="16" t="s">
        <v>122</v>
      </c>
      <c r="D220" s="17" t="s">
        <v>122</v>
      </c>
      <c r="F220">
        <f t="shared" ca="1" si="12"/>
        <v>123</v>
      </c>
      <c r="G220" t="str">
        <f t="shared" si="13"/>
        <v>ディレクトリ移動</v>
      </c>
    </row>
    <row r="221" spans="1:7" ht="11.25" customHeight="1" outlineLevel="1">
      <c r="A221" s="15"/>
      <c r="B221" s="15" t="s">
        <v>1387</v>
      </c>
      <c r="C221" s="16" t="s">
        <v>122</v>
      </c>
      <c r="D221" s="17" t="s">
        <v>122</v>
      </c>
      <c r="F221">
        <f t="shared" ca="1" si="12"/>
        <v>124</v>
      </c>
      <c r="G221" t="str">
        <f t="shared" si="13"/>
        <v>ディレクトリ移動(直前)</v>
      </c>
    </row>
    <row r="222" spans="1:7" ht="11.25" customHeight="1" outlineLevel="1">
      <c r="A222" s="15"/>
      <c r="B222" s="15" t="s">
        <v>1389</v>
      </c>
      <c r="C222" s="16" t="s">
        <v>122</v>
      </c>
      <c r="D222" s="17" t="s">
        <v>122</v>
      </c>
      <c r="F222">
        <f t="shared" ca="1" si="12"/>
        <v>125</v>
      </c>
      <c r="G222" t="str">
        <f t="shared" si="13"/>
        <v>ディレクトリ移動([mv後のディレクトリへ](https://qiita.com/arene-calix/items/41d8d4ba572f1d652727))</v>
      </c>
    </row>
    <row r="223" spans="1:7" ht="11.25" customHeight="1" outlineLevel="1">
      <c r="A223" s="15"/>
      <c r="B223" s="15" t="s">
        <v>1391</v>
      </c>
      <c r="C223" s="16" t="s">
        <v>122</v>
      </c>
      <c r="D223" s="17" t="s">
        <v>122</v>
      </c>
      <c r="F223">
        <f t="shared" ca="1" si="12"/>
        <v>126</v>
      </c>
      <c r="G223" t="str">
        <f t="shared" si="13"/>
        <v>ディレクトリ移動(保存)</v>
      </c>
    </row>
    <row r="224" spans="1:7" ht="11.25" customHeight="1" outlineLevel="1">
      <c r="A224" s="15"/>
      <c r="B224" s="15" t="s">
        <v>1395</v>
      </c>
      <c r="C224" s="16" t="s">
        <v>122</v>
      </c>
      <c r="D224" s="17" t="s">
        <v>122</v>
      </c>
      <c r="F224">
        <f t="shared" ca="1" si="12"/>
        <v>127</v>
      </c>
      <c r="G224" t="str">
        <f t="shared" si="13"/>
        <v>ディレクトリ作成(再帰的)</v>
      </c>
    </row>
    <row r="225" spans="1:7" ht="11.25" customHeight="1" outlineLevel="1">
      <c r="A225" s="15"/>
      <c r="B225" s="15" t="s">
        <v>1399</v>
      </c>
      <c r="C225" s="16" t="s">
        <v>122</v>
      </c>
      <c r="D225" s="17" t="s">
        <v>122</v>
      </c>
      <c r="F225">
        <f t="shared" ca="1" si="12"/>
        <v>128</v>
      </c>
      <c r="G225" t="str">
        <f t="shared" si="13"/>
        <v>ディレクトリ削除(再帰的1)</v>
      </c>
    </row>
    <row r="226" spans="1:7" ht="11.25" customHeight="1" outlineLevel="1">
      <c r="A226" s="15"/>
      <c r="B226" s="15" t="s">
        <v>1401</v>
      </c>
      <c r="C226" s="16" t="s">
        <v>122</v>
      </c>
      <c r="D226" s="17" t="s">
        <v>122</v>
      </c>
      <c r="F226">
        <f t="shared" ca="1" si="12"/>
        <v>129</v>
      </c>
      <c r="G226" t="str">
        <f t="shared" si="13"/>
        <v>ディレクトリ削除(再帰的2)</v>
      </c>
    </row>
    <row r="227" spans="1:7" ht="11.25" customHeight="1" outlineLevel="1">
      <c r="A227" s="15"/>
      <c r="B227" s="15" t="s">
        <v>1386</v>
      </c>
      <c r="C227" s="16" t="s">
        <v>122</v>
      </c>
      <c r="D227" s="17" t="s">
        <v>122</v>
      </c>
      <c r="F227">
        <f t="shared" ca="1" si="12"/>
        <v>130</v>
      </c>
      <c r="G227" t="str">
        <f t="shared" si="13"/>
        <v>ディレクトリ移動</v>
      </c>
    </row>
    <row r="228" spans="1:7" ht="11.25" customHeight="1" outlineLevel="1">
      <c r="A228" s="15"/>
      <c r="B228" s="3" t="s">
        <v>1968</v>
      </c>
      <c r="C228" s="16" t="s">
        <v>122</v>
      </c>
      <c r="D228" s="17" t="s">
        <v>122</v>
      </c>
      <c r="F228">
        <f t="shared" ref="F228:F259" ca="1" si="14">IF(G228="",OFFSET(F228,-1,0),OFFSET(F228,-1,0)+1)</f>
        <v>131</v>
      </c>
      <c r="G228" t="str">
        <f t="shared" si="13"/>
        <v>セクションサイズ取得</v>
      </c>
    </row>
    <row r="229" spans="1:7" ht="11.25" customHeight="1" outlineLevel="1">
      <c r="A229" s="15"/>
      <c r="B229" s="15" t="s">
        <v>1416</v>
      </c>
      <c r="C229" s="16" t="s">
        <v>122</v>
      </c>
      <c r="D229" s="17" t="s">
        <v>122</v>
      </c>
      <c r="F229">
        <f t="shared" ca="1" si="14"/>
        <v>132</v>
      </c>
      <c r="G229" t="str">
        <f t="shared" ref="G229:G260" si="15">IF(B229="","",B229)</f>
        <v>ディレクトリコピー(再帰的)</v>
      </c>
    </row>
    <row r="230" spans="1:7" ht="11.25" customHeight="1" outlineLevel="1">
      <c r="A230" s="15"/>
      <c r="B230" s="15" t="s">
        <v>2019</v>
      </c>
      <c r="C230" s="16" t="s">
        <v>122</v>
      </c>
      <c r="D230" s="17" t="s">
        <v>122</v>
      </c>
      <c r="F230">
        <f t="shared" ca="1" si="14"/>
        <v>133</v>
      </c>
      <c r="G230" t="str">
        <f t="shared" si="15"/>
        <v>ファイル読込（一行ずつ）</v>
      </c>
    </row>
    <row r="231" spans="1:7" ht="11.25" customHeight="1" outlineLevel="1">
      <c r="A231" s="15"/>
      <c r="B231" s="15" t="s">
        <v>1974</v>
      </c>
      <c r="C231" s="16" t="s">
        <v>122</v>
      </c>
      <c r="D231" s="17" t="s">
        <v>122</v>
      </c>
      <c r="F231">
        <f t="shared" ca="1" si="14"/>
        <v>134</v>
      </c>
      <c r="G231" t="str">
        <f t="shared" si="15"/>
        <v>文字コード判定</v>
      </c>
    </row>
    <row r="232" spans="1:7" ht="11.25" customHeight="1" outlineLevel="1">
      <c r="A232" s="15"/>
      <c r="B232" s="15" t="s">
        <v>1423</v>
      </c>
      <c r="C232" s="16" t="s">
        <v>122</v>
      </c>
      <c r="D232" s="17" t="s">
        <v>122</v>
      </c>
      <c r="F232">
        <f t="shared" ca="1" si="14"/>
        <v>135</v>
      </c>
      <c r="G232" t="str">
        <f t="shared" si="15"/>
        <v>文字コード変換(sjis→utf8)(iconv)</v>
      </c>
    </row>
    <row r="233" spans="1:7" ht="11.25" customHeight="1" outlineLevel="1">
      <c r="A233" s="15"/>
      <c r="B233" s="18" t="s">
        <v>1483</v>
      </c>
      <c r="C233" s="16" t="s">
        <v>122</v>
      </c>
      <c r="D233" s="17" t="s">
        <v>122</v>
      </c>
      <c r="F233">
        <f t="shared" ca="1" si="14"/>
        <v>136</v>
      </c>
      <c r="G233" t="str">
        <f t="shared" si="15"/>
        <v>文字コード変換(sjis→utf8)(nkf)</v>
      </c>
    </row>
    <row r="234" spans="1:7" ht="11.25" customHeight="1" outlineLevel="1">
      <c r="A234" s="15"/>
      <c r="B234" s="15" t="s">
        <v>1985</v>
      </c>
      <c r="C234" s="16" t="s">
        <v>122</v>
      </c>
      <c r="D234" s="17" t="s">
        <v>122</v>
      </c>
      <c r="F234">
        <f t="shared" ca="1" si="14"/>
        <v>137</v>
      </c>
      <c r="G234" t="str">
        <f t="shared" si="15"/>
        <v>改行コード判定＠nkf</v>
      </c>
    </row>
    <row r="235" spans="1:7" ht="11.25" customHeight="1" outlineLevel="1">
      <c r="A235" s="15"/>
      <c r="B235" s="15" t="s">
        <v>1978</v>
      </c>
      <c r="C235" s="16" t="s">
        <v>122</v>
      </c>
      <c r="D235" s="17" t="s">
        <v>122</v>
      </c>
      <c r="F235">
        <f t="shared" ca="1" si="14"/>
        <v>138</v>
      </c>
      <c r="G235" t="str">
        <f t="shared" si="15"/>
        <v>改行コード変換＠sed(Mac→Unix)</v>
      </c>
    </row>
    <row r="236" spans="1:7" ht="11.25" customHeight="1" outlineLevel="1">
      <c r="A236" s="15"/>
      <c r="B236" s="15" t="s">
        <v>1979</v>
      </c>
      <c r="C236" s="16" t="s">
        <v>122</v>
      </c>
      <c r="D236" s="17" t="s">
        <v>122</v>
      </c>
      <c r="F236">
        <f t="shared" ca="1" si="14"/>
        <v>139</v>
      </c>
      <c r="G236" t="str">
        <f t="shared" si="15"/>
        <v>改行コード変換＠sed(Windows→Unix)</v>
      </c>
    </row>
    <row r="237" spans="1:7" ht="11.25" customHeight="1" outlineLevel="1">
      <c r="A237" s="15"/>
      <c r="B237" s="15" t="s">
        <v>1980</v>
      </c>
      <c r="C237" s="16" t="s">
        <v>122</v>
      </c>
      <c r="D237" s="17" t="s">
        <v>122</v>
      </c>
      <c r="F237">
        <f t="shared" ca="1" si="14"/>
        <v>140</v>
      </c>
      <c r="G237" t="str">
        <f t="shared" si="15"/>
        <v>改行コード変換＠sed(Unix→Windows)</v>
      </c>
    </row>
    <row r="238" spans="1:7" ht="11.25" customHeight="1" outlineLevel="1">
      <c r="A238" s="15"/>
      <c r="B238" s="15" t="s">
        <v>1981</v>
      </c>
      <c r="C238" s="16" t="s">
        <v>122</v>
      </c>
      <c r="D238" s="17" t="s">
        <v>122</v>
      </c>
      <c r="F238">
        <f t="shared" ca="1" si="14"/>
        <v>141</v>
      </c>
      <c r="G238" t="str">
        <f t="shared" si="15"/>
        <v>改行コード変換＠nkf(xxx→Unix)</v>
      </c>
    </row>
    <row r="239" spans="1:7" ht="11.25" customHeight="1" outlineLevel="1">
      <c r="A239" s="15"/>
      <c r="B239" s="15" t="s">
        <v>1982</v>
      </c>
      <c r="C239" s="16" t="s">
        <v>122</v>
      </c>
      <c r="D239" s="17" t="s">
        <v>122</v>
      </c>
      <c r="F239">
        <f t="shared" ca="1" si="14"/>
        <v>142</v>
      </c>
      <c r="G239" t="str">
        <f t="shared" si="15"/>
        <v>改行コード変換＠nkf(xxx→Windows)</v>
      </c>
    </row>
    <row r="240" spans="1:7" ht="11.25" customHeight="1" outlineLevel="1">
      <c r="A240" s="15"/>
      <c r="B240" s="15" t="s">
        <v>1983</v>
      </c>
      <c r="C240" s="16" t="s">
        <v>122</v>
      </c>
      <c r="D240" s="17" t="s">
        <v>122</v>
      </c>
      <c r="F240">
        <f t="shared" ca="1" si="14"/>
        <v>143</v>
      </c>
      <c r="G240" t="str">
        <f t="shared" si="15"/>
        <v>改行コード変換＠nkf(xxx→Mac)</v>
      </c>
    </row>
    <row r="241" spans="1:7" ht="11.25" customHeight="1" outlineLevel="1">
      <c r="A241" s="15"/>
      <c r="B241" s="15" t="s">
        <v>1984</v>
      </c>
      <c r="C241" s="16" t="s">
        <v>122</v>
      </c>
      <c r="D241" s="17" t="s">
        <v>122</v>
      </c>
      <c r="F241">
        <f t="shared" ca="1" si="14"/>
        <v>144</v>
      </c>
      <c r="G241" t="str">
        <f t="shared" si="15"/>
        <v>改行コード変換＠nkf 上書き</v>
      </c>
    </row>
    <row r="242" spans="1:7" ht="11.25" customHeight="1" outlineLevel="1">
      <c r="A242" s="15"/>
      <c r="B242" s="15" t="s">
        <v>1426</v>
      </c>
      <c r="C242" s="16" t="s">
        <v>122</v>
      </c>
      <c r="D242" s="17" t="s">
        <v>122</v>
      </c>
      <c r="F242">
        <f t="shared" ca="1" si="14"/>
        <v>145</v>
      </c>
      <c r="G242" t="str">
        <f t="shared" si="15"/>
        <v>ハードリンク作成</v>
      </c>
    </row>
    <row r="243" spans="1:7" ht="11.25" customHeight="1" outlineLevel="1">
      <c r="A243" s="15"/>
      <c r="B243" s="15" t="s">
        <v>1428</v>
      </c>
      <c r="C243" s="16" t="s">
        <v>122</v>
      </c>
      <c r="D243" s="17" t="s">
        <v>122</v>
      </c>
      <c r="F243">
        <f t="shared" ca="1" si="14"/>
        <v>146</v>
      </c>
      <c r="G243" t="str">
        <f t="shared" si="15"/>
        <v>シンボリックリンク作成</v>
      </c>
    </row>
    <row r="244" spans="1:7" ht="11.25" customHeight="1" outlineLevel="1">
      <c r="A244" s="15"/>
      <c r="B244" s="15" t="s">
        <v>1430</v>
      </c>
      <c r="C244" s="16" t="s">
        <v>122</v>
      </c>
      <c r="D244" s="17" t="s">
        <v>122</v>
      </c>
      <c r="F244">
        <f t="shared" ca="1" si="14"/>
        <v>147</v>
      </c>
      <c r="G244" t="str">
        <f t="shared" si="15"/>
        <v>リンク指示先表示</v>
      </c>
    </row>
    <row r="245" spans="1:7" ht="11.25" customHeight="1" outlineLevel="1">
      <c r="A245" s="15"/>
      <c r="B245" s="15" t="s">
        <v>1432</v>
      </c>
      <c r="C245" s="16" t="s">
        <v>122</v>
      </c>
      <c r="D245" s="17" t="s">
        <v>122</v>
      </c>
      <c r="F245">
        <f t="shared" ca="1" si="14"/>
        <v>148</v>
      </c>
      <c r="G245" t="str">
        <f t="shared" si="15"/>
        <v>リンク指示先表示(シンボリックリンク解決済み絶対パス)</v>
      </c>
    </row>
    <row r="246" spans="1:7" ht="11.25" customHeight="1" outlineLevel="1">
      <c r="A246" s="15"/>
      <c r="B246" s="15" t="s">
        <v>1433</v>
      </c>
      <c r="C246" s="16" t="s">
        <v>122</v>
      </c>
      <c r="D246" s="17" t="s">
        <v>122</v>
      </c>
      <c r="F246">
        <f t="shared" ca="1" si="14"/>
        <v>149</v>
      </c>
      <c r="G246" t="str">
        <f t="shared" si="15"/>
        <v>リンクファイル削除1</v>
      </c>
    </row>
    <row r="247" spans="1:7" ht="11.25" customHeight="1" outlineLevel="1">
      <c r="A247" s="15"/>
      <c r="B247" s="15" t="s">
        <v>1435</v>
      </c>
      <c r="C247" s="16" t="s">
        <v>122</v>
      </c>
      <c r="D247" s="17" t="s">
        <v>122</v>
      </c>
      <c r="F247">
        <f t="shared" ca="1" si="14"/>
        <v>150</v>
      </c>
      <c r="G247" t="str">
        <f t="shared" si="15"/>
        <v>リンクファイル削除2</v>
      </c>
    </row>
    <row r="248" spans="1:7" ht="11.25" customHeight="1" outlineLevel="1">
      <c r="A248" s="15"/>
      <c r="B248" s="15" t="s">
        <v>1438</v>
      </c>
      <c r="C248" s="16" t="s">
        <v>122</v>
      </c>
      <c r="D248" s="17" t="s">
        <v>122</v>
      </c>
      <c r="F248">
        <f t="shared" ca="1" si="14"/>
        <v>151</v>
      </c>
      <c r="G248" t="str">
        <f t="shared" si="15"/>
        <v>データを印刷できる形式に変換</v>
      </c>
    </row>
    <row r="249" spans="1:7" ht="11.25" customHeight="1" outlineLevel="1">
      <c r="A249" s="15"/>
      <c r="B249" s="15" t="s">
        <v>1438</v>
      </c>
      <c r="C249" s="16" t="s">
        <v>122</v>
      </c>
      <c r="D249" s="17" t="s">
        <v>122</v>
      </c>
      <c r="F249">
        <f t="shared" ca="1" si="14"/>
        <v>152</v>
      </c>
      <c r="G249" t="str">
        <f t="shared" si="15"/>
        <v>データを印刷できる形式に変換</v>
      </c>
    </row>
    <row r="250" spans="1:7" ht="11.25" customHeight="1" outlineLevel="1">
      <c r="A250" s="15"/>
      <c r="B250" s="15" t="s">
        <v>1438</v>
      </c>
      <c r="C250" s="16" t="s">
        <v>122</v>
      </c>
      <c r="D250" s="54" t="s">
        <v>122</v>
      </c>
      <c r="F250">
        <f t="shared" ca="1" si="14"/>
        <v>153</v>
      </c>
      <c r="G250" t="str">
        <f t="shared" si="15"/>
        <v>データを印刷できる形式に変換</v>
      </c>
    </row>
    <row r="251" spans="1:7" ht="11.25" customHeight="1" outlineLevel="1">
      <c r="A251" s="15"/>
      <c r="B251" s="15" t="s">
        <v>1442</v>
      </c>
      <c r="C251" s="16" t="s">
        <v>122</v>
      </c>
      <c r="D251" s="17" t="s">
        <v>122</v>
      </c>
      <c r="F251">
        <f t="shared" ca="1" si="14"/>
        <v>154</v>
      </c>
      <c r="G251" t="str">
        <f t="shared" si="15"/>
        <v>テキストファイル 折り返し</v>
      </c>
    </row>
    <row r="252" spans="1:7" ht="11.25" customHeight="1" outlineLevel="1">
      <c r="A252" s="15"/>
      <c r="B252" s="15" t="s">
        <v>1444</v>
      </c>
      <c r="C252" s="16" t="s">
        <v>122</v>
      </c>
      <c r="D252" s="17" t="s">
        <v>122</v>
      </c>
      <c r="F252">
        <f t="shared" ca="1" si="14"/>
        <v>155</v>
      </c>
      <c r="G252" t="str">
        <f t="shared" si="15"/>
        <v>テキストファイル 折り返し(強制)</v>
      </c>
    </row>
    <row r="253" spans="1:7" ht="11.25" customHeight="1" outlineLevel="1">
      <c r="A253" s="15"/>
      <c r="B253" s="15" t="s">
        <v>1446</v>
      </c>
      <c r="C253" s="16" t="s">
        <v>122</v>
      </c>
      <c r="D253" s="17" t="s">
        <v>122</v>
      </c>
      <c r="F253">
        <f t="shared" ca="1" si="14"/>
        <v>156</v>
      </c>
      <c r="G253" t="str">
        <f t="shared" si="15"/>
        <v>テキストファイル ヘッダフッタ付与</v>
      </c>
    </row>
    <row r="254" spans="1:7" ht="11.25" customHeight="1" outlineLevel="1">
      <c r="A254" s="15"/>
      <c r="B254" s="15" t="s">
        <v>1448</v>
      </c>
      <c r="C254" s="16" t="s">
        <v>122</v>
      </c>
      <c r="D254" s="17" t="s">
        <v>122</v>
      </c>
      <c r="F254">
        <f t="shared" ca="1" si="14"/>
        <v>157</v>
      </c>
      <c r="G254" t="str">
        <f t="shared" si="15"/>
        <v>タイムスタンプ更新(現在時刻)</v>
      </c>
    </row>
    <row r="255" spans="1:7" ht="11.25" customHeight="1" outlineLevel="1">
      <c r="A255" s="15"/>
      <c r="B255" s="15" t="s">
        <v>1449</v>
      </c>
      <c r="C255" s="16" t="s">
        <v>122</v>
      </c>
      <c r="D255" s="17" t="s">
        <v>122</v>
      </c>
      <c r="F255">
        <f t="shared" ca="1" si="14"/>
        <v>158</v>
      </c>
      <c r="G255" t="str">
        <f t="shared" si="15"/>
        <v>タイムスタンプ更新(指定時刻)</v>
      </c>
    </row>
    <row r="256" spans="1:7" ht="11.25" customHeight="1" outlineLevel="1">
      <c r="A256" s="15"/>
      <c r="B256" s="15" t="s">
        <v>1451</v>
      </c>
      <c r="C256" s="16" t="s">
        <v>122</v>
      </c>
      <c r="D256" s="17" t="s">
        <v>122</v>
      </c>
      <c r="F256">
        <f t="shared" ca="1" si="14"/>
        <v>159</v>
      </c>
      <c r="G256" t="str">
        <f t="shared" si="15"/>
        <v>タブ→空白変換(8文字)</v>
      </c>
    </row>
    <row r="257" spans="1:7" ht="11.25" customHeight="1" outlineLevel="1">
      <c r="A257" s="15"/>
      <c r="B257" s="15" t="s">
        <v>1453</v>
      </c>
      <c r="C257" s="16" t="s">
        <v>122</v>
      </c>
      <c r="D257" s="17" t="s">
        <v>122</v>
      </c>
      <c r="F257">
        <f t="shared" ca="1" si="14"/>
        <v>160</v>
      </c>
      <c r="G257" t="str">
        <f t="shared" si="15"/>
        <v>空白→タブ変換(8文字)</v>
      </c>
    </row>
    <row r="258" spans="1:7" ht="11.25" customHeight="1" outlineLevel="1">
      <c r="A258" s="15"/>
      <c r="B258" s="15" t="s">
        <v>1455</v>
      </c>
      <c r="C258" s="16" t="s">
        <v>122</v>
      </c>
      <c r="D258" s="17" t="s">
        <v>122</v>
      </c>
      <c r="F258">
        <f t="shared" ca="1" si="14"/>
        <v>161</v>
      </c>
      <c r="G258" t="str">
        <f t="shared" si="15"/>
        <v>ファイルパーミッション変更</v>
      </c>
    </row>
    <row r="259" spans="1:7" ht="11.25" customHeight="1" outlineLevel="1">
      <c r="A259" s="15"/>
      <c r="B259" s="15" t="s">
        <v>1455</v>
      </c>
      <c r="C259" s="16" t="s">
        <v>122</v>
      </c>
      <c r="D259" s="17" t="s">
        <v>122</v>
      </c>
      <c r="F259">
        <f t="shared" ca="1" si="14"/>
        <v>162</v>
      </c>
      <c r="G259" t="str">
        <f t="shared" si="15"/>
        <v>ファイルパーミッション変更</v>
      </c>
    </row>
    <row r="260" spans="1:7" ht="11.25" customHeight="1" outlineLevel="1">
      <c r="A260" s="15"/>
      <c r="B260" s="15" t="s">
        <v>1458</v>
      </c>
      <c r="C260" s="16" t="s">
        <v>122</v>
      </c>
      <c r="D260" s="17" t="s">
        <v>122</v>
      </c>
      <c r="F260">
        <f t="shared" ref="F260:F277" ca="1" si="16">IF(G260="",OFFSET(F260,-1,0),OFFSET(F260,-1,0)+1)</f>
        <v>163</v>
      </c>
      <c r="G260" t="str">
        <f t="shared" si="15"/>
        <v>ファイルパーミッション変更(再帰的)</v>
      </c>
    </row>
    <row r="261" spans="1:7" ht="11.25" customHeight="1" outlineLevel="1">
      <c r="A261" s="15"/>
      <c r="B261" s="15" t="s">
        <v>1986</v>
      </c>
      <c r="C261" s="16" t="s">
        <v>122</v>
      </c>
      <c r="D261" s="17" t="s">
        <v>122</v>
      </c>
      <c r="F261">
        <f t="shared" ca="1" si="16"/>
        <v>164</v>
      </c>
      <c r="G261" t="str">
        <f t="shared" ref="G261:G277" si="17">IF(B261="","",B261)</f>
        <v>所有者変更(change owner)</v>
      </c>
    </row>
    <row r="262" spans="1:7" ht="11.25" customHeight="1" outlineLevel="1">
      <c r="A262" s="15"/>
      <c r="B262" s="15" t="s">
        <v>2020</v>
      </c>
      <c r="C262" s="16" t="s">
        <v>122</v>
      </c>
      <c r="D262" s="17" t="s">
        <v>122</v>
      </c>
      <c r="F262">
        <f t="shared" ca="1" si="16"/>
        <v>165</v>
      </c>
      <c r="G262" t="str">
        <f t="shared" si="17"/>
        <v>一時的空ファイル/ディレクトリ作成</v>
      </c>
    </row>
    <row r="263" spans="1:7" ht="11.25" customHeight="1" outlineLevel="1">
      <c r="A263" s="15"/>
      <c r="B263" s="15" t="s">
        <v>1489</v>
      </c>
      <c r="C263" s="16" t="s">
        <v>122</v>
      </c>
      <c r="D263" s="17" t="s">
        <v>122</v>
      </c>
      <c r="F263">
        <f t="shared" ca="1" si="16"/>
        <v>166</v>
      </c>
      <c r="G263" t="str">
        <f t="shared" si="17"/>
        <v>圧縮(tar)</v>
      </c>
    </row>
    <row r="264" spans="1:7" ht="11.25" customHeight="1" outlineLevel="1">
      <c r="A264" s="15"/>
      <c r="B264" s="15" t="s">
        <v>1490</v>
      </c>
      <c r="C264" s="16" t="s">
        <v>122</v>
      </c>
      <c r="D264" s="17" t="s">
        <v>122</v>
      </c>
      <c r="F264">
        <f t="shared" ca="1" si="16"/>
        <v>167</v>
      </c>
      <c r="G264" t="str">
        <f t="shared" si="17"/>
        <v>展開(tar)</v>
      </c>
    </row>
    <row r="265" spans="1:7" ht="11.25" customHeight="1" outlineLevel="1">
      <c r="A265" s="15"/>
      <c r="B265" s="15" t="s">
        <v>1487</v>
      </c>
      <c r="C265" s="16" t="s">
        <v>122</v>
      </c>
      <c r="D265" s="17" t="s">
        <v>122</v>
      </c>
      <c r="F265">
        <f t="shared" ca="1" si="16"/>
        <v>168</v>
      </c>
      <c r="G265" t="str">
        <f t="shared" si="17"/>
        <v>圧縮(gzip)</v>
      </c>
    </row>
    <row r="266" spans="1:7" ht="11.25" customHeight="1" outlineLevel="1">
      <c r="A266" s="15"/>
      <c r="B266" s="15" t="s">
        <v>1488</v>
      </c>
      <c r="C266" s="16" t="s">
        <v>122</v>
      </c>
      <c r="D266" s="17" t="s">
        <v>122</v>
      </c>
      <c r="F266">
        <f t="shared" ca="1" si="16"/>
        <v>169</v>
      </c>
      <c r="G266" t="str">
        <f t="shared" si="17"/>
        <v>展開(gzip)</v>
      </c>
    </row>
    <row r="267" spans="1:7" ht="11.25" customHeight="1" outlineLevel="1">
      <c r="A267" s="15"/>
      <c r="B267" s="15" t="s">
        <v>1465</v>
      </c>
      <c r="C267" s="16" t="s">
        <v>122</v>
      </c>
      <c r="D267" s="17" t="s">
        <v>122</v>
      </c>
      <c r="F267">
        <f t="shared" ca="1" si="16"/>
        <v>170</v>
      </c>
      <c r="G267" t="str">
        <f t="shared" si="17"/>
        <v>ファイルサイズ増減</v>
      </c>
    </row>
    <row r="268" spans="1:7" ht="11.25" customHeight="1" outlineLevel="1">
      <c r="A268" s="15"/>
      <c r="B268" s="15" t="s">
        <v>1468</v>
      </c>
      <c r="C268" s="16" t="s">
        <v>122</v>
      </c>
      <c r="D268" s="17" t="s">
        <v>122</v>
      </c>
      <c r="F268">
        <f t="shared" ca="1" si="16"/>
        <v>171</v>
      </c>
      <c r="G268" t="str">
        <f t="shared" si="17"/>
        <v>差分ファイル作成</v>
      </c>
    </row>
    <row r="269" spans="1:7" ht="11.25" customHeight="1" outlineLevel="1">
      <c r="A269" s="15"/>
      <c r="B269" s="15" t="s">
        <v>1470</v>
      </c>
      <c r="C269" s="16" t="s">
        <v>122</v>
      </c>
      <c r="D269" s="19" t="s">
        <v>122</v>
      </c>
      <c r="F269">
        <f t="shared" ca="1" si="16"/>
        <v>172</v>
      </c>
      <c r="G269" t="str">
        <f t="shared" si="17"/>
        <v>差分適用(単一ファイル指定)</v>
      </c>
    </row>
    <row r="270" spans="1:7" ht="11.25" customHeight="1" outlineLevel="1">
      <c r="A270" s="15"/>
      <c r="B270" s="15" t="s">
        <v>1472</v>
      </c>
      <c r="C270" s="16" t="s">
        <v>122</v>
      </c>
      <c r="D270" s="17" t="s">
        <v>122</v>
      </c>
      <c r="F270">
        <f t="shared" ca="1" si="16"/>
        <v>173</v>
      </c>
      <c r="G270" t="str">
        <f t="shared" si="17"/>
        <v>差分適用(フォルダ配下全て)</v>
      </c>
    </row>
    <row r="271" spans="1:7" ht="11.25" customHeight="1" outlineLevel="1">
      <c r="A271" s="15"/>
      <c r="B271" s="15" t="s">
        <v>1474</v>
      </c>
      <c r="C271" s="16" t="s">
        <v>122</v>
      </c>
      <c r="D271" s="19" t="s">
        <v>122</v>
      </c>
      <c r="F271">
        <f t="shared" ca="1" si="16"/>
        <v>174</v>
      </c>
      <c r="G271" t="str">
        <f t="shared" si="17"/>
        <v>差分巻き戻し</v>
      </c>
    </row>
    <row r="272" spans="1:7" ht="11.25" customHeight="1" outlineLevel="1">
      <c r="A272" s="15"/>
      <c r="B272" s="15" t="s">
        <v>1476</v>
      </c>
      <c r="C272" s="16" t="s">
        <v>122</v>
      </c>
      <c r="D272" s="17" t="s">
        <v>122</v>
      </c>
      <c r="F272">
        <f t="shared" ca="1" si="16"/>
        <v>175</v>
      </c>
      <c r="G272" t="str">
        <f t="shared" si="17"/>
        <v>インデント調整</v>
      </c>
    </row>
    <row r="273" spans="1:7" ht="11.25" customHeight="1" outlineLevel="1">
      <c r="A273" s="15"/>
      <c r="B273" s="15" t="s">
        <v>1493</v>
      </c>
      <c r="C273" s="16" t="s">
        <v>122</v>
      </c>
      <c r="D273" s="17" t="s">
        <v>122</v>
      </c>
      <c r="F273">
        <f t="shared" ca="1" si="16"/>
        <v>176</v>
      </c>
      <c r="G273" t="str">
        <f t="shared" si="17"/>
        <v>現在ディレクトリパス表示1</v>
      </c>
    </row>
    <row r="274" spans="1:7" ht="11.25" customHeight="1" outlineLevel="1">
      <c r="A274" s="15"/>
      <c r="B274" s="15" t="s">
        <v>1495</v>
      </c>
      <c r="C274" s="16" t="s">
        <v>122</v>
      </c>
      <c r="D274" s="17" t="s">
        <v>122</v>
      </c>
      <c r="F274">
        <f t="shared" ca="1" si="16"/>
        <v>177</v>
      </c>
      <c r="G274" t="str">
        <f t="shared" si="17"/>
        <v>現在ディレクトリパス表示2</v>
      </c>
    </row>
    <row r="275" spans="1:7" ht="11.25" customHeight="1" outlineLevel="1">
      <c r="A275" s="15"/>
      <c r="B275" s="15" t="s">
        <v>1497</v>
      </c>
      <c r="C275" s="16" t="s">
        <v>122</v>
      </c>
      <c r="D275" s="17" t="s">
        <v>122</v>
      </c>
      <c r="F275">
        <f t="shared" ca="1" si="16"/>
        <v>178</v>
      </c>
      <c r="G275" t="str">
        <f t="shared" si="17"/>
        <v>現在ディレクトリパス表示(実パス表示)</v>
      </c>
    </row>
    <row r="276" spans="1:7" ht="11.25" customHeight="1" outlineLevel="1">
      <c r="A276" s="15"/>
      <c r="B276" s="15" t="s">
        <v>1499</v>
      </c>
      <c r="C276" s="16" t="s">
        <v>122</v>
      </c>
      <c r="D276" s="17" t="s">
        <v>122</v>
      </c>
      <c r="F276">
        <f t="shared" ca="1" si="16"/>
        <v>179</v>
      </c>
      <c r="G276" t="str">
        <f t="shared" si="17"/>
        <v>現在ディレクトリパス表示(シンボリックリンクパス経由)(デフォルト)</v>
      </c>
    </row>
    <row r="277" spans="1:7" ht="11.25" customHeight="1" outlineLevel="1">
      <c r="A277" s="15"/>
      <c r="B277" s="15" t="s">
        <v>2363</v>
      </c>
      <c r="C277" s="16" t="s">
        <v>122</v>
      </c>
      <c r="D277" s="17" t="s">
        <v>122</v>
      </c>
      <c r="F277">
        <f t="shared" ca="1" si="16"/>
        <v>180</v>
      </c>
      <c r="G277" t="str">
        <f t="shared" si="17"/>
        <v>スクリプトファイル名取得</v>
      </c>
    </row>
    <row r="278" spans="1:7" ht="11.25" customHeight="1" outlineLevel="1">
      <c r="A278" s="15"/>
      <c r="B278" s="15" t="s">
        <v>2362</v>
      </c>
      <c r="C278" s="16" t="s">
        <v>122</v>
      </c>
      <c r="D278" s="17" t="s">
        <v>122</v>
      </c>
      <c r="F278">
        <f t="shared" ref="F278:F341" ca="1" si="18">IF(G278="",OFFSET(F278,-1,0),OFFSET(F278,-1,0)+1)</f>
        <v>181</v>
      </c>
      <c r="G278" t="str">
        <f t="shared" ref="G278:G341" si="19">IF(B278="","",B278)</f>
        <v>スクリプトファイルパス取得</v>
      </c>
    </row>
    <row r="279" spans="1:7" ht="11.25" customHeight="1" outlineLevel="1">
      <c r="A279" s="15"/>
      <c r="B279" s="15" t="s">
        <v>2372</v>
      </c>
      <c r="C279" s="16" t="s">
        <v>122</v>
      </c>
      <c r="D279" s="17" t="s">
        <v>122</v>
      </c>
      <c r="F279">
        <f t="shared" ca="1" si="18"/>
        <v>182</v>
      </c>
      <c r="G279" t="str">
        <f t="shared" si="19"/>
        <v>スクリプトファイル格納先パス取得</v>
      </c>
    </row>
    <row r="280" spans="1:7" ht="11.25" customHeight="1" outlineLevel="1">
      <c r="A280" s="15"/>
      <c r="B280" s="15" t="s">
        <v>2364</v>
      </c>
      <c r="C280" s="16" t="s">
        <v>122</v>
      </c>
      <c r="D280" s="17" t="s">
        <v>122</v>
      </c>
      <c r="F280">
        <f t="shared" ca="1" si="18"/>
        <v>183</v>
      </c>
      <c r="G280" t="str">
        <f t="shared" si="19"/>
        <v>スクリプトファイルベース名取得</v>
      </c>
    </row>
    <row r="281" spans="1:7" ht="11.25" customHeight="1" outlineLevel="1">
      <c r="A281" s="15"/>
      <c r="B281" s="15" t="s">
        <v>2365</v>
      </c>
      <c r="C281" s="16" t="s">
        <v>122</v>
      </c>
      <c r="D281" s="17" t="s">
        <v>122</v>
      </c>
      <c r="F281">
        <f t="shared" ca="1" si="18"/>
        <v>184</v>
      </c>
      <c r="G281" t="str">
        <f t="shared" si="19"/>
        <v>スクリプトファイル拡張子取得</v>
      </c>
    </row>
    <row r="282" spans="1:7" ht="11.25" customHeight="1" outlineLevel="1">
      <c r="A282" s="15"/>
      <c r="B282" s="15" t="s">
        <v>1501</v>
      </c>
      <c r="C282" s="16" t="s">
        <v>122</v>
      </c>
      <c r="D282" s="17" t="s">
        <v>122</v>
      </c>
      <c r="F282">
        <f t="shared" ca="1" si="18"/>
        <v>185</v>
      </c>
      <c r="G282" t="str">
        <f t="shared" si="19"/>
        <v>ファイル一覧出力</v>
      </c>
    </row>
    <row r="283" spans="1:7" ht="11.25" customHeight="1" outlineLevel="1">
      <c r="A283" s="15"/>
      <c r="B283" s="15" t="s">
        <v>1503</v>
      </c>
      <c r="C283" s="16" t="s">
        <v>122</v>
      </c>
      <c r="D283" s="54" t="s">
        <v>122</v>
      </c>
      <c r="F283">
        <f t="shared" ca="1" si="18"/>
        <v>186</v>
      </c>
      <c r="G283" t="str">
        <f t="shared" si="19"/>
        <v>ファイル/ディレクトリ一覧表示</v>
      </c>
    </row>
    <row r="284" spans="1:7" ht="11.25" customHeight="1" outlineLevel="1">
      <c r="A284" s="15"/>
      <c r="B284" s="15" t="s">
        <v>1505</v>
      </c>
      <c r="C284" s="16" t="s">
        <v>122</v>
      </c>
      <c r="D284" s="17" t="s">
        <v>122</v>
      </c>
      <c r="F284">
        <f t="shared" ca="1" si="18"/>
        <v>187</v>
      </c>
      <c r="G284" t="str">
        <f t="shared" si="19"/>
        <v>ファイル/ディレクトリ一覧表示(隠しファイル/詳細情報含む)</v>
      </c>
    </row>
    <row r="285" spans="1:7" ht="11.25" customHeight="1" outlineLevel="1">
      <c r="A285" s="15"/>
      <c r="B285" s="15" t="s">
        <v>1507</v>
      </c>
      <c r="C285" s="16" t="s">
        <v>122</v>
      </c>
      <c r="D285" s="17" t="s">
        <v>122</v>
      </c>
      <c r="F285">
        <f t="shared" ca="1" si="18"/>
        <v>188</v>
      </c>
      <c r="G285" t="str">
        <f t="shared" si="19"/>
        <v>ディレクトリ一覧出力1★</v>
      </c>
    </row>
    <row r="286" spans="1:7" ht="11.25" customHeight="1" outlineLevel="1">
      <c r="A286" s="15"/>
      <c r="B286" s="15" t="s">
        <v>1509</v>
      </c>
      <c r="C286" s="16" t="s">
        <v>122</v>
      </c>
      <c r="D286" s="17" t="s">
        <v>122</v>
      </c>
      <c r="F286">
        <f t="shared" ca="1" si="18"/>
        <v>189</v>
      </c>
      <c r="G286" t="str">
        <f t="shared" si="19"/>
        <v>ディレクトリ一覧出力2★</v>
      </c>
    </row>
    <row r="287" spans="1:7" ht="11.25" customHeight="1" outlineLevel="1">
      <c r="A287" s="15"/>
      <c r="B287" s="15" t="s">
        <v>1507</v>
      </c>
      <c r="C287" s="16" t="s">
        <v>122</v>
      </c>
      <c r="D287" s="17" t="s">
        <v>122</v>
      </c>
      <c r="F287">
        <f t="shared" ca="1" si="18"/>
        <v>190</v>
      </c>
      <c r="G287" t="str">
        <f t="shared" si="19"/>
        <v>ディレクトリ一覧出力1★</v>
      </c>
    </row>
    <row r="288" spans="1:7" ht="11.25" customHeight="1" outlineLevel="1">
      <c r="A288" s="15"/>
      <c r="B288" s="15" t="s">
        <v>1509</v>
      </c>
      <c r="C288" s="16" t="s">
        <v>122</v>
      </c>
      <c r="D288" s="17" t="s">
        <v>122</v>
      </c>
      <c r="F288">
        <f t="shared" ca="1" si="18"/>
        <v>191</v>
      </c>
      <c r="G288" t="str">
        <f t="shared" si="19"/>
        <v>ディレクトリ一覧出力2★</v>
      </c>
    </row>
    <row r="289" spans="1:7" ht="11.25" customHeight="1" outlineLevel="1">
      <c r="A289" s="15"/>
      <c r="B289" s="15" t="s">
        <v>1513</v>
      </c>
      <c r="C289" s="16" t="s">
        <v>122</v>
      </c>
      <c r="D289" s="17" t="s">
        <v>122</v>
      </c>
      <c r="F289">
        <f t="shared" ca="1" si="18"/>
        <v>192</v>
      </c>
      <c r="G289" t="str">
        <f t="shared" si="19"/>
        <v>ディレクトリ一覧出力4</v>
      </c>
    </row>
    <row r="290" spans="1:7" ht="11.25" customHeight="1" outlineLevel="1">
      <c r="A290" s="15"/>
      <c r="B290" s="15" t="s">
        <v>1514</v>
      </c>
      <c r="C290" s="16" t="s">
        <v>122</v>
      </c>
      <c r="D290" s="17" t="s">
        <v>122</v>
      </c>
      <c r="F290">
        <f t="shared" ca="1" si="18"/>
        <v>193</v>
      </c>
      <c r="G290" t="str">
        <f t="shared" si="19"/>
        <v>ファイル中身表示</v>
      </c>
    </row>
    <row r="291" spans="1:7" ht="11.25" customHeight="1" outlineLevel="1">
      <c r="A291" s="15"/>
      <c r="B291" s="15" t="s">
        <v>1515</v>
      </c>
      <c r="C291" s="16" t="s">
        <v>122</v>
      </c>
      <c r="D291" s="17" t="s">
        <v>122</v>
      </c>
      <c r="F291">
        <f t="shared" ca="1" si="18"/>
        <v>194</v>
      </c>
      <c r="G291" t="str">
        <f t="shared" si="19"/>
        <v>ファイル中身表示(反転)</v>
      </c>
    </row>
    <row r="292" spans="1:7" ht="11.25" customHeight="1" outlineLevel="1">
      <c r="A292" s="15"/>
      <c r="B292" s="15" t="s">
        <v>1516</v>
      </c>
      <c r="C292" s="16" t="s">
        <v>122</v>
      </c>
      <c r="D292" s="17" t="s">
        <v>122</v>
      </c>
      <c r="F292">
        <f t="shared" ca="1" si="18"/>
        <v>195</v>
      </c>
      <c r="G292" t="str">
        <f t="shared" si="19"/>
        <v>ファイル中身表示(行番号付)(number line)</v>
      </c>
    </row>
    <row r="293" spans="1:7" ht="11.25" customHeight="1" outlineLevel="1">
      <c r="A293" s="15"/>
      <c r="B293" s="15" t="s">
        <v>1517</v>
      </c>
      <c r="C293" s="16" t="s">
        <v>122</v>
      </c>
      <c r="D293" s="17" t="s">
        <v>122</v>
      </c>
      <c r="F293">
        <f t="shared" ca="1" si="18"/>
        <v>196</v>
      </c>
      <c r="G293" t="str">
        <f t="shared" si="19"/>
        <v>ファイル中身表示(バイナリ表示)</v>
      </c>
    </row>
    <row r="294" spans="1:7" ht="11.25" customHeight="1" outlineLevel="1">
      <c r="A294" s="15"/>
      <c r="B294" s="15" t="s">
        <v>1518</v>
      </c>
      <c r="C294" s="16" t="s">
        <v>122</v>
      </c>
      <c r="D294" s="17" t="s">
        <v>122</v>
      </c>
      <c r="F294">
        <f t="shared" ca="1" si="18"/>
        <v>197</v>
      </c>
      <c r="G294" t="str">
        <f t="shared" si="19"/>
        <v>ファイル中身表示(1画面ずつ)</v>
      </c>
    </row>
    <row r="295" spans="1:7" ht="11.25" customHeight="1" outlineLevel="1">
      <c r="A295" s="15"/>
      <c r="B295" s="15" t="s">
        <v>1518</v>
      </c>
      <c r="C295" s="16" t="s">
        <v>122</v>
      </c>
      <c r="D295" s="17" t="s">
        <v>122</v>
      </c>
      <c r="F295">
        <f t="shared" ca="1" si="18"/>
        <v>198</v>
      </c>
      <c r="G295" t="str">
        <f t="shared" si="19"/>
        <v>ファイル中身表示(1画面ずつ)</v>
      </c>
    </row>
    <row r="296" spans="1:7" ht="11.25" customHeight="1" outlineLevel="1">
      <c r="A296" s="15"/>
      <c r="B296" s="15" t="s">
        <v>1522</v>
      </c>
      <c r="C296" s="16" t="s">
        <v>122</v>
      </c>
      <c r="D296" s="17" t="s">
        <v>122</v>
      </c>
      <c r="F296">
        <f t="shared" ca="1" si="18"/>
        <v>199</v>
      </c>
      <c r="G296" t="str">
        <f t="shared" si="19"/>
        <v>ファイル中身表示(一部先頭)</v>
      </c>
    </row>
    <row r="297" spans="1:7" ht="11.25" customHeight="1" outlineLevel="1">
      <c r="A297" s="15"/>
      <c r="B297" s="15" t="s">
        <v>1523</v>
      </c>
      <c r="C297" s="16" t="s">
        <v>122</v>
      </c>
      <c r="D297" s="17" t="s">
        <v>122</v>
      </c>
      <c r="F297">
        <f t="shared" ca="1" si="18"/>
        <v>200</v>
      </c>
      <c r="G297" t="str">
        <f t="shared" si="19"/>
        <v>ファイル中身表示(一部末尾)</v>
      </c>
    </row>
    <row r="298" spans="1:7" ht="11.25" customHeight="1" outlineLevel="1">
      <c r="A298" s="15"/>
      <c r="B298" s="15" t="s">
        <v>1524</v>
      </c>
      <c r="C298" s="16" t="s">
        <v>122</v>
      </c>
      <c r="D298" s="17" t="s">
        <v>122</v>
      </c>
      <c r="F298">
        <f t="shared" ca="1" si="18"/>
        <v>201</v>
      </c>
      <c r="G298" t="str">
        <f t="shared" si="19"/>
        <v>ファイル中身表示(更新)</v>
      </c>
    </row>
    <row r="299" spans="1:7" ht="11.25" customHeight="1" outlineLevel="1">
      <c r="A299" s="15"/>
      <c r="B299" s="15" t="s">
        <v>1525</v>
      </c>
      <c r="C299" s="16" t="s">
        <v>122</v>
      </c>
      <c r="D299" s="17" t="s">
        <v>122</v>
      </c>
      <c r="F299">
        <f t="shared" ca="1" si="18"/>
        <v>202</v>
      </c>
      <c r="G299" t="str">
        <f t="shared" si="19"/>
        <v>ファイル中身表示(ソート)</v>
      </c>
    </row>
    <row r="300" spans="1:7" ht="11.25" customHeight="1" outlineLevel="1">
      <c r="A300" s="15"/>
      <c r="B300" s="15" t="s">
        <v>1527</v>
      </c>
      <c r="C300" s="16" t="s">
        <v>122</v>
      </c>
      <c r="D300" s="17" t="s">
        <v>122</v>
      </c>
      <c r="F300">
        <f t="shared" ca="1" si="18"/>
        <v>203</v>
      </c>
      <c r="G300" t="str">
        <f t="shared" si="19"/>
        <v>ファイル中身表示(ソート)例1</v>
      </c>
    </row>
    <row r="301" spans="1:7" ht="11.25" customHeight="1" outlineLevel="1">
      <c r="A301" s="15"/>
      <c r="B301" s="15" t="s">
        <v>1530</v>
      </c>
      <c r="C301" s="16" t="s">
        <v>122</v>
      </c>
      <c r="D301" s="17" t="s">
        <v>122</v>
      </c>
      <c r="F301">
        <f t="shared" ca="1" si="18"/>
        <v>204</v>
      </c>
      <c r="G301" t="str">
        <f t="shared" si="19"/>
        <v>ファイル中身表示(ソート)例2</v>
      </c>
    </row>
    <row r="302" spans="1:7" ht="11.25" customHeight="1" outlineLevel="1">
      <c r="A302" s="15"/>
      <c r="B302" s="15" t="s">
        <v>1533</v>
      </c>
      <c r="C302" s="16" t="s">
        <v>122</v>
      </c>
      <c r="D302" s="17" t="s">
        <v>122</v>
      </c>
      <c r="F302">
        <f t="shared" ca="1" si="18"/>
        <v>205</v>
      </c>
      <c r="G302" t="str">
        <f t="shared" si="19"/>
        <v>ファイル中身表示(ソート)例3</v>
      </c>
    </row>
    <row r="303" spans="1:7" ht="11.25" customHeight="1" outlineLevel="1">
      <c r="A303" s="15"/>
      <c r="B303" s="15" t="s">
        <v>1536</v>
      </c>
      <c r="C303" s="16" t="s">
        <v>122</v>
      </c>
      <c r="D303" s="17" t="s">
        <v>122</v>
      </c>
      <c r="F303">
        <f t="shared" ca="1" si="18"/>
        <v>206</v>
      </c>
      <c r="G303" t="str">
        <f t="shared" si="19"/>
        <v>ファイル中身表示(ソート)例4</v>
      </c>
    </row>
    <row r="304" spans="1:7" ht="11.25" customHeight="1" outlineLevel="1">
      <c r="A304" s="15"/>
      <c r="B304" s="15" t="s">
        <v>1539</v>
      </c>
      <c r="C304" s="16" t="s">
        <v>122</v>
      </c>
      <c r="D304" s="17" t="s">
        <v>122</v>
      </c>
      <c r="F304">
        <f t="shared" ca="1" si="18"/>
        <v>207</v>
      </c>
      <c r="G304" t="str">
        <f t="shared" si="19"/>
        <v>ファイル中身表示(ソート)例5</v>
      </c>
    </row>
    <row r="305" spans="1:7" ht="11.25" customHeight="1" outlineLevel="1">
      <c r="A305" s="15"/>
      <c r="B305" s="15" t="s">
        <v>1542</v>
      </c>
      <c r="C305" s="16" t="s">
        <v>122</v>
      </c>
      <c r="D305" s="17" t="s">
        <v>122</v>
      </c>
      <c r="F305">
        <f t="shared" ca="1" si="18"/>
        <v>208</v>
      </c>
      <c r="G305" t="str">
        <f t="shared" si="19"/>
        <v>ファイル中身表示(シャッフル)</v>
      </c>
    </row>
    <row r="306" spans="1:7" ht="11.25" customHeight="1" outlineLevel="1">
      <c r="A306" s="15"/>
      <c r="B306" s="15" t="s">
        <v>1544</v>
      </c>
      <c r="C306" s="16" t="s">
        <v>122</v>
      </c>
      <c r="D306" s="17" t="s">
        <v>122</v>
      </c>
      <c r="F306">
        <f t="shared" ca="1" si="18"/>
        <v>209</v>
      </c>
      <c r="G306" t="str">
        <f t="shared" si="19"/>
        <v>ファイル中身表示(重複削除)</v>
      </c>
    </row>
    <row r="307" spans="1:7" ht="11.25" customHeight="1" outlineLevel="1">
      <c r="A307" s="15"/>
      <c r="B307" s="15" t="s">
        <v>1546</v>
      </c>
      <c r="C307" s="16" t="s">
        <v>122</v>
      </c>
      <c r="D307" s="17" t="s">
        <v>122</v>
      </c>
      <c r="F307">
        <f t="shared" ca="1" si="18"/>
        <v>210</v>
      </c>
      <c r="G307" t="str">
        <f t="shared" si="19"/>
        <v>ファイル中身表示(前後関係指定ソート)</v>
      </c>
    </row>
    <row r="308" spans="1:7" ht="11.25" customHeight="1" outlineLevel="1">
      <c r="A308" s="15"/>
      <c r="B308" s="15" t="s">
        <v>1548</v>
      </c>
      <c r="C308" s="16" t="s">
        <v>122</v>
      </c>
      <c r="D308" s="17" t="s">
        <v>122</v>
      </c>
      <c r="F308">
        <f t="shared" ca="1" si="18"/>
        <v>211</v>
      </c>
      <c r="G308" t="str">
        <f t="shared" si="19"/>
        <v>ファイル中身表示(垂直抽出)</v>
      </c>
    </row>
    <row r="309" spans="1:7" ht="11.25" customHeight="1" outlineLevel="1">
      <c r="A309" s="15"/>
      <c r="B309" s="15" t="s">
        <v>1548</v>
      </c>
      <c r="C309" s="16" t="s">
        <v>122</v>
      </c>
      <c r="D309" s="17" t="s">
        <v>122</v>
      </c>
      <c r="F309">
        <f t="shared" ca="1" si="18"/>
        <v>212</v>
      </c>
      <c r="G309" t="str">
        <f t="shared" si="19"/>
        <v>ファイル中身表示(垂直抽出)</v>
      </c>
    </row>
    <row r="310" spans="1:7" ht="11.25" customHeight="1" outlineLevel="1">
      <c r="A310" s="15"/>
      <c r="B310" s="15" t="s">
        <v>1549</v>
      </c>
      <c r="C310" s="16" t="s">
        <v>122</v>
      </c>
      <c r="D310" s="17" t="s">
        <v>122</v>
      </c>
      <c r="F310">
        <f t="shared" ca="1" si="18"/>
        <v>213</v>
      </c>
      <c r="G310" t="str">
        <f t="shared" si="19"/>
        <v>ファイル中身表示(列結合)</v>
      </c>
    </row>
    <row r="311" spans="1:7" ht="11.25" customHeight="1" outlineLevel="1">
      <c r="A311" s="15"/>
      <c r="B311" s="15" t="s">
        <v>1550</v>
      </c>
      <c r="C311" s="16" t="s">
        <v>122</v>
      </c>
      <c r="D311" s="17" t="s">
        <v>122</v>
      </c>
      <c r="F311">
        <f t="shared" ca="1" si="18"/>
        <v>214</v>
      </c>
      <c r="G311" t="str">
        <f t="shared" si="19"/>
        <v>ファイル中身表示(差異比較列結合)</v>
      </c>
    </row>
    <row r="312" spans="1:7" ht="11.25" customHeight="1" outlineLevel="1">
      <c r="A312" s="15"/>
      <c r="B312" s="15" t="s">
        <v>1551</v>
      </c>
      <c r="C312" s="16" t="s">
        <v>122</v>
      </c>
      <c r="D312" s="17" t="s">
        <v>122</v>
      </c>
      <c r="F312">
        <f t="shared" ca="1" si="18"/>
        <v>215</v>
      </c>
      <c r="G312" t="str">
        <f t="shared" si="19"/>
        <v>テキストファイル 行数 表示(word count)</v>
      </c>
    </row>
    <row r="313" spans="1:7" ht="11.25" customHeight="1" outlineLevel="1">
      <c r="A313" s="15"/>
      <c r="B313" s="15" t="s">
        <v>1553</v>
      </c>
      <c r="C313" s="16" t="s">
        <v>122</v>
      </c>
      <c r="D313" s="17" t="s">
        <v>122</v>
      </c>
      <c r="F313">
        <f t="shared" ca="1" si="18"/>
        <v>216</v>
      </c>
      <c r="G313" t="str">
        <f t="shared" si="19"/>
        <v>テキストファイル 単語数 表示</v>
      </c>
    </row>
    <row r="314" spans="1:7" ht="11.25" customHeight="1" outlineLevel="1">
      <c r="A314" s="15"/>
      <c r="B314" s="15" t="s">
        <v>1555</v>
      </c>
      <c r="C314" s="16" t="s">
        <v>122</v>
      </c>
      <c r="D314" s="17" t="s">
        <v>122</v>
      </c>
      <c r="F314">
        <f t="shared" ca="1" si="18"/>
        <v>217</v>
      </c>
      <c r="G314" t="str">
        <f t="shared" si="19"/>
        <v>テキストファイル バイト数(文字数) 表示</v>
      </c>
    </row>
    <row r="315" spans="1:7" ht="11.25" customHeight="1" outlineLevel="1">
      <c r="A315" s="15"/>
      <c r="B315" s="18" t="s">
        <v>1631</v>
      </c>
      <c r="C315" s="16" t="s">
        <v>122</v>
      </c>
      <c r="D315" s="17" t="s">
        <v>122</v>
      </c>
      <c r="F315">
        <f t="shared" ca="1" si="18"/>
        <v>218</v>
      </c>
      <c r="G315" t="str">
        <f t="shared" si="19"/>
        <v>ファイル比較</v>
      </c>
    </row>
    <row r="316" spans="1:7" ht="11.25" customHeight="1" outlineLevel="1">
      <c r="A316" s="15"/>
      <c r="B316" s="15" t="s">
        <v>1558</v>
      </c>
      <c r="C316" s="16" t="s">
        <v>122</v>
      </c>
      <c r="D316" s="17" t="s">
        <v>122</v>
      </c>
      <c r="F316">
        <f t="shared" ca="1" si="18"/>
        <v>219</v>
      </c>
      <c r="G316" t="str">
        <f t="shared" si="19"/>
        <v>ファイル比較(バイナリ比較)</v>
      </c>
    </row>
    <row r="317" spans="1:7" ht="11.25" customHeight="1" outlineLevel="1">
      <c r="A317" s="15"/>
      <c r="B317" s="15" t="s">
        <v>1560</v>
      </c>
      <c r="C317" s="16" t="s">
        <v>122</v>
      </c>
      <c r="D317" s="17" t="s">
        <v>122</v>
      </c>
      <c r="F317">
        <f t="shared" ca="1" si="18"/>
        <v>220</v>
      </c>
      <c r="G317" t="str">
        <f t="shared" si="19"/>
        <v>ファイル比較(テキスト比較)</v>
      </c>
    </row>
    <row r="318" spans="1:7" ht="11.25" customHeight="1" outlineLevel="1">
      <c r="A318" s="15"/>
      <c r="B318" s="15" t="s">
        <v>1562</v>
      </c>
      <c r="C318" s="16" t="s">
        <v>122</v>
      </c>
      <c r="D318" s="17" t="s">
        <v>122</v>
      </c>
      <c r="F318">
        <f t="shared" ca="1" si="18"/>
        <v>221</v>
      </c>
      <c r="G318" t="str">
        <f t="shared" si="19"/>
        <v>ファイル比較(左右並列表示)</v>
      </c>
    </row>
    <row r="319" spans="1:7" ht="11.25" customHeight="1" outlineLevel="1">
      <c r="A319" s="15"/>
      <c r="B319" s="18" t="s">
        <v>1632</v>
      </c>
      <c r="C319" s="16" t="s">
        <v>122</v>
      </c>
      <c r="D319" s="17" t="s">
        <v>122</v>
      </c>
      <c r="F319">
        <f t="shared" ca="1" si="18"/>
        <v>222</v>
      </c>
      <c r="G319" t="str">
        <f t="shared" si="19"/>
        <v>ファイル比較(3ファイル)</v>
      </c>
    </row>
    <row r="320" spans="1:7" ht="11.25" customHeight="1" outlineLevel="1">
      <c r="A320" s="15"/>
      <c r="B320" s="15" t="s">
        <v>1565</v>
      </c>
      <c r="C320" s="16" t="s">
        <v>122</v>
      </c>
      <c r="D320" s="17" t="s">
        <v>122</v>
      </c>
      <c r="F320">
        <f t="shared" ca="1" si="18"/>
        <v>223</v>
      </c>
      <c r="G320" t="str">
        <f t="shared" si="19"/>
        <v>ディレクトリ比較(再帰的)</v>
      </c>
    </row>
    <row r="321" spans="1:7" ht="11.25" customHeight="1" outlineLevel="1">
      <c r="A321" s="15"/>
      <c r="B321" s="15" t="s">
        <v>1567</v>
      </c>
      <c r="C321" s="16" t="s">
        <v>122</v>
      </c>
      <c r="D321" s="17" t="s">
        <v>122</v>
      </c>
      <c r="F321">
        <f t="shared" ca="1" si="18"/>
        <v>224</v>
      </c>
      <c r="G321" t="str">
        <f t="shared" si="19"/>
        <v>ファイル一覧表示(再帰的)</v>
      </c>
    </row>
    <row r="322" spans="1:7" ht="11.25" customHeight="1" outlineLevel="1">
      <c r="A322" s="15"/>
      <c r="B322" s="15" t="s">
        <v>1569</v>
      </c>
      <c r="C322" s="16" t="s">
        <v>122</v>
      </c>
      <c r="D322" s="17" t="s">
        <v>122</v>
      </c>
      <c r="F322">
        <f t="shared" ca="1" si="18"/>
        <v>225</v>
      </c>
      <c r="G322" t="str">
        <f t="shared" si="19"/>
        <v>ファイル一覧表示(再帰的)(ファイル指定)</v>
      </c>
    </row>
    <row r="323" spans="1:7" ht="11.25" customHeight="1" outlineLevel="1">
      <c r="A323" s="15"/>
      <c r="B323" s="15" t="s">
        <v>1569</v>
      </c>
      <c r="C323" s="16" t="s">
        <v>122</v>
      </c>
      <c r="D323" s="17" t="s">
        <v>122</v>
      </c>
      <c r="F323">
        <f t="shared" ca="1" si="18"/>
        <v>226</v>
      </c>
      <c r="G323" t="str">
        <f t="shared" si="19"/>
        <v>ファイル一覧表示(再帰的)(ファイル指定)</v>
      </c>
    </row>
    <row r="324" spans="1:7" ht="11.25" customHeight="1" outlineLevel="1">
      <c r="A324" s="15"/>
      <c r="B324" s="15" t="s">
        <v>1570</v>
      </c>
      <c r="C324" s="16" t="s">
        <v>122</v>
      </c>
      <c r="D324" s="17" t="s">
        <v>122</v>
      </c>
      <c r="F324">
        <f t="shared" ca="1" si="18"/>
        <v>227</v>
      </c>
      <c r="G324" t="str">
        <f t="shared" si="19"/>
        <v>ファイル一覧表示(AND検索)</v>
      </c>
    </row>
    <row r="325" spans="1:7" ht="11.25" customHeight="1" outlineLevel="1">
      <c r="A325" s="15"/>
      <c r="B325" s="15" t="s">
        <v>1572</v>
      </c>
      <c r="C325" s="16" t="s">
        <v>122</v>
      </c>
      <c r="D325" s="17" t="s">
        <v>122</v>
      </c>
      <c r="F325">
        <f t="shared" ca="1" si="18"/>
        <v>228</v>
      </c>
      <c r="G325" t="str">
        <f t="shared" si="19"/>
        <v>ファイル一覧表示(OR検索)</v>
      </c>
    </row>
    <row r="326" spans="1:7" ht="11.25" customHeight="1" outlineLevel="1">
      <c r="A326" s="15"/>
      <c r="B326" s="15" t="s">
        <v>1574</v>
      </c>
      <c r="C326" s="16" t="s">
        <v>122</v>
      </c>
      <c r="D326" s="17" t="s">
        <v>122</v>
      </c>
      <c r="F326">
        <f t="shared" ca="1" si="18"/>
        <v>229</v>
      </c>
      <c r="G326" t="str">
        <f t="shared" si="19"/>
        <v>ディレクトリ一覧表示(直下)</v>
      </c>
    </row>
    <row r="327" spans="1:7" ht="11.25" customHeight="1" outlineLevel="1">
      <c r="A327" s="15"/>
      <c r="B327" s="15" t="s">
        <v>1576</v>
      </c>
      <c r="C327" s="16" t="s">
        <v>122</v>
      </c>
      <c r="D327" s="17" t="s">
        <v>122</v>
      </c>
      <c r="F327">
        <f t="shared" ca="1" si="18"/>
        <v>230</v>
      </c>
      <c r="G327" t="str">
        <f t="shared" si="19"/>
        <v>ディレクトリ一覧表示(再帰的)</v>
      </c>
    </row>
    <row r="328" spans="1:7" ht="11.25" customHeight="1" outlineLevel="1">
      <c r="A328" s="15"/>
      <c r="B328" s="15" t="s">
        <v>1578</v>
      </c>
      <c r="C328" s="16" t="s">
        <v>122</v>
      </c>
      <c r="D328" s="17" t="s">
        <v>122</v>
      </c>
      <c r="F328">
        <f t="shared" ca="1" si="18"/>
        <v>231</v>
      </c>
      <c r="G328" t="str">
        <f t="shared" si="19"/>
        <v>ファイル/ディレクトリ一覧表示(再帰的)</v>
      </c>
    </row>
    <row r="329" spans="1:7" ht="11.25" customHeight="1" outlineLevel="1">
      <c r="A329" s="15"/>
      <c r="B329" s="15" t="s">
        <v>1580</v>
      </c>
      <c r="C329" s="16" t="s">
        <v>122</v>
      </c>
      <c r="D329" s="17" t="s">
        <v>122</v>
      </c>
      <c r="F329">
        <f t="shared" ca="1" si="18"/>
        <v>232</v>
      </c>
      <c r="G329" t="str">
        <f t="shared" si="19"/>
        <v>ファイル/ディレクトリ検索</v>
      </c>
    </row>
    <row r="330" spans="1:7" ht="11.25" customHeight="1" outlineLevel="1">
      <c r="A330" s="15"/>
      <c r="B330" s="15" t="s">
        <v>1582</v>
      </c>
      <c r="C330" s="16" t="s">
        <v>122</v>
      </c>
      <c r="D330" s="17" t="s">
        <v>122</v>
      </c>
      <c r="F330">
        <f t="shared" ca="1" si="18"/>
        <v>233</v>
      </c>
      <c r="G330" t="str">
        <f t="shared" si="19"/>
        <v>ファイルツリー出力</v>
      </c>
    </row>
    <row r="331" spans="1:7" ht="11.25" customHeight="1" outlineLevel="1">
      <c r="A331" s="15"/>
      <c r="B331" s="15" t="s">
        <v>1585</v>
      </c>
      <c r="C331" s="16" t="s">
        <v>122</v>
      </c>
      <c r="D331" s="17" t="s">
        <v>122</v>
      </c>
      <c r="F331">
        <f t="shared" ca="1" si="18"/>
        <v>234</v>
      </c>
      <c r="G331" t="str">
        <f t="shared" si="19"/>
        <v>ファイル種別表示</v>
      </c>
    </row>
    <row r="332" spans="1:7" ht="11.25" customHeight="1" outlineLevel="1">
      <c r="A332" s="15"/>
      <c r="B332" s="15" t="s">
        <v>1587</v>
      </c>
      <c r="C332" s="16" t="s">
        <v>122</v>
      </c>
      <c r="D332" s="17" t="s">
        <v>122</v>
      </c>
      <c r="F332">
        <f t="shared" ca="1" si="18"/>
        <v>235</v>
      </c>
      <c r="G332" t="str">
        <f t="shared" si="19"/>
        <v>リンク切れシンボリックリンク一覧表示(再帰的)</v>
      </c>
    </row>
    <row r="333" spans="1:7" ht="11.25" customHeight="1" outlineLevel="1">
      <c r="A333" s="15"/>
      <c r="B333" s="15" t="s">
        <v>1589</v>
      </c>
      <c r="C333" s="16" t="s">
        <v>122</v>
      </c>
      <c r="D333" s="17" t="s">
        <v>122</v>
      </c>
      <c r="F333">
        <f t="shared" ca="1" si="18"/>
        <v>236</v>
      </c>
      <c r="G333" t="str">
        <f t="shared" si="19"/>
        <v>ファイル数出力(フォルダ配下すべて)</v>
      </c>
    </row>
    <row r="334" spans="1:7" ht="11.25" customHeight="1" outlineLevel="1">
      <c r="A334" s="15"/>
      <c r="B334" s="15" t="s">
        <v>1591</v>
      </c>
      <c r="C334" s="16" t="s">
        <v>122</v>
      </c>
      <c r="D334" s="17" t="s">
        <v>122</v>
      </c>
      <c r="F334">
        <f t="shared" ca="1" si="18"/>
        <v>237</v>
      </c>
      <c r="G334" t="str">
        <f t="shared" si="19"/>
        <v>ファイル数出力(フォルダ内のみ)</v>
      </c>
    </row>
    <row r="335" spans="1:7" ht="11.25" customHeight="1" outlineLevel="1">
      <c r="A335" s="15"/>
      <c r="B335" s="15" t="s">
        <v>1593</v>
      </c>
      <c r="C335" s="16" t="s">
        <v>122</v>
      </c>
      <c r="D335" s="17" t="s">
        <v>122</v>
      </c>
      <c r="F335">
        <f t="shared" ca="1" si="18"/>
        <v>238</v>
      </c>
      <c r="G335" t="str">
        <f t="shared" si="19"/>
        <v>ファイル名抽出(拡張子含む)</v>
      </c>
    </row>
    <row r="336" spans="1:7" ht="11.25" customHeight="1" outlineLevel="1">
      <c r="A336" s="15"/>
      <c r="B336" s="15" t="s">
        <v>1594</v>
      </c>
      <c r="C336" s="16" t="s">
        <v>122</v>
      </c>
      <c r="D336" s="17" t="s">
        <v>122</v>
      </c>
      <c r="F336">
        <f t="shared" ca="1" si="18"/>
        <v>239</v>
      </c>
      <c r="G336" t="str">
        <f t="shared" si="19"/>
        <v>ディレクトリパス抽出</v>
      </c>
    </row>
    <row r="337" spans="1:7" ht="11.25" customHeight="1" outlineLevel="1">
      <c r="A337" s="15"/>
      <c r="B337" s="15" t="s">
        <v>1595</v>
      </c>
      <c r="C337" s="16" t="s">
        <v>122</v>
      </c>
      <c r="D337" s="17" t="s">
        <v>122</v>
      </c>
      <c r="F337">
        <f t="shared" ca="1" si="18"/>
        <v>240</v>
      </c>
      <c r="G337" t="str">
        <f t="shared" si="19"/>
        <v>ファイルパス移植性確認</v>
      </c>
    </row>
    <row r="338" spans="1:7" ht="11.25" customHeight="1" outlineLevel="1">
      <c r="A338" s="15"/>
      <c r="B338" s="15" t="s">
        <v>1598</v>
      </c>
      <c r="C338" s="16" t="s">
        <v>122</v>
      </c>
      <c r="D338" s="17" t="s">
        <v>122</v>
      </c>
      <c r="F338">
        <f t="shared" ca="1" si="18"/>
        <v>241</v>
      </c>
      <c r="G338" t="str">
        <f t="shared" si="19"/>
        <v>相対パス→絶対パス変換</v>
      </c>
    </row>
    <row r="339" spans="1:7" ht="11.25" customHeight="1" outlineLevel="1">
      <c r="A339" s="15"/>
      <c r="B339" s="15" t="s">
        <v>1600</v>
      </c>
      <c r="C339" s="16" t="s">
        <v>122</v>
      </c>
      <c r="D339" s="17" t="s">
        <v>122</v>
      </c>
      <c r="F339">
        <f t="shared" ca="1" si="18"/>
        <v>242</v>
      </c>
      <c r="G339" t="str">
        <f t="shared" si="19"/>
        <v>高速ファイル/ディレクトリ検索</v>
      </c>
    </row>
    <row r="340" spans="1:7" ht="11.25" customHeight="1" outlineLevel="1">
      <c r="A340" s="15"/>
      <c r="B340" s="15" t="s">
        <v>1602</v>
      </c>
      <c r="C340" s="16" t="s">
        <v>122</v>
      </c>
      <c r="D340" s="17" t="s">
        <v>122</v>
      </c>
      <c r="F340">
        <f t="shared" ca="1" si="18"/>
        <v>243</v>
      </c>
      <c r="G340" t="str">
        <f t="shared" si="19"/>
        <v>文章から索引作成</v>
      </c>
    </row>
    <row r="341" spans="1:7" ht="11.25" customHeight="1" outlineLevel="1">
      <c r="A341" s="15"/>
      <c r="B341" s="15" t="s">
        <v>1604</v>
      </c>
      <c r="C341" s="16" t="s">
        <v>122</v>
      </c>
      <c r="D341" s="17" t="s">
        <v>122</v>
      </c>
      <c r="F341">
        <f t="shared" ca="1" si="18"/>
        <v>244</v>
      </c>
      <c r="G341" t="str">
        <f t="shared" si="19"/>
        <v>ls用色設定コマンド出力</v>
      </c>
    </row>
    <row r="342" spans="1:7" ht="11.25" customHeight="1" outlineLevel="1">
      <c r="A342" s="15"/>
      <c r="B342" s="15" t="s">
        <v>1606</v>
      </c>
      <c r="C342" s="16" t="s">
        <v>122</v>
      </c>
      <c r="D342" s="17" t="s">
        <v>122</v>
      </c>
      <c r="F342">
        <f t="shared" ref="F342:F438" ca="1" si="20">IF(G342="",OFFSET(F342,-1,0),OFFSET(F342,-1,0)+1)</f>
        <v>245</v>
      </c>
      <c r="G342" t="str">
        <f t="shared" ref="G342:G438" si="21">IF(B342="","",B342)</f>
        <v>16bitチェックサム＆ブロック数(1024Byte単位) 表示</v>
      </c>
    </row>
    <row r="343" spans="1:7" ht="11.25" customHeight="1" outlineLevel="1">
      <c r="A343" s="15"/>
      <c r="B343" s="15" t="s">
        <v>1608</v>
      </c>
      <c r="C343" s="16" t="s">
        <v>122</v>
      </c>
      <c r="D343" s="17" t="s">
        <v>122</v>
      </c>
      <c r="F343">
        <f t="shared" ca="1" si="20"/>
        <v>246</v>
      </c>
      <c r="G343" t="str">
        <f t="shared" si="21"/>
        <v>CRCチェックサム 表示</v>
      </c>
    </row>
    <row r="344" spans="1:7" ht="11.25" customHeight="1" outlineLevel="1">
      <c r="A344" s="15"/>
      <c r="B344" s="15" t="s">
        <v>1610</v>
      </c>
      <c r="C344" s="16" t="s">
        <v>122</v>
      </c>
      <c r="D344" s="17" t="s">
        <v>122</v>
      </c>
      <c r="F344">
        <f t="shared" ca="1" si="20"/>
        <v>247</v>
      </c>
      <c r="G344" t="str">
        <f t="shared" si="21"/>
        <v>BLAKE22ハッシュ値 表示</v>
      </c>
    </row>
    <row r="345" spans="1:7" ht="11.25" customHeight="1" outlineLevel="1">
      <c r="A345" s="15"/>
      <c r="B345" s="15" t="s">
        <v>1612</v>
      </c>
      <c r="C345" s="16" t="s">
        <v>122</v>
      </c>
      <c r="D345" s="17" t="s">
        <v>122</v>
      </c>
      <c r="F345">
        <f t="shared" ca="1" si="20"/>
        <v>248</v>
      </c>
      <c r="G345" t="str">
        <f t="shared" si="21"/>
        <v>128bitチェックサム表示</v>
      </c>
    </row>
    <row r="346" spans="1:7" ht="11.25" customHeight="1" outlineLevel="1">
      <c r="A346" s="15"/>
      <c r="B346" s="18" t="s">
        <v>1633</v>
      </c>
      <c r="C346" s="16" t="s">
        <v>122</v>
      </c>
      <c r="D346" s="17" t="s">
        <v>122</v>
      </c>
      <c r="F346">
        <f t="shared" ca="1" si="20"/>
        <v>249</v>
      </c>
      <c r="G346" t="str">
        <f t="shared" si="21"/>
        <v>SHA-1ダイジェスト計算</v>
      </c>
    </row>
    <row r="347" spans="1:7" ht="11.25" customHeight="1" outlineLevel="1">
      <c r="A347" s="15"/>
      <c r="B347" s="15" t="s">
        <v>1615</v>
      </c>
      <c r="C347" s="16" t="s">
        <v>122</v>
      </c>
      <c r="D347" s="17" t="s">
        <v>122</v>
      </c>
      <c r="F347">
        <f t="shared" ca="1" si="20"/>
        <v>250</v>
      </c>
      <c r="G347" t="str">
        <f t="shared" si="21"/>
        <v>SHAダイジェスト計算(xxxビット長)</v>
      </c>
    </row>
    <row r="348" spans="1:7" ht="11.25" customHeight="1" outlineLevel="1">
      <c r="A348" s="15"/>
      <c r="B348" s="18" t="s">
        <v>1617</v>
      </c>
      <c r="C348" s="16" t="s">
        <v>122</v>
      </c>
      <c r="D348" s="17" t="s">
        <v>122</v>
      </c>
      <c r="F348">
        <f t="shared" ca="1" si="20"/>
        <v>251</v>
      </c>
      <c r="G348" t="str">
        <f t="shared" si="21"/>
        <v>Grep</v>
      </c>
    </row>
    <row r="349" spans="1:7" ht="11.25" customHeight="1" outlineLevel="1">
      <c r="A349" s="15"/>
      <c r="B349" s="15" t="s">
        <v>1634</v>
      </c>
      <c r="C349" s="16" t="s">
        <v>122</v>
      </c>
      <c r="D349" s="17" t="s">
        <v>122</v>
      </c>
      <c r="F349">
        <f t="shared" ca="1" si="20"/>
        <v>252</v>
      </c>
      <c r="G349" t="str">
        <f t="shared" si="21"/>
        <v>Grep(複数行マッチ)</v>
      </c>
    </row>
    <row r="350" spans="1:7" ht="11.25" customHeight="1" outlineLevel="1">
      <c r="A350" s="15"/>
      <c r="B350" s="15" t="s">
        <v>1619</v>
      </c>
      <c r="C350" s="16" t="s">
        <v>122</v>
      </c>
      <c r="D350" s="17" t="s">
        <v>122</v>
      </c>
      <c r="F350">
        <f t="shared" ca="1" si="20"/>
        <v>253</v>
      </c>
      <c r="G350" t="str">
        <f t="shared" si="21"/>
        <v>Grep置換</v>
      </c>
    </row>
    <row r="351" spans="1:7" ht="11.25" customHeight="1" outlineLevel="1">
      <c r="A351" s="15"/>
      <c r="B351" s="15" t="s">
        <v>1619</v>
      </c>
      <c r="C351" s="16" t="s">
        <v>122</v>
      </c>
      <c r="D351" s="17" t="s">
        <v>122</v>
      </c>
      <c r="F351">
        <f t="shared" ca="1" si="20"/>
        <v>254</v>
      </c>
      <c r="G351" t="str">
        <f t="shared" si="21"/>
        <v>Grep置換</v>
      </c>
    </row>
    <row r="352" spans="1:7" ht="11.25" customHeight="1" outlineLevel="1">
      <c r="A352" s="15"/>
      <c r="B352" s="15" t="s">
        <v>1621</v>
      </c>
      <c r="C352" s="16" t="s">
        <v>122</v>
      </c>
      <c r="D352" s="17" t="s">
        <v>122</v>
      </c>
      <c r="F352">
        <f t="shared" ca="1" si="20"/>
        <v>255</v>
      </c>
      <c r="G352" t="str">
        <f t="shared" si="21"/>
        <v>数値単位変換1</v>
      </c>
    </row>
    <row r="353" spans="1:7" ht="11.25" customHeight="1" outlineLevel="1">
      <c r="A353" s="15"/>
      <c r="B353" s="15" t="s">
        <v>1622</v>
      </c>
      <c r="C353" s="16" t="s">
        <v>122</v>
      </c>
      <c r="D353" s="17" t="s">
        <v>122</v>
      </c>
      <c r="F353">
        <f t="shared" ca="1" si="20"/>
        <v>256</v>
      </c>
      <c r="G353" t="str">
        <f t="shared" si="21"/>
        <v>数値単位変換2</v>
      </c>
    </row>
    <row r="354" spans="1:7" ht="11.25" customHeight="1" outlineLevel="1">
      <c r="A354" s="15"/>
      <c r="B354" s="18" t="s">
        <v>1853</v>
      </c>
      <c r="C354" s="16" t="s">
        <v>122</v>
      </c>
      <c r="D354" s="17" t="s">
        <v>122</v>
      </c>
      <c r="F354">
        <f t="shared" ca="1" si="20"/>
        <v>257</v>
      </c>
      <c r="G354" t="str">
        <f t="shared" si="21"/>
        <v>awk</v>
      </c>
    </row>
    <row r="355" spans="1:7" ht="11.25" customHeight="1" outlineLevel="1">
      <c r="A355" s="15"/>
      <c r="B355" s="15" t="s">
        <v>1854</v>
      </c>
      <c r="C355" s="16" t="s">
        <v>122</v>
      </c>
      <c r="D355" s="17" t="s">
        <v>122</v>
      </c>
      <c r="F355">
        <f t="shared" ca="1" si="20"/>
        <v>258</v>
      </c>
      <c r="G355" t="str">
        <f t="shared" si="21"/>
        <v>awk(出力)</v>
      </c>
    </row>
    <row r="356" spans="1:7" ht="11.25" customHeight="1" outlineLevel="1">
      <c r="A356" s="15"/>
      <c r="B356" s="15" t="s">
        <v>1855</v>
      </c>
      <c r="C356" s="16" t="s">
        <v>122</v>
      </c>
      <c r="D356" s="17" t="s">
        <v>122</v>
      </c>
      <c r="F356">
        <f t="shared" ca="1" si="20"/>
        <v>259</v>
      </c>
      <c r="G356" t="str">
        <f t="shared" si="21"/>
        <v>awk(数値判定)</v>
      </c>
    </row>
    <row r="357" spans="1:7" ht="11.25" customHeight="1" outlineLevel="1">
      <c r="A357" s="15"/>
      <c r="B357" s="15" t="s">
        <v>1856</v>
      </c>
      <c r="C357" s="16" t="s">
        <v>122</v>
      </c>
      <c r="D357" s="17" t="s">
        <v>122</v>
      </c>
      <c r="F357">
        <f t="shared" ca="1" si="20"/>
        <v>260</v>
      </c>
      <c r="G357" t="str">
        <f t="shared" si="21"/>
        <v>awk(文字列判定)</v>
      </c>
    </row>
    <row r="358" spans="1:7" ht="11.25" customHeight="1" outlineLevel="1">
      <c r="A358" s="15"/>
      <c r="B358" s="15" t="s">
        <v>1857</v>
      </c>
      <c r="C358" s="16" t="s">
        <v>122</v>
      </c>
      <c r="D358" s="17" t="s">
        <v>122</v>
      </c>
      <c r="F358">
        <f t="shared" ca="1" si="20"/>
        <v>261</v>
      </c>
      <c r="G358" t="str">
        <f t="shared" si="21"/>
        <v>awk(区切り文字指定)</v>
      </c>
    </row>
    <row r="359" spans="1:7" ht="11.25" customHeight="1" outlineLevel="1">
      <c r="A359" s="15"/>
      <c r="B359" s="18" t="s">
        <v>1858</v>
      </c>
      <c r="C359" s="16" t="s">
        <v>122</v>
      </c>
      <c r="D359" s="17" t="s">
        <v>122</v>
      </c>
      <c r="F359">
        <f t="shared" ca="1" si="20"/>
        <v>262</v>
      </c>
      <c r="G359" t="str">
        <f t="shared" si="21"/>
        <v>awk(スクリプト実行)</v>
      </c>
    </row>
    <row r="360" spans="1:7" ht="11.25" customHeight="1" outlineLevel="1">
      <c r="A360" s="15"/>
      <c r="B360" s="15" t="s">
        <v>1859</v>
      </c>
      <c r="C360" s="16" t="s">
        <v>122</v>
      </c>
      <c r="D360" s="17" t="s">
        <v>122</v>
      </c>
      <c r="F360">
        <f t="shared" ca="1" si="20"/>
        <v>263</v>
      </c>
      <c r="G360" t="str">
        <f t="shared" si="21"/>
        <v>awk(パターンマッチ)</v>
      </c>
    </row>
    <row r="361" spans="1:7" ht="11.25" customHeight="1" outlineLevel="1">
      <c r="A361" s="15"/>
      <c r="B361" s="15" t="s">
        <v>1859</v>
      </c>
      <c r="C361" s="16" t="s">
        <v>122</v>
      </c>
      <c r="D361" s="17" t="s">
        <v>122</v>
      </c>
      <c r="F361">
        <f t="shared" ca="1" si="20"/>
        <v>264</v>
      </c>
      <c r="G361" t="str">
        <f t="shared" si="21"/>
        <v>awk(パターンマッチ)</v>
      </c>
    </row>
    <row r="362" spans="1:7" ht="11.25" customHeight="1" outlineLevel="1">
      <c r="A362" s="15"/>
      <c r="B362" s="15" t="s">
        <v>2356</v>
      </c>
      <c r="C362" s="16" t="s">
        <v>122</v>
      </c>
      <c r="D362" s="17" t="s">
        <v>122</v>
      </c>
      <c r="F362">
        <f t="shared" ca="1" si="20"/>
        <v>265</v>
      </c>
      <c r="G362" t="str">
        <f t="shared" si="21"/>
        <v>画像拡大縮小（解像度指定）</v>
      </c>
    </row>
    <row r="363" spans="1:7" ht="11.25" customHeight="1" outlineLevel="1">
      <c r="A363" s="15"/>
      <c r="B363" s="15" t="s">
        <v>2357</v>
      </c>
      <c r="C363" s="16" t="s">
        <v>122</v>
      </c>
      <c r="D363" s="17" t="s">
        <v>122</v>
      </c>
      <c r="F363">
        <f t="shared" ca="1" si="20"/>
        <v>266</v>
      </c>
      <c r="G363" t="str">
        <f t="shared" si="21"/>
        <v>画像拡大縮小（割合指定）</v>
      </c>
    </row>
    <row r="364" spans="1:7" ht="11.25" customHeight="1">
      <c r="A364" s="12" t="s">
        <v>1637</v>
      </c>
      <c r="B364" s="13"/>
      <c r="C364" s="13" t="s">
        <v>122</v>
      </c>
      <c r="D364" s="14" t="s">
        <v>122</v>
      </c>
      <c r="E364" t="s">
        <v>122</v>
      </c>
      <c r="F364">
        <f t="shared" ca="1" si="20"/>
        <v>266</v>
      </c>
      <c r="G364" t="str">
        <f t="shared" si="21"/>
        <v/>
      </c>
    </row>
    <row r="365" spans="1:7" ht="11.25" customHeight="1" outlineLevel="1">
      <c r="A365" s="15"/>
      <c r="B365" s="15" t="s">
        <v>1638</v>
      </c>
      <c r="C365" s="16" t="s">
        <v>122</v>
      </c>
      <c r="D365" s="17" t="s">
        <v>122</v>
      </c>
      <c r="F365">
        <f t="shared" ca="1" si="20"/>
        <v>267</v>
      </c>
      <c r="G365" t="str">
        <f t="shared" si="21"/>
        <v>文字列置換(文字単位)(translate)</v>
      </c>
    </row>
    <row r="366" spans="1:7" ht="11.25" customHeight="1" outlineLevel="1">
      <c r="A366" s="15"/>
      <c r="B366" s="15" t="s">
        <v>1638</v>
      </c>
      <c r="C366" s="16" t="s">
        <v>122</v>
      </c>
      <c r="D366" s="17" t="s">
        <v>122</v>
      </c>
      <c r="F366">
        <f t="shared" ca="1" si="20"/>
        <v>268</v>
      </c>
      <c r="G366" t="str">
        <f t="shared" si="21"/>
        <v>文字列置換(文字単位)(translate)</v>
      </c>
    </row>
    <row r="367" spans="1:7" ht="11.25" customHeight="1" outlineLevel="1">
      <c r="A367" s="15"/>
      <c r="B367" s="15" t="s">
        <v>1638</v>
      </c>
      <c r="C367" s="16" t="s">
        <v>122</v>
      </c>
      <c r="D367" s="17" t="s">
        <v>122</v>
      </c>
      <c r="F367">
        <f t="shared" ca="1" si="20"/>
        <v>269</v>
      </c>
      <c r="G367" t="str">
        <f t="shared" si="21"/>
        <v>文字列置換(文字単位)(translate)</v>
      </c>
    </row>
    <row r="368" spans="1:7" ht="11.25" customHeight="1" outlineLevel="1">
      <c r="A368" s="15"/>
      <c r="B368" s="15" t="s">
        <v>2353</v>
      </c>
      <c r="C368" s="16" t="s">
        <v>122</v>
      </c>
      <c r="D368" s="17" t="s">
        <v>122</v>
      </c>
      <c r="F368">
        <f t="shared" ca="1" si="20"/>
        <v>270</v>
      </c>
      <c r="G368" t="str">
        <f t="shared" si="21"/>
        <v>空行削除</v>
      </c>
    </row>
    <row r="369" spans="1:7" ht="11.25" customHeight="1" outlineLevel="1">
      <c r="A369" s="15"/>
      <c r="B369" s="15" t="s">
        <v>1639</v>
      </c>
      <c r="C369" s="16" t="s">
        <v>122</v>
      </c>
      <c r="D369" s="17" t="s">
        <v>122</v>
      </c>
      <c r="F369">
        <f t="shared" ca="1" si="20"/>
        <v>271</v>
      </c>
      <c r="G369" t="str">
        <f t="shared" si="21"/>
        <v>テキスト置換</v>
      </c>
    </row>
    <row r="370" spans="1:7" ht="11.25" customHeight="1" outlineLevel="1">
      <c r="A370" s="15"/>
      <c r="B370" s="15" t="s">
        <v>1641</v>
      </c>
      <c r="C370" s="16" t="s">
        <v>122</v>
      </c>
      <c r="D370" s="17" t="s">
        <v>122</v>
      </c>
      <c r="F370">
        <f t="shared" ca="1" si="20"/>
        <v>272</v>
      </c>
      <c r="G370" t="str">
        <f t="shared" si="21"/>
        <v>テキスト置換(ファイル直接編集)</v>
      </c>
    </row>
    <row r="371" spans="1:7" ht="11.25" customHeight="1" outlineLevel="1">
      <c r="A371" s="15"/>
      <c r="B371" s="15" t="s">
        <v>1642</v>
      </c>
      <c r="C371" s="16" t="s">
        <v>122</v>
      </c>
      <c r="D371" s="17" t="s">
        <v>122</v>
      </c>
      <c r="F371">
        <f t="shared" ca="1" si="20"/>
        <v>273</v>
      </c>
      <c r="G371" t="str">
        <f t="shared" si="21"/>
        <v>テキスト置換(ファイル直接編集＆バックアップ)</v>
      </c>
    </row>
    <row r="372" spans="1:7" ht="11.25" customHeight="1" outlineLevel="1">
      <c r="A372" s="15"/>
      <c r="B372" s="15" t="s">
        <v>1644</v>
      </c>
      <c r="C372" s="16" t="s">
        <v>122</v>
      </c>
      <c r="D372" s="17" t="s">
        <v>122</v>
      </c>
      <c r="F372">
        <f t="shared" ca="1" si="20"/>
        <v>274</v>
      </c>
      <c r="G372" t="str">
        <f t="shared" si="21"/>
        <v>テキスト挿入1(5行目の前)</v>
      </c>
    </row>
    <row r="373" spans="1:7" ht="11.25" customHeight="1" outlineLevel="1">
      <c r="A373" s="15"/>
      <c r="B373" s="15" t="s">
        <v>1646</v>
      </c>
      <c r="C373" s="16" t="s">
        <v>122</v>
      </c>
      <c r="D373" s="17" t="s">
        <v>122</v>
      </c>
      <c r="F373">
        <f t="shared" ca="1" si="20"/>
        <v>275</v>
      </c>
      <c r="G373" t="str">
        <f t="shared" si="21"/>
        <v>テキスト挿入1(5行目の後)</v>
      </c>
    </row>
    <row r="374" spans="1:7" ht="11.25" customHeight="1" outlineLevel="1">
      <c r="A374" s="15"/>
      <c r="B374" s="15" t="s">
        <v>1648</v>
      </c>
      <c r="C374" s="16" t="s">
        <v>122</v>
      </c>
      <c r="D374" s="17" t="s">
        <v>122</v>
      </c>
      <c r="F374">
        <f t="shared" ca="1" si="20"/>
        <v>276</v>
      </c>
      <c r="G374" t="str">
        <f t="shared" si="21"/>
        <v>テキスト挿入2(5行目の前)</v>
      </c>
    </row>
    <row r="375" spans="1:7" ht="11.25" customHeight="1" outlineLevel="1">
      <c r="A375" s="15"/>
      <c r="B375" s="15" t="s">
        <v>1650</v>
      </c>
      <c r="C375" s="16" t="s">
        <v>122</v>
      </c>
      <c r="D375" s="17" t="s">
        <v>122</v>
      </c>
      <c r="F375">
        <f t="shared" ca="1" si="20"/>
        <v>277</v>
      </c>
      <c r="G375" t="str">
        <f t="shared" si="21"/>
        <v>テキスト挿入2(5行目の後)</v>
      </c>
    </row>
    <row r="376" spans="1:7" ht="11.25" customHeight="1" outlineLevel="1">
      <c r="A376" s="15"/>
      <c r="B376" s="15" t="s">
        <v>1652</v>
      </c>
      <c r="C376" s="16" t="s">
        <v>122</v>
      </c>
      <c r="D376" s="17" t="s">
        <v>122</v>
      </c>
      <c r="F376">
        <f t="shared" ca="1" si="20"/>
        <v>278</v>
      </c>
      <c r="G376" t="str">
        <f t="shared" si="21"/>
        <v>テキスト削除(10行目)</v>
      </c>
    </row>
    <row r="377" spans="1:7" ht="11.25" customHeight="1" outlineLevel="1">
      <c r="A377" s="15"/>
      <c r="B377" s="15" t="s">
        <v>1654</v>
      </c>
      <c r="C377" s="16" t="s">
        <v>122</v>
      </c>
      <c r="D377" s="17" t="s">
        <v>122</v>
      </c>
      <c r="F377">
        <f t="shared" ca="1" si="20"/>
        <v>279</v>
      </c>
      <c r="G377" t="str">
        <f t="shared" si="21"/>
        <v>テキスト出力(5行目)</v>
      </c>
    </row>
    <row r="378" spans="1:7" ht="11.25" customHeight="1" outlineLevel="1">
      <c r="A378" s="15"/>
      <c r="B378" s="15" t="s">
        <v>1656</v>
      </c>
      <c r="C378" s="16" t="s">
        <v>122</v>
      </c>
      <c r="D378" s="17" t="s">
        <v>122</v>
      </c>
      <c r="F378">
        <f t="shared" ca="1" si="20"/>
        <v>280</v>
      </c>
      <c r="G378" t="str">
        <f t="shared" si="21"/>
        <v>数字列出力</v>
      </c>
    </row>
    <row r="379" spans="1:7" ht="11.25" customHeight="1">
      <c r="A379" s="12" t="s">
        <v>1672</v>
      </c>
      <c r="B379" s="13"/>
      <c r="C379" s="13" t="s">
        <v>122</v>
      </c>
      <c r="D379" s="14" t="s">
        <v>122</v>
      </c>
      <c r="E379" t="s">
        <v>122</v>
      </c>
      <c r="F379">
        <f t="shared" ca="1" si="20"/>
        <v>280</v>
      </c>
      <c r="G379" t="str">
        <f t="shared" si="21"/>
        <v/>
      </c>
    </row>
    <row r="380" spans="1:7" ht="11.25" customHeight="1" outlineLevel="1">
      <c r="A380" s="15"/>
      <c r="B380" s="15" t="s">
        <v>2055</v>
      </c>
      <c r="C380" s="16" t="s">
        <v>122</v>
      </c>
      <c r="D380" s="54" t="s">
        <v>122</v>
      </c>
      <c r="F380">
        <f t="shared" ca="1" si="20"/>
        <v>281</v>
      </c>
      <c r="G380" t="str">
        <f t="shared" si="21"/>
        <v>パッケージインストール</v>
      </c>
    </row>
    <row r="381" spans="1:7" ht="11.25" customHeight="1" outlineLevel="1">
      <c r="A381" s="15"/>
      <c r="B381" s="15" t="s">
        <v>2054</v>
      </c>
      <c r="C381" s="16" t="s">
        <v>122</v>
      </c>
      <c r="D381" s="17" t="s">
        <v>122</v>
      </c>
      <c r="F381">
        <f ca="1">IF(G381="",OFFSET(F381,-1,0),OFFSET(F381,-1,0)+1)</f>
        <v>282</v>
      </c>
      <c r="G381" t="str">
        <f>IF(B381="","",B381)</f>
        <v>パッケージ更新(特定パッケージのみ)</v>
      </c>
    </row>
    <row r="382" spans="1:7" ht="11.25" customHeight="1" outlineLevel="1">
      <c r="A382" s="15"/>
      <c r="B382" s="15" t="s">
        <v>2056</v>
      </c>
      <c r="C382" s="16" t="s">
        <v>122</v>
      </c>
      <c r="D382" s="17" t="s">
        <v>122</v>
      </c>
      <c r="F382">
        <f t="shared" ca="1" si="20"/>
        <v>283</v>
      </c>
      <c r="G382" t="str">
        <f t="shared" si="21"/>
        <v>パッケージ一覧更新</v>
      </c>
    </row>
    <row r="383" spans="1:7" ht="11.25" customHeight="1" outlineLevel="1">
      <c r="A383" s="15"/>
      <c r="B383" s="15" t="s">
        <v>2057</v>
      </c>
      <c r="C383" s="16" t="s">
        <v>122</v>
      </c>
      <c r="D383" s="17" t="s">
        <v>122</v>
      </c>
      <c r="F383">
        <f t="shared" ca="1" si="20"/>
        <v>284</v>
      </c>
      <c r="G383" t="str">
        <f t="shared" si="21"/>
        <v>パッケージ更新</v>
      </c>
    </row>
    <row r="384" spans="1:7" ht="11.25" customHeight="1" outlineLevel="1">
      <c r="A384" s="15"/>
      <c r="B384" s="15" t="s">
        <v>2073</v>
      </c>
      <c r="C384" s="16" t="s">
        <v>122</v>
      </c>
      <c r="D384" s="17" t="s">
        <v>122</v>
      </c>
      <c r="F384">
        <f t="shared" ca="1" si="20"/>
        <v>285</v>
      </c>
      <c r="G384" t="str">
        <f t="shared" si="21"/>
        <v>パッケージ削除(パッケージのみ削除)</v>
      </c>
    </row>
    <row r="385" spans="1:7" ht="11.25" customHeight="1" outlineLevel="1">
      <c r="A385" s="15"/>
      <c r="B385" s="15" t="s">
        <v>2072</v>
      </c>
      <c r="C385" s="16" t="s">
        <v>122</v>
      </c>
      <c r="D385" s="17" t="s">
        <v>122</v>
      </c>
      <c r="F385">
        <f ca="1">IF(G385="",OFFSET(F385,-1,0),OFFSET(F385,-1,0)+1)</f>
        <v>286</v>
      </c>
      <c r="G385" t="str">
        <f>IF(B385="","",B385)</f>
        <v>パッケージ削除(パッケージ＋設定削除)</v>
      </c>
    </row>
    <row r="386" spans="1:7" ht="11.25" customHeight="1" outlineLevel="1">
      <c r="A386" s="15"/>
      <c r="B386" s="15" t="s">
        <v>2061</v>
      </c>
      <c r="C386" s="16" t="s">
        <v>122</v>
      </c>
      <c r="D386" s="17" t="s">
        <v>122</v>
      </c>
      <c r="F386">
        <f ca="1">IF(G386="",OFFSET(F386,-1,0),OFFSET(F386,-1,0)+1)</f>
        <v>287</v>
      </c>
      <c r="G386" t="str">
        <f>IF(B386="","",B386)</f>
        <v>パッケージ削除(不要なものを自動削除)</v>
      </c>
    </row>
    <row r="387" spans="1:7" ht="11.25" customHeight="1" outlineLevel="1">
      <c r="A387" s="15"/>
      <c r="B387" s="15" t="s">
        <v>2051</v>
      </c>
      <c r="C387" s="16" t="s">
        <v>122</v>
      </c>
      <c r="D387" s="17" t="s">
        <v>122</v>
      </c>
      <c r="F387">
        <f t="shared" ref="F387:F394" ca="1" si="22">IF(G387="",OFFSET(F387,-1,0),OFFSET(F387,-1,0)+1)</f>
        <v>288</v>
      </c>
      <c r="G387" t="str">
        <f t="shared" ref="G387:G394" si="23">IF(B387="","",B387)</f>
        <v>パッケージ一覧表示</v>
      </c>
    </row>
    <row r="388" spans="1:7" ht="11.25" customHeight="1" outlineLevel="1">
      <c r="A388" s="15"/>
      <c r="B388" s="15" t="s">
        <v>2052</v>
      </c>
      <c r="C388" s="16" t="s">
        <v>122</v>
      </c>
      <c r="D388" s="17" t="s">
        <v>122</v>
      </c>
      <c r="F388">
        <f t="shared" ca="1" si="22"/>
        <v>289</v>
      </c>
      <c r="G388" t="str">
        <f t="shared" si="23"/>
        <v>パッケージバージョン一覧確認</v>
      </c>
    </row>
    <row r="389" spans="1:7" ht="11.25" customHeight="1" outlineLevel="1">
      <c r="A389" s="15"/>
      <c r="B389" s="15" t="s">
        <v>2052</v>
      </c>
      <c r="C389" s="16" t="s">
        <v>122</v>
      </c>
      <c r="D389" s="17" t="s">
        <v>122</v>
      </c>
      <c r="F389">
        <f t="shared" ca="1" si="22"/>
        <v>290</v>
      </c>
      <c r="G389" t="str">
        <f t="shared" si="23"/>
        <v>パッケージバージョン一覧確認</v>
      </c>
    </row>
    <row r="390" spans="1:7" ht="11.25" customHeight="1" outlineLevel="1">
      <c r="A390" s="15"/>
      <c r="B390" s="15" t="s">
        <v>2049</v>
      </c>
      <c r="C390" s="16" t="s">
        <v>122</v>
      </c>
      <c r="D390" s="17" t="s">
        <v>122</v>
      </c>
      <c r="F390">
        <f t="shared" ca="1" si="22"/>
        <v>291</v>
      </c>
      <c r="G390" t="str">
        <f t="shared" si="23"/>
        <v>パッケージ格納先確認</v>
      </c>
    </row>
    <row r="391" spans="1:7" ht="11.25" customHeight="1" outlineLevel="1">
      <c r="A391" s="15"/>
      <c r="B391" s="15" t="s">
        <v>2050</v>
      </c>
      <c r="C391" s="16" t="s">
        <v>122</v>
      </c>
      <c r="D391" s="17" t="s">
        <v>122</v>
      </c>
      <c r="F391">
        <f t="shared" ca="1" si="22"/>
        <v>292</v>
      </c>
      <c r="G391" t="str">
        <f t="shared" si="23"/>
        <v>パッケージ検索</v>
      </c>
    </row>
    <row r="392" spans="1:7" ht="11.25" customHeight="1" outlineLevel="1">
      <c r="A392" s="15"/>
      <c r="B392" s="15" t="s">
        <v>2053</v>
      </c>
      <c r="C392" s="16" t="s">
        <v>122</v>
      </c>
      <c r="D392" s="17" t="s">
        <v>122</v>
      </c>
      <c r="F392">
        <f t="shared" ca="1" si="22"/>
        <v>293</v>
      </c>
      <c r="G392" t="str">
        <f t="shared" si="23"/>
        <v>アップブレード可能パッケージ確認</v>
      </c>
    </row>
    <row r="393" spans="1:7" ht="11.25" customHeight="1" outlineLevel="1">
      <c r="A393" s="15"/>
      <c r="B393" s="15" t="s">
        <v>2058</v>
      </c>
      <c r="C393" s="16" t="s">
        <v>122</v>
      </c>
      <c r="D393" s="17" t="s">
        <v>122</v>
      </c>
      <c r="F393">
        <f t="shared" ca="1" si="22"/>
        <v>294</v>
      </c>
      <c r="G393" t="str">
        <f t="shared" si="23"/>
        <v>パッケージ情報表示</v>
      </c>
    </row>
    <row r="394" spans="1:7" ht="11.25" customHeight="1" outlineLevel="1">
      <c r="A394" s="15"/>
      <c r="B394" s="15" t="s">
        <v>2059</v>
      </c>
      <c r="C394" s="16" t="s">
        <v>122</v>
      </c>
      <c r="D394" s="17" t="s">
        <v>122</v>
      </c>
      <c r="F394">
        <f t="shared" ca="1" si="22"/>
        <v>295</v>
      </c>
      <c r="G394" t="str">
        <f t="shared" si="23"/>
        <v>パッケージインストールファイル表示</v>
      </c>
    </row>
    <row r="395" spans="1:7" ht="11.25" customHeight="1" outlineLevel="1">
      <c r="A395" s="15"/>
      <c r="B395" s="15" t="s">
        <v>1359</v>
      </c>
      <c r="C395" s="16" t="s">
        <v>122</v>
      </c>
      <c r="D395" s="17" t="s">
        <v>122</v>
      </c>
      <c r="F395">
        <f t="shared" ca="1" si="20"/>
        <v>296</v>
      </c>
      <c r="G395" t="str">
        <f t="shared" si="21"/>
        <v>パッケージインストール(RedHat系)</v>
      </c>
    </row>
    <row r="396" spans="1:7" ht="11.25" customHeight="1" outlineLevel="1">
      <c r="A396" s="15"/>
      <c r="B396" s="15" t="s">
        <v>1332</v>
      </c>
      <c r="C396" s="16" t="s">
        <v>122</v>
      </c>
      <c r="D396" s="17" t="s">
        <v>122</v>
      </c>
      <c r="F396">
        <f t="shared" ca="1" si="20"/>
        <v>297</v>
      </c>
      <c r="G396" t="str">
        <f t="shared" si="21"/>
        <v>コマンド格納先表示</v>
      </c>
    </row>
    <row r="397" spans="1:7" ht="11.25" customHeight="1" outlineLevel="1">
      <c r="A397" s="15"/>
      <c r="B397" s="15" t="s">
        <v>1332</v>
      </c>
      <c r="C397" s="16" t="s">
        <v>122</v>
      </c>
      <c r="D397" s="17" t="s">
        <v>122</v>
      </c>
      <c r="F397">
        <f t="shared" ca="1" si="20"/>
        <v>298</v>
      </c>
      <c r="G397" t="str">
        <f t="shared" si="21"/>
        <v>コマンド格納先表示</v>
      </c>
    </row>
    <row r="398" spans="1:7" ht="11.25" customHeight="1" outlineLevel="1">
      <c r="A398" s="15"/>
      <c r="B398" s="15" t="s">
        <v>1336</v>
      </c>
      <c r="C398" s="16" t="s">
        <v>122</v>
      </c>
      <c r="D398" s="17" t="s">
        <v>122</v>
      </c>
      <c r="F398">
        <f t="shared" ca="1" si="20"/>
        <v>299</v>
      </c>
      <c r="G398" t="str">
        <f t="shared" si="21"/>
        <v>コマンド簡易説明表示</v>
      </c>
    </row>
    <row r="399" spans="1:7" ht="11.25" customHeight="1" outlineLevel="1">
      <c r="A399" s="15"/>
      <c r="B399" s="15" t="s">
        <v>1338</v>
      </c>
      <c r="C399" s="16" t="s">
        <v>122</v>
      </c>
      <c r="D399" s="17" t="s">
        <v>122</v>
      </c>
      <c r="F399">
        <f t="shared" ca="1" si="20"/>
        <v>300</v>
      </c>
      <c r="G399" t="str">
        <f t="shared" si="21"/>
        <v>コマンドエイリアス確認</v>
      </c>
    </row>
    <row r="400" spans="1:7" ht="11.25" customHeight="1" outlineLevel="1">
      <c r="A400" s="15"/>
      <c r="B400" s="15" t="s">
        <v>1340</v>
      </c>
      <c r="C400" s="16" t="s">
        <v>122</v>
      </c>
      <c r="D400" s="17" t="s">
        <v>122</v>
      </c>
      <c r="F400">
        <f t="shared" ca="1" si="20"/>
        <v>301</v>
      </c>
      <c r="G400" t="str">
        <f t="shared" si="21"/>
        <v>コマンドキーワード検索</v>
      </c>
    </row>
    <row r="401" spans="1:7" ht="11.25" customHeight="1" outlineLevel="1">
      <c r="A401" s="15"/>
      <c r="B401" s="15" t="s">
        <v>1673</v>
      </c>
      <c r="C401" s="16" t="s">
        <v>122</v>
      </c>
      <c r="D401" s="17" t="s">
        <v>122</v>
      </c>
      <c r="F401">
        <f t="shared" ca="1" si="20"/>
        <v>302</v>
      </c>
      <c r="G401" t="str">
        <f t="shared" si="21"/>
        <v>フォルダ使用容量表示(disk usage)</v>
      </c>
    </row>
    <row r="402" spans="1:7" ht="11.25" customHeight="1" outlineLevel="1">
      <c r="A402" s="15"/>
      <c r="B402" s="15" t="s">
        <v>1675</v>
      </c>
      <c r="C402" s="16" t="s">
        <v>122</v>
      </c>
      <c r="D402" s="17" t="s">
        <v>122</v>
      </c>
      <c r="F402">
        <f t="shared" ca="1" si="20"/>
        <v>303</v>
      </c>
      <c r="G402" t="str">
        <f t="shared" si="21"/>
        <v>ディスク空き容量表示(disk free)</v>
      </c>
    </row>
    <row r="403" spans="1:7" ht="11.25" customHeight="1" outlineLevel="1">
      <c r="A403" s="15"/>
      <c r="B403" s="15" t="s">
        <v>1677</v>
      </c>
      <c r="C403" s="16" t="s">
        <v>122</v>
      </c>
      <c r="D403" s="17" t="s">
        <v>122</v>
      </c>
      <c r="F403">
        <f t="shared" ca="1" si="20"/>
        <v>304</v>
      </c>
      <c r="G403" t="str">
        <f t="shared" si="21"/>
        <v>ディレクトリサイズ表示(disk usage)</v>
      </c>
    </row>
    <row r="404" spans="1:7" ht="11.25" customHeight="1" outlineLevel="1">
      <c r="A404" s="15"/>
      <c r="B404" s="15" t="s">
        <v>1679</v>
      </c>
      <c r="C404" s="16" t="s">
        <v>122</v>
      </c>
      <c r="D404" s="17" t="s">
        <v>122</v>
      </c>
      <c r="F404">
        <f t="shared" ca="1" si="20"/>
        <v>305</v>
      </c>
      <c r="G404" t="str">
        <f t="shared" si="21"/>
        <v>メモリ使用状況表示</v>
      </c>
    </row>
    <row r="405" spans="1:7" ht="11.25" customHeight="1" outlineLevel="1">
      <c r="A405" s="15"/>
      <c r="B405" s="15" t="s">
        <v>1681</v>
      </c>
      <c r="C405" s="16" t="s">
        <v>122</v>
      </c>
      <c r="D405" s="17" t="s">
        <v>122</v>
      </c>
      <c r="F405">
        <f t="shared" ca="1" si="20"/>
        <v>306</v>
      </c>
      <c r="G405" t="str">
        <f t="shared" si="21"/>
        <v>CPU/メモリ使用状況確認</v>
      </c>
    </row>
    <row r="406" spans="1:7" ht="11.25" customHeight="1" outlineLevel="1">
      <c r="A406" s="15"/>
      <c r="B406" s="15" t="s">
        <v>1683</v>
      </c>
      <c r="C406" s="16" t="s">
        <v>122</v>
      </c>
      <c r="D406" s="17" t="s">
        <v>122</v>
      </c>
      <c r="F406">
        <f t="shared" ca="1" si="20"/>
        <v>307</v>
      </c>
      <c r="G406" t="str">
        <f t="shared" si="21"/>
        <v>ファイル作成/更新日時表示</v>
      </c>
    </row>
    <row r="407" spans="1:7" ht="11.25" customHeight="1" outlineLevel="1">
      <c r="A407" s="15"/>
      <c r="B407" s="15" t="s">
        <v>1685</v>
      </c>
      <c r="C407" s="16" t="s">
        <v>122</v>
      </c>
      <c r="D407" s="17" t="s">
        <v>122</v>
      </c>
      <c r="F407">
        <f t="shared" ca="1" si="20"/>
        <v>308</v>
      </c>
      <c r="G407" t="str">
        <f t="shared" si="21"/>
        <v>ファイル作成/更新日時表示(リンク先情報)</v>
      </c>
    </row>
    <row r="408" spans="1:7" ht="11.25" customHeight="1" outlineLevel="1">
      <c r="A408" s="15"/>
      <c r="B408" s="15" t="s">
        <v>1687</v>
      </c>
      <c r="C408" s="16" t="s">
        <v>122</v>
      </c>
      <c r="D408" s="17" t="s">
        <v>122</v>
      </c>
      <c r="F408">
        <f t="shared" ca="1" si="20"/>
        <v>309</v>
      </c>
      <c r="G408" t="str">
        <f t="shared" si="21"/>
        <v>ファイル作成/更新日時表示(ファイルシステム情報)</v>
      </c>
    </row>
    <row r="409" spans="1:7" ht="11.25" customHeight="1" outlineLevel="1">
      <c r="A409" s="15"/>
      <c r="B409" s="15" t="s">
        <v>1689</v>
      </c>
      <c r="C409" s="16" t="s">
        <v>122</v>
      </c>
      <c r="D409" s="17" t="s">
        <v>122</v>
      </c>
      <c r="F409">
        <f t="shared" ca="1" si="20"/>
        <v>310</v>
      </c>
      <c r="G409" t="str">
        <f t="shared" si="21"/>
        <v>実行中ジョブ確認</v>
      </c>
    </row>
    <row r="410" spans="1:7" ht="11.25" customHeight="1" outlineLevel="1">
      <c r="A410" s="15"/>
      <c r="B410" s="15" t="s">
        <v>1691</v>
      </c>
      <c r="C410" s="16" t="s">
        <v>122</v>
      </c>
      <c r="D410" s="17" t="s">
        <v>122</v>
      </c>
      <c r="F410">
        <f t="shared" ca="1" si="20"/>
        <v>311</v>
      </c>
      <c r="G410" t="str">
        <f t="shared" si="21"/>
        <v>ジョブフォアグラウンド化</v>
      </c>
    </row>
    <row r="411" spans="1:7" ht="11.25" customHeight="1" outlineLevel="1">
      <c r="A411" s="15"/>
      <c r="B411" s="15" t="s">
        <v>1693</v>
      </c>
      <c r="C411" s="16" t="s">
        <v>122</v>
      </c>
      <c r="D411" s="17" t="s">
        <v>122</v>
      </c>
      <c r="F411">
        <f t="shared" ca="1" si="20"/>
        <v>312</v>
      </c>
      <c r="G411" t="str">
        <f t="shared" si="21"/>
        <v>ジョブバックグラウンド化</v>
      </c>
    </row>
    <row r="412" spans="1:7" ht="11.25" customHeight="1" outlineLevel="1">
      <c r="A412" s="15"/>
      <c r="B412" s="15" t="s">
        <v>1695</v>
      </c>
      <c r="C412" s="16" t="s">
        <v>122</v>
      </c>
      <c r="D412" s="17" t="s">
        <v>122</v>
      </c>
      <c r="F412">
        <f t="shared" ca="1" si="20"/>
        <v>313</v>
      </c>
      <c r="G412" t="str">
        <f t="shared" si="21"/>
        <v>コマンド実行継続設定(実行前)</v>
      </c>
    </row>
    <row r="413" spans="1:7" ht="11.25" customHeight="1" outlineLevel="1">
      <c r="A413" s="15"/>
      <c r="B413" s="15" t="s">
        <v>1696</v>
      </c>
      <c r="C413" s="16" t="s">
        <v>122</v>
      </c>
      <c r="D413" s="17" t="s">
        <v>122</v>
      </c>
      <c r="F413">
        <f t="shared" ca="1" si="20"/>
        <v>314</v>
      </c>
      <c r="G413" t="str">
        <f t="shared" si="21"/>
        <v>コマンド実行継続設定(実行後)</v>
      </c>
    </row>
    <row r="414" spans="1:7" ht="11.25" customHeight="1" outlineLevel="1">
      <c r="A414" s="15"/>
      <c r="B414" s="15" t="s">
        <v>1697</v>
      </c>
      <c r="C414" s="16" t="s">
        <v>122</v>
      </c>
      <c r="D414" s="17" t="s">
        <v>122</v>
      </c>
      <c r="F414">
        <f t="shared" ca="1" si="20"/>
        <v>315</v>
      </c>
      <c r="G414" t="str">
        <f t="shared" si="21"/>
        <v>プロセス情報表示</v>
      </c>
    </row>
    <row r="415" spans="1:7" ht="11.25" customHeight="1" outlineLevel="1">
      <c r="A415" s="15"/>
      <c r="B415" s="15" t="s">
        <v>1699</v>
      </c>
      <c r="C415" s="16" t="s">
        <v>122</v>
      </c>
      <c r="D415" s="17" t="s">
        <v>122</v>
      </c>
      <c r="F415">
        <f t="shared" ca="1" si="20"/>
        <v>316</v>
      </c>
      <c r="G415" t="str">
        <f t="shared" si="21"/>
        <v>プロセス情報表示(全プロセス)</v>
      </c>
    </row>
    <row r="416" spans="1:7" ht="11.25" customHeight="1" outlineLevel="1">
      <c r="A416" s="15"/>
      <c r="B416" s="15" t="s">
        <v>1699</v>
      </c>
      <c r="C416" s="16" t="s">
        <v>122</v>
      </c>
      <c r="D416" s="17" t="s">
        <v>122</v>
      </c>
      <c r="F416">
        <f t="shared" ca="1" si="20"/>
        <v>317</v>
      </c>
      <c r="G416" t="str">
        <f t="shared" si="21"/>
        <v>プロセス情報表示(全プロセス)</v>
      </c>
    </row>
    <row r="417" spans="1:7" ht="11.25" customHeight="1" outlineLevel="1">
      <c r="A417" s="15"/>
      <c r="B417" s="15" t="s">
        <v>1702</v>
      </c>
      <c r="C417" s="16" t="s">
        <v>122</v>
      </c>
      <c r="D417" s="17" t="s">
        <v>122</v>
      </c>
      <c r="F417">
        <f t="shared" ca="1" si="20"/>
        <v>318</v>
      </c>
      <c r="G417" t="str">
        <f t="shared" si="21"/>
        <v>プロセス情報表示(現在プロセス)</v>
      </c>
    </row>
    <row r="418" spans="1:7" ht="11.25" customHeight="1" outlineLevel="1">
      <c r="A418" s="15"/>
      <c r="B418" s="15" t="s">
        <v>2091</v>
      </c>
      <c r="C418" s="16" t="s">
        <v>122</v>
      </c>
      <c r="D418" s="17" t="s">
        <v>122</v>
      </c>
    </row>
    <row r="419" spans="1:7" ht="11.25" customHeight="1" outlineLevel="1">
      <c r="A419" s="15"/>
      <c r="B419" s="15" t="s">
        <v>2092</v>
      </c>
      <c r="C419" s="16" t="s">
        <v>122</v>
      </c>
      <c r="D419" s="17" t="s">
        <v>122</v>
      </c>
    </row>
    <row r="420" spans="1:7" ht="11.25" customHeight="1" outlineLevel="1">
      <c r="A420" s="15"/>
      <c r="B420" s="15" t="s">
        <v>2093</v>
      </c>
      <c r="C420" s="16" t="s">
        <v>122</v>
      </c>
      <c r="D420" s="17" t="s">
        <v>122</v>
      </c>
    </row>
    <row r="421" spans="1:7" ht="11.25" customHeight="1" outlineLevel="1">
      <c r="A421" s="15"/>
      <c r="B421" s="15" t="s">
        <v>2094</v>
      </c>
      <c r="C421" s="16" t="s">
        <v>122</v>
      </c>
      <c r="D421" s="17" t="s">
        <v>122</v>
      </c>
    </row>
    <row r="422" spans="1:7" ht="11.25" customHeight="1" outlineLevel="1">
      <c r="A422" s="15"/>
      <c r="B422" s="15" t="s">
        <v>2095</v>
      </c>
      <c r="C422" s="16" t="s">
        <v>122</v>
      </c>
      <c r="D422" s="17" t="s">
        <v>122</v>
      </c>
    </row>
    <row r="423" spans="1:7" ht="11.25" customHeight="1" outlineLevel="1">
      <c r="A423" s="15"/>
      <c r="B423" s="15" t="s">
        <v>2096</v>
      </c>
      <c r="C423" s="16" t="s">
        <v>122</v>
      </c>
      <c r="D423" s="17" t="s">
        <v>122</v>
      </c>
    </row>
    <row r="424" spans="1:7" ht="11.25" customHeight="1" outlineLevel="1">
      <c r="A424" s="15"/>
      <c r="B424" s="15" t="s">
        <v>2097</v>
      </c>
      <c r="C424" s="16" t="s">
        <v>122</v>
      </c>
      <c r="D424" s="17" t="s">
        <v>122</v>
      </c>
    </row>
    <row r="425" spans="1:7" ht="11.25" customHeight="1" outlineLevel="1">
      <c r="A425" s="15"/>
      <c r="B425" s="15" t="s">
        <v>2098</v>
      </c>
      <c r="C425" s="16" t="s">
        <v>122</v>
      </c>
      <c r="D425" s="17" t="s">
        <v>122</v>
      </c>
    </row>
    <row r="426" spans="1:7" ht="11.25" customHeight="1" outlineLevel="1">
      <c r="A426" s="15"/>
      <c r="B426" s="15" t="s">
        <v>2099</v>
      </c>
      <c r="C426" s="16" t="s">
        <v>122</v>
      </c>
      <c r="D426" s="17" t="s">
        <v>122</v>
      </c>
    </row>
    <row r="427" spans="1:7" ht="11.25" customHeight="1" outlineLevel="1">
      <c r="A427" s="15"/>
      <c r="B427" s="15" t="s">
        <v>1704</v>
      </c>
      <c r="C427" s="16" t="s">
        <v>122</v>
      </c>
      <c r="D427" s="17" t="s">
        <v>122</v>
      </c>
      <c r="F427">
        <f t="shared" ca="1" si="20"/>
        <v>1</v>
      </c>
      <c r="G427" t="str">
        <f t="shared" si="21"/>
        <v>プロセス情報表示(ツリー表示)</v>
      </c>
    </row>
    <row r="428" spans="1:7" ht="11.25" customHeight="1" outlineLevel="1">
      <c r="A428" s="15"/>
      <c r="B428" s="15" t="s">
        <v>1706</v>
      </c>
      <c r="C428" s="16" t="s">
        <v>122</v>
      </c>
      <c r="D428" s="17" t="s">
        <v>122</v>
      </c>
      <c r="F428">
        <f t="shared" ca="1" si="20"/>
        <v>2</v>
      </c>
      <c r="G428" t="str">
        <f t="shared" si="21"/>
        <v>プロセス情報表示(プロセス名指定)</v>
      </c>
    </row>
    <row r="429" spans="1:7" ht="11.25" customHeight="1" outlineLevel="1">
      <c r="A429" s="15"/>
      <c r="B429" s="15" t="s">
        <v>2326</v>
      </c>
      <c r="C429" s="16" t="s">
        <v>122</v>
      </c>
      <c r="D429" s="17" t="s">
        <v>122</v>
      </c>
      <c r="F429">
        <f t="shared" ca="1" si="20"/>
        <v>3</v>
      </c>
      <c r="G429" t="str">
        <f t="shared" si="21"/>
        <v>プロセスID取得</v>
      </c>
    </row>
    <row r="430" spans="1:7" ht="11.25" customHeight="1" outlineLevel="1">
      <c r="A430" s="15"/>
      <c r="B430" s="15" t="s">
        <v>1708</v>
      </c>
      <c r="C430" s="16" t="s">
        <v>122</v>
      </c>
      <c r="D430" s="17" t="s">
        <v>122</v>
      </c>
      <c r="F430">
        <f t="shared" ca="1" si="20"/>
        <v>4</v>
      </c>
      <c r="G430" t="str">
        <f t="shared" si="21"/>
        <v>ジョブ終了</v>
      </c>
    </row>
    <row r="431" spans="1:7" ht="11.25" customHeight="1" outlineLevel="1">
      <c r="A431" s="15"/>
      <c r="B431" s="15" t="s">
        <v>1710</v>
      </c>
      <c r="C431" s="16" t="s">
        <v>122</v>
      </c>
      <c r="D431" s="17" t="s">
        <v>122</v>
      </c>
      <c r="F431">
        <f t="shared" ca="1" si="20"/>
        <v>5</v>
      </c>
      <c r="G431" t="str">
        <f t="shared" si="21"/>
        <v>プロセス終了(プロセスID指定)</v>
      </c>
    </row>
    <row r="432" spans="1:7" ht="11.25" customHeight="1" outlineLevel="1">
      <c r="A432" s="15"/>
      <c r="B432" s="15" t="s">
        <v>1712</v>
      </c>
      <c r="C432" s="16" t="s">
        <v>122</v>
      </c>
      <c r="D432" s="17" t="s">
        <v>122</v>
      </c>
      <c r="F432">
        <f t="shared" ca="1" si="20"/>
        <v>6</v>
      </c>
      <c r="G432" t="str">
        <f t="shared" si="21"/>
        <v>プロセス終了(プロセス名指定)</v>
      </c>
    </row>
    <row r="433" spans="1:7" ht="11.25" customHeight="1" outlineLevel="1">
      <c r="A433" s="15"/>
      <c r="B433" s="15" t="s">
        <v>1714</v>
      </c>
      <c r="C433" s="16" t="s">
        <v>122</v>
      </c>
      <c r="D433" s="17" t="s">
        <v>122</v>
      </c>
      <c r="F433">
        <f t="shared" ca="1" si="20"/>
        <v>7</v>
      </c>
      <c r="G433" t="str">
        <f t="shared" si="21"/>
        <v>[キャッシュ内未処理データディスク書込み](https://linuc.org/study/knowledge/413/)</v>
      </c>
    </row>
    <row r="434" spans="1:7" ht="11.25" customHeight="1" outlineLevel="1">
      <c r="A434" s="15"/>
      <c r="B434" s="15" t="s">
        <v>1716</v>
      </c>
      <c r="C434" s="16" t="s">
        <v>122</v>
      </c>
      <c r="D434" s="17" t="s">
        <v>122</v>
      </c>
      <c r="F434">
        <f t="shared" ca="1" si="20"/>
        <v>8</v>
      </c>
      <c r="G434" t="str">
        <f t="shared" si="21"/>
        <v>端末行設定表示</v>
      </c>
    </row>
    <row r="435" spans="1:7" ht="11.25" customHeight="1" outlineLevel="1">
      <c r="A435" s="15"/>
      <c r="B435" s="15" t="s">
        <v>1718</v>
      </c>
      <c r="C435" s="16" t="s">
        <v>122</v>
      </c>
      <c r="D435" s="17" t="s">
        <v>122</v>
      </c>
      <c r="F435">
        <f t="shared" ca="1" si="20"/>
        <v>9</v>
      </c>
      <c r="G435" t="str">
        <f t="shared" si="21"/>
        <v>標準入力ターミナルファイルパス表示</v>
      </c>
    </row>
    <row r="436" spans="1:7" ht="11.25" customHeight="1" outlineLevel="1">
      <c r="A436" s="15"/>
      <c r="B436" s="15" t="s">
        <v>1720</v>
      </c>
      <c r="C436" s="16" t="s">
        <v>122</v>
      </c>
      <c r="D436" s="17" t="s">
        <v>122</v>
      </c>
      <c r="F436">
        <f t="shared" ca="1" si="20"/>
        <v>10</v>
      </c>
      <c r="G436" t="str">
        <f t="shared" si="21"/>
        <v>リソース制限(設定値全表示)</v>
      </c>
    </row>
    <row r="437" spans="1:7" ht="11.25" customHeight="1" outlineLevel="1">
      <c r="A437" s="15"/>
      <c r="B437" s="15" t="s">
        <v>1722</v>
      </c>
      <c r="C437" s="16" t="s">
        <v>122</v>
      </c>
      <c r="D437" s="17" t="s">
        <v>122</v>
      </c>
      <c r="F437">
        <f t="shared" ca="1" si="20"/>
        <v>11</v>
      </c>
      <c r="G437" t="str">
        <f t="shared" si="21"/>
        <v>リソース制限(スタックサイズ最大値設定)</v>
      </c>
    </row>
    <row r="438" spans="1:7" ht="11.25" customHeight="1" outlineLevel="1">
      <c r="A438" s="15"/>
      <c r="B438" s="15" t="s">
        <v>1723</v>
      </c>
      <c r="C438" s="16" t="s">
        <v>122</v>
      </c>
      <c r="D438" s="17" t="s">
        <v>122</v>
      </c>
      <c r="F438">
        <f t="shared" ca="1" si="20"/>
        <v>12</v>
      </c>
      <c r="G438" t="str">
        <f t="shared" si="21"/>
        <v>リソース制限(CPU時間最大値(秒数)設定)</v>
      </c>
    </row>
    <row r="439" spans="1:7" ht="11.25" customHeight="1" outlineLevel="1">
      <c r="A439" s="15"/>
      <c r="B439" s="15" t="s">
        <v>1724</v>
      </c>
      <c r="C439" s="16" t="s">
        <v>122</v>
      </c>
      <c r="D439" s="17" t="s">
        <v>122</v>
      </c>
      <c r="F439">
        <f t="shared" ref="F439:F462" ca="1" si="24">IF(G439="",OFFSET(F439,-1,0),OFFSET(F439,-1,0)+1)</f>
        <v>13</v>
      </c>
      <c r="G439" t="str">
        <f t="shared" ref="G439:G462" si="25">IF(B439="","",B439)</f>
        <v>ユーザID表示</v>
      </c>
    </row>
    <row r="440" spans="1:7" ht="11.25" customHeight="1" outlineLevel="1">
      <c r="A440" s="15"/>
      <c r="B440" s="15" t="s">
        <v>1726</v>
      </c>
      <c r="C440" s="16" t="s">
        <v>122</v>
      </c>
      <c r="D440" s="17" t="s">
        <v>122</v>
      </c>
      <c r="F440">
        <f t="shared" ca="1" si="24"/>
        <v>14</v>
      </c>
      <c r="G440" t="str">
        <f t="shared" si="25"/>
        <v>現在ログイン名表示</v>
      </c>
    </row>
    <row r="441" spans="1:7" ht="11.25" customHeight="1" outlineLevel="1">
      <c r="A441" s="15"/>
      <c r="B441" s="15" t="s">
        <v>1728</v>
      </c>
      <c r="C441" s="16" t="s">
        <v>122</v>
      </c>
      <c r="D441" s="17" t="s">
        <v>122</v>
      </c>
      <c r="F441">
        <f t="shared" ca="1" si="24"/>
        <v>15</v>
      </c>
      <c r="G441" t="str">
        <f t="shared" si="25"/>
        <v>現在ユーザIDに関連付けされているユーザ名表示</v>
      </c>
    </row>
    <row r="442" spans="1:7" ht="11.25" customHeight="1" outlineLevel="1">
      <c r="A442" s="15"/>
      <c r="B442" s="15" t="s">
        <v>1730</v>
      </c>
      <c r="C442" s="16" t="s">
        <v>122</v>
      </c>
      <c r="D442" s="17" t="s">
        <v>122</v>
      </c>
      <c r="F442">
        <f t="shared" ca="1" si="24"/>
        <v>16</v>
      </c>
      <c r="G442" t="str">
        <f t="shared" si="25"/>
        <v>所属グループ名表示</v>
      </c>
    </row>
    <row r="443" spans="1:7" ht="11.25" customHeight="1" outlineLevel="1">
      <c r="A443" s="15"/>
      <c r="B443" s="15" t="s">
        <v>1732</v>
      </c>
      <c r="C443" s="16" t="s">
        <v>122</v>
      </c>
      <c r="D443" s="17" t="s">
        <v>122</v>
      </c>
      <c r="F443">
        <f t="shared" ca="1" si="24"/>
        <v>17</v>
      </c>
      <c r="G443" t="str">
        <f t="shared" si="25"/>
        <v>ログインユーザ一覧表示</v>
      </c>
    </row>
    <row r="444" spans="1:7" ht="11.25" customHeight="1" outlineLevel="1">
      <c r="A444" s="15"/>
      <c r="B444" s="15" t="s">
        <v>1734</v>
      </c>
      <c r="C444" s="16" t="s">
        <v>122</v>
      </c>
      <c r="D444" s="17" t="s">
        <v>122</v>
      </c>
      <c r="F444">
        <f t="shared" ca="1" si="24"/>
        <v>18</v>
      </c>
      <c r="G444" t="str">
        <f t="shared" si="25"/>
        <v>ログオン中ユーザ情報表示</v>
      </c>
    </row>
    <row r="445" spans="1:7" ht="11.25" customHeight="1" outlineLevel="1">
      <c r="A445" s="15"/>
      <c r="B445" s="15" t="s">
        <v>1736</v>
      </c>
      <c r="C445" s="16" t="s">
        <v>122</v>
      </c>
      <c r="D445" s="17" t="s">
        <v>122</v>
      </c>
      <c r="F445">
        <f t="shared" ca="1" si="24"/>
        <v>19</v>
      </c>
      <c r="G445" t="str">
        <f t="shared" si="25"/>
        <v>ユーザアカウント作成</v>
      </c>
    </row>
    <row r="446" spans="1:7" ht="11.25" customHeight="1" outlineLevel="1">
      <c r="A446" s="15"/>
      <c r="B446" s="15" t="s">
        <v>1739</v>
      </c>
      <c r="C446" s="16" t="s">
        <v>122</v>
      </c>
      <c r="D446" s="17" t="s">
        <v>122</v>
      </c>
      <c r="F446">
        <f t="shared" ca="1" si="24"/>
        <v>20</v>
      </c>
      <c r="G446" t="str">
        <f t="shared" si="25"/>
        <v>ユーザアカウント変更(グループ変更)</v>
      </c>
    </row>
    <row r="447" spans="1:7" ht="11.25" customHeight="1" outlineLevel="1">
      <c r="A447" s="15"/>
      <c r="B447" s="15" t="s">
        <v>1741</v>
      </c>
      <c r="C447" s="16" t="s">
        <v>122</v>
      </c>
      <c r="D447" s="17" t="s">
        <v>122</v>
      </c>
      <c r="F447">
        <f t="shared" ca="1" si="24"/>
        <v>21</v>
      </c>
      <c r="G447" t="str">
        <f t="shared" si="25"/>
        <v>ユーザアカウント削除</v>
      </c>
    </row>
    <row r="448" spans="1:7" ht="11.25" customHeight="1" outlineLevel="1">
      <c r="A448" s="15"/>
      <c r="B448" s="15" t="s">
        <v>1743</v>
      </c>
      <c r="C448" s="16" t="s">
        <v>122</v>
      </c>
      <c r="D448" s="17" t="s">
        <v>122</v>
      </c>
      <c r="F448">
        <f t="shared" ca="1" si="24"/>
        <v>22</v>
      </c>
      <c r="G448" t="str">
        <f t="shared" si="25"/>
        <v>グループアカウント作成</v>
      </c>
    </row>
    <row r="449" spans="1:7" ht="11.25" customHeight="1" outlineLevel="1">
      <c r="A449" s="15"/>
      <c r="B449" s="15" t="s">
        <v>1745</v>
      </c>
      <c r="C449" s="16" t="s">
        <v>122</v>
      </c>
      <c r="D449" s="17" t="s">
        <v>122</v>
      </c>
      <c r="F449">
        <f t="shared" ca="1" si="24"/>
        <v>23</v>
      </c>
      <c r="G449" t="str">
        <f t="shared" si="25"/>
        <v>グループアカウント変更</v>
      </c>
    </row>
    <row r="450" spans="1:7" ht="11.25" customHeight="1" outlineLevel="1">
      <c r="A450" s="15"/>
      <c r="B450" s="15" t="s">
        <v>1747</v>
      </c>
      <c r="C450" s="16" t="s">
        <v>122</v>
      </c>
      <c r="D450" s="17" t="s">
        <v>122</v>
      </c>
      <c r="F450">
        <f t="shared" ca="1" si="24"/>
        <v>24</v>
      </c>
      <c r="G450" t="str">
        <f t="shared" si="25"/>
        <v>グループアカウント削除</v>
      </c>
    </row>
    <row r="451" spans="1:7" ht="11.25" customHeight="1" outlineLevel="1">
      <c r="A451" s="15"/>
      <c r="B451" s="15" t="s">
        <v>1749</v>
      </c>
      <c r="C451" s="16" t="s">
        <v>122</v>
      </c>
      <c r="D451" s="17" t="s">
        <v>122</v>
      </c>
      <c r="F451">
        <f t="shared" ca="1" si="24"/>
        <v>25</v>
      </c>
      <c r="G451" t="str">
        <f t="shared" si="25"/>
        <v>所属グループ表示</v>
      </c>
    </row>
    <row r="452" spans="1:7" ht="11.25" customHeight="1" outlineLevel="1">
      <c r="A452" s="15"/>
      <c r="B452" s="15" t="s">
        <v>1751</v>
      </c>
      <c r="C452" s="16" t="s">
        <v>122</v>
      </c>
      <c r="D452" s="17" t="s">
        <v>122</v>
      </c>
      <c r="F452">
        <f t="shared" ca="1" si="24"/>
        <v>26</v>
      </c>
      <c r="G452" t="str">
        <f t="shared" si="25"/>
        <v>ログインパスワード変更</v>
      </c>
    </row>
    <row r="453" spans="1:7" ht="11.25" customHeight="1" outlineLevel="1">
      <c r="A453" s="15"/>
      <c r="B453" s="15" t="s">
        <v>1753</v>
      </c>
      <c r="C453" s="16" t="s">
        <v>122</v>
      </c>
      <c r="D453" s="17" t="s">
        <v>122</v>
      </c>
      <c r="F453">
        <f t="shared" ca="1" si="24"/>
        <v>27</v>
      </c>
      <c r="G453" t="str">
        <f t="shared" si="25"/>
        <v>ログインシェル変更</v>
      </c>
    </row>
    <row r="454" spans="1:7" ht="11.25" customHeight="1" outlineLevel="1">
      <c r="A454" s="15"/>
      <c r="B454" s="15" t="s">
        <v>1756</v>
      </c>
      <c r="C454" s="16" t="s">
        <v>122</v>
      </c>
      <c r="D454" s="17" t="s">
        <v>122</v>
      </c>
      <c r="F454">
        <f t="shared" ca="1" si="24"/>
        <v>28</v>
      </c>
      <c r="G454" t="str">
        <f t="shared" si="25"/>
        <v>環境変数表示</v>
      </c>
    </row>
    <row r="455" spans="1:7" ht="11.25" customHeight="1" outlineLevel="1">
      <c r="A455" s="15"/>
      <c r="B455" s="15" t="s">
        <v>1758</v>
      </c>
      <c r="C455" s="16" t="s">
        <v>122</v>
      </c>
      <c r="D455" s="17" t="s">
        <v>122</v>
      </c>
      <c r="F455">
        <f t="shared" ca="1" si="24"/>
        <v>29</v>
      </c>
      <c r="G455" t="str">
        <f t="shared" si="25"/>
        <v>環境変数設定(csh系用)</v>
      </c>
    </row>
    <row r="456" spans="1:7" ht="11.25" customHeight="1" outlineLevel="1">
      <c r="A456" s="15"/>
      <c r="B456" s="15" t="s">
        <v>1760</v>
      </c>
      <c r="C456" s="16" t="s">
        <v>122</v>
      </c>
      <c r="D456" s="17" t="s">
        <v>122</v>
      </c>
      <c r="F456">
        <f t="shared" ca="1" si="24"/>
        <v>30</v>
      </c>
      <c r="G456" t="str">
        <f t="shared" si="25"/>
        <v>環境変数設定(sh系用)</v>
      </c>
    </row>
    <row r="457" spans="1:7" ht="11.25" customHeight="1" outlineLevel="1">
      <c r="A457" s="15"/>
      <c r="B457" s="15" t="s">
        <v>1762</v>
      </c>
      <c r="C457" s="16" t="s">
        <v>122</v>
      </c>
      <c r="D457" s="17" t="s">
        <v>122</v>
      </c>
      <c r="F457">
        <f t="shared" ca="1" si="24"/>
        <v>31</v>
      </c>
      <c r="G457" t="str">
        <f t="shared" si="25"/>
        <v>環境変数変更(一時的)</v>
      </c>
    </row>
    <row r="458" spans="1:7" ht="11.25" customHeight="1" outlineLevel="1">
      <c r="A458" s="15"/>
      <c r="B458" s="15" t="s">
        <v>1756</v>
      </c>
      <c r="C458" s="16" t="s">
        <v>122</v>
      </c>
      <c r="D458" s="17" t="s">
        <v>122</v>
      </c>
      <c r="F458">
        <f t="shared" ca="1" si="24"/>
        <v>32</v>
      </c>
      <c r="G458" t="str">
        <f t="shared" si="25"/>
        <v>環境変数表示</v>
      </c>
    </row>
    <row r="459" spans="1:7" ht="11.25" customHeight="1" outlineLevel="1">
      <c r="A459" s="15"/>
      <c r="B459" s="15" t="s">
        <v>1789</v>
      </c>
      <c r="C459" s="16" t="s">
        <v>122</v>
      </c>
      <c r="D459" s="17" t="s">
        <v>122</v>
      </c>
      <c r="F459">
        <f t="shared" ca="1" si="24"/>
        <v>33</v>
      </c>
      <c r="G459" t="str">
        <f t="shared" si="25"/>
        <v>環境変数設定(複数行)</v>
      </c>
    </row>
    <row r="460" spans="1:7" ht="11.25" customHeight="1" outlineLevel="1">
      <c r="A460" s="15"/>
      <c r="B460" s="15" t="s">
        <v>1764</v>
      </c>
      <c r="C460" s="16" t="s">
        <v>122</v>
      </c>
      <c r="D460" s="17" t="s">
        <v>122</v>
      </c>
      <c r="F460">
        <f t="shared" ca="1" si="24"/>
        <v>34</v>
      </c>
      <c r="G460" t="str">
        <f t="shared" si="25"/>
        <v>マウント</v>
      </c>
    </row>
    <row r="461" spans="1:7" ht="11.25" customHeight="1" outlineLevel="1">
      <c r="A461" s="15"/>
      <c r="B461" s="15" t="s">
        <v>1767</v>
      </c>
      <c r="C461" s="16" t="s">
        <v>122</v>
      </c>
      <c r="D461" s="17" t="s">
        <v>122</v>
      </c>
      <c r="F461">
        <f t="shared" ca="1" si="24"/>
        <v>35</v>
      </c>
      <c r="G461" t="str">
        <f t="shared" si="25"/>
        <v>アンマウント</v>
      </c>
    </row>
    <row r="462" spans="1:7" ht="11.25" customHeight="1" outlineLevel="1">
      <c r="A462" s="15"/>
      <c r="B462" s="15" t="s">
        <v>1769</v>
      </c>
      <c r="C462" s="16" t="s">
        <v>122</v>
      </c>
      <c r="D462" s="17" t="s">
        <v>122</v>
      </c>
      <c r="F462">
        <f t="shared" ca="1" si="24"/>
        <v>36</v>
      </c>
      <c r="G462" t="str">
        <f t="shared" si="25"/>
        <v>マウント状況確認</v>
      </c>
    </row>
    <row r="463" spans="1:7" ht="11.25" customHeight="1" outlineLevel="1">
      <c r="A463" s="15"/>
      <c r="B463" s="15" t="s">
        <v>1771</v>
      </c>
      <c r="C463" s="16" t="s">
        <v>122</v>
      </c>
      <c r="D463" s="17" t="s">
        <v>122</v>
      </c>
      <c r="F463">
        <f t="shared" ref="F463:F490" ca="1" si="26">IF(G463="",OFFSET(F463,-1,0),OFFSET(F463,-1,0)+1)</f>
        <v>37</v>
      </c>
      <c r="G463" t="str">
        <f t="shared" ref="G463:G490" si="27">IF(B463="","",B463)</f>
        <v>デバイス一覧表示</v>
      </c>
    </row>
    <row r="464" spans="1:7" ht="11.25" customHeight="1" outlineLevel="1">
      <c r="A464" s="15"/>
      <c r="B464" s="15" t="s">
        <v>1773</v>
      </c>
      <c r="C464" s="24" t="s">
        <v>122</v>
      </c>
      <c r="D464" s="17" t="s">
        <v>122</v>
      </c>
      <c r="F464">
        <f t="shared" ca="1" si="26"/>
        <v>38</v>
      </c>
      <c r="G464" t="str">
        <f t="shared" si="27"/>
        <v>時刻(システムクロック)表示</v>
      </c>
    </row>
    <row r="465" spans="1:7" ht="11.25" customHeight="1" outlineLevel="1">
      <c r="A465" s="15"/>
      <c r="B465" s="15" t="s">
        <v>1775</v>
      </c>
      <c r="C465" s="16" t="s">
        <v>122</v>
      </c>
      <c r="D465" s="17" t="s">
        <v>122</v>
      </c>
      <c r="F465">
        <f t="shared" ca="1" si="26"/>
        <v>39</v>
      </c>
      <c r="G465" t="str">
        <f t="shared" si="27"/>
        <v>時刻(システムクロック)変更</v>
      </c>
    </row>
    <row r="466" spans="1:7" ht="11.25" customHeight="1" outlineLevel="1">
      <c r="A466" s="15"/>
      <c r="B466" s="15" t="s">
        <v>1776</v>
      </c>
      <c r="C466" s="16" t="s">
        <v>122</v>
      </c>
      <c r="D466" s="17" t="s">
        <v>122</v>
      </c>
      <c r="F466">
        <f t="shared" ca="1" si="26"/>
        <v>40</v>
      </c>
      <c r="G466" t="str">
        <f t="shared" si="27"/>
        <v>時刻(ハードウェアクロック)変更</v>
      </c>
    </row>
    <row r="467" spans="1:7" ht="11.25" customHeight="1" outlineLevel="1">
      <c r="A467" s="15"/>
      <c r="B467" s="15" t="s">
        <v>1777</v>
      </c>
      <c r="C467" s="16" t="s">
        <v>122</v>
      </c>
      <c r="D467" s="17" t="s">
        <v>122</v>
      </c>
      <c r="F467">
        <f t="shared" ca="1" si="26"/>
        <v>41</v>
      </c>
      <c r="G467" t="str">
        <f t="shared" si="27"/>
        <v>プロセッサ数表示</v>
      </c>
    </row>
    <row r="468" spans="1:7" ht="11.25" customHeight="1" outlineLevel="1">
      <c r="A468" s="15"/>
      <c r="B468" s="15" t="s">
        <v>1779</v>
      </c>
      <c r="C468" s="16" t="s">
        <v>122</v>
      </c>
      <c r="D468" s="17" t="s">
        <v>122</v>
      </c>
      <c r="F468">
        <f t="shared" ca="1" si="26"/>
        <v>42</v>
      </c>
      <c r="G468" t="str">
        <f t="shared" si="27"/>
        <v>システム情報表示</v>
      </c>
    </row>
    <row r="469" spans="1:7" ht="11.25" customHeight="1" outlineLevel="1">
      <c r="A469" s="15"/>
      <c r="B469" s="15" t="s">
        <v>1781</v>
      </c>
      <c r="C469" s="16" t="s">
        <v>122</v>
      </c>
      <c r="D469" s="17" t="s">
        <v>122</v>
      </c>
      <c r="F469">
        <f t="shared" ca="1" si="26"/>
        <v>43</v>
      </c>
      <c r="G469" t="str">
        <f t="shared" si="27"/>
        <v>ハードウェア名表示</v>
      </c>
    </row>
    <row r="470" spans="1:7" ht="11.25" customHeight="1" outlineLevel="1">
      <c r="A470" s="15"/>
      <c r="B470" s="15" t="s">
        <v>1783</v>
      </c>
      <c r="C470" s="16" t="s">
        <v>122</v>
      </c>
      <c r="D470" s="17" t="s">
        <v>122</v>
      </c>
      <c r="F470">
        <f t="shared" ca="1" si="26"/>
        <v>44</v>
      </c>
      <c r="G470" t="str">
        <f t="shared" si="27"/>
        <v>ホスト名表示</v>
      </c>
    </row>
    <row r="471" spans="1:7" ht="11.25" customHeight="1" outlineLevel="1">
      <c r="A471" s="15"/>
      <c r="B471" s="15" t="s">
        <v>1785</v>
      </c>
      <c r="C471" s="16" t="s">
        <v>122</v>
      </c>
      <c r="D471" s="17" t="s">
        <v>122</v>
      </c>
      <c r="F471">
        <f t="shared" ca="1" si="26"/>
        <v>45</v>
      </c>
      <c r="G471" t="str">
        <f t="shared" si="27"/>
        <v>ホスト識別子表示(16進数)</v>
      </c>
    </row>
    <row r="472" spans="1:7" ht="11.25" customHeight="1" outlineLevel="1">
      <c r="A472" s="15"/>
      <c r="B472" s="15" t="s">
        <v>1787</v>
      </c>
      <c r="C472" s="16" t="s">
        <v>122</v>
      </c>
      <c r="D472" s="17" t="s">
        <v>122</v>
      </c>
      <c r="F472">
        <f t="shared" ca="1" si="26"/>
        <v>46</v>
      </c>
      <c r="G472" t="str">
        <f t="shared" si="27"/>
        <v>システム起動時間等表示</v>
      </c>
    </row>
    <row r="473" spans="1:7" ht="11.25" customHeight="1" outlineLevel="1">
      <c r="A473" s="15"/>
      <c r="B473" s="18" t="s">
        <v>1851</v>
      </c>
      <c r="C473" s="16" t="s">
        <v>122</v>
      </c>
      <c r="D473" s="17" t="s">
        <v>122</v>
      </c>
      <c r="F473">
        <f t="shared" ca="1" si="26"/>
        <v>47</v>
      </c>
      <c r="G473" t="str">
        <f t="shared" si="27"/>
        <v>名前付きパイプ作成</v>
      </c>
    </row>
    <row r="474" spans="1:7" ht="11.25" customHeight="1" outlineLevel="1">
      <c r="A474" s="15"/>
      <c r="B474" s="18" t="s">
        <v>1852</v>
      </c>
      <c r="C474" s="16" t="s">
        <v>122</v>
      </c>
      <c r="D474" s="17" t="s">
        <v>122</v>
      </c>
      <c r="F474">
        <f t="shared" ca="1" si="26"/>
        <v>48</v>
      </c>
      <c r="G474" t="str">
        <f t="shared" si="27"/>
        <v>特殊ファイル作成</v>
      </c>
    </row>
    <row r="475" spans="1:7" ht="11.25" customHeight="1" outlineLevel="1">
      <c r="A475" s="15"/>
      <c r="B475" s="15" t="s">
        <v>1806</v>
      </c>
      <c r="C475" s="16" t="s">
        <v>122</v>
      </c>
      <c r="D475" s="17" t="s">
        <v>122</v>
      </c>
      <c r="F475">
        <f t="shared" ca="1" si="26"/>
        <v>49</v>
      </c>
      <c r="G475" t="str">
        <f t="shared" si="27"/>
        <v>マニュアル確認</v>
      </c>
    </row>
    <row r="476" spans="1:7" ht="11.25" customHeight="1" outlineLevel="1">
      <c r="A476" s="15"/>
      <c r="B476" s="15" t="s">
        <v>1808</v>
      </c>
      <c r="C476" s="16" t="s">
        <v>122</v>
      </c>
      <c r="D476" s="17" t="s">
        <v>122</v>
      </c>
      <c r="F476">
        <f t="shared" ca="1" si="26"/>
        <v>50</v>
      </c>
      <c r="G476" t="str">
        <f t="shared" si="27"/>
        <v>カレンダー表示</v>
      </c>
    </row>
    <row r="477" spans="1:7" ht="11.25" customHeight="1" outlineLevel="1">
      <c r="A477" s="15"/>
      <c r="B477" s="15" t="s">
        <v>1816</v>
      </c>
      <c r="C477" s="16" t="s">
        <v>122</v>
      </c>
      <c r="D477" s="17" t="s">
        <v>122</v>
      </c>
      <c r="F477">
        <f t="shared" ca="1" si="26"/>
        <v>51</v>
      </c>
      <c r="G477" t="str">
        <f t="shared" si="27"/>
        <v>特定ルートディレクトリでコマンド実行</v>
      </c>
    </row>
    <row r="478" spans="1:7" ht="11.25" customHeight="1" outlineLevel="1">
      <c r="A478" s="15"/>
      <c r="B478" s="15" t="s">
        <v>1818</v>
      </c>
      <c r="C478" s="16" t="s">
        <v>122</v>
      </c>
      <c r="D478" s="17" t="s">
        <v>122</v>
      </c>
      <c r="F478">
        <f t="shared" ca="1" si="26"/>
        <v>52</v>
      </c>
      <c r="G478" t="str">
        <f t="shared" si="27"/>
        <v>バッファリングモード変更＆コマンド実行</v>
      </c>
    </row>
    <row r="479" spans="1:7" ht="11.25" customHeight="1" outlineLevel="1">
      <c r="A479" s="15"/>
      <c r="B479" s="15" t="s">
        <v>1820</v>
      </c>
      <c r="C479" s="16" t="s">
        <v>122</v>
      </c>
      <c r="D479" s="17" t="s">
        <v>122</v>
      </c>
      <c r="F479">
        <f t="shared" ca="1" si="26"/>
        <v>53</v>
      </c>
      <c r="G479" t="str">
        <f t="shared" si="27"/>
        <v>素因数分解</v>
      </c>
    </row>
    <row r="480" spans="1:7" ht="11.25" customHeight="1" outlineLevel="1">
      <c r="A480" s="15"/>
      <c r="B480" s="15" t="s">
        <v>1379</v>
      </c>
      <c r="C480" s="16" t="s">
        <v>122</v>
      </c>
      <c r="D480" s="17" t="s">
        <v>122</v>
      </c>
      <c r="F480">
        <f t="shared" ca="1" si="26"/>
        <v>54</v>
      </c>
      <c r="G480" t="str">
        <f t="shared" si="27"/>
        <v>簡易電卓</v>
      </c>
    </row>
    <row r="481" spans="1:7" ht="11.25" customHeight="1" outlineLevel="1">
      <c r="A481" s="15"/>
      <c r="B481" s="15" t="s">
        <v>1364</v>
      </c>
      <c r="C481" s="16" t="s">
        <v>122</v>
      </c>
      <c r="D481" s="54" t="s">
        <v>122</v>
      </c>
      <c r="F481">
        <f t="shared" ca="1" si="26"/>
        <v>55</v>
      </c>
      <c r="G481" t="str">
        <f t="shared" si="27"/>
        <v>コマンド結果をクリップボードにコピー</v>
      </c>
    </row>
    <row r="482" spans="1:7" ht="11.25" customHeight="1" outlineLevel="1">
      <c r="A482" s="15"/>
      <c r="B482" s="15" t="s">
        <v>1374</v>
      </c>
      <c r="C482" s="16" t="s">
        <v>122</v>
      </c>
      <c r="D482" s="17" t="s">
        <v>122</v>
      </c>
      <c r="F482">
        <f t="shared" ca="1" si="26"/>
        <v>56</v>
      </c>
      <c r="G482" t="str">
        <f t="shared" si="27"/>
        <v>プロセス実行優先度変更後コマンド実行</v>
      </c>
    </row>
    <row r="483" spans="1:7" ht="11.25" customHeight="1" outlineLevel="1">
      <c r="A483" s="15"/>
      <c r="B483" s="15" t="s">
        <v>1376</v>
      </c>
      <c r="C483" s="16" t="s">
        <v>122</v>
      </c>
      <c r="D483" s="17" t="s">
        <v>122</v>
      </c>
      <c r="F483">
        <f t="shared" ca="1" si="26"/>
        <v>57</v>
      </c>
      <c r="G483" t="str">
        <f t="shared" si="27"/>
        <v>ログアウト後継続コマンド実行</v>
      </c>
    </row>
    <row r="484" spans="1:7" ht="11.25" customHeight="1" outlineLevel="1">
      <c r="A484" s="15"/>
      <c r="B484" s="15" t="s">
        <v>1994</v>
      </c>
      <c r="C484" s="16" t="s">
        <v>122</v>
      </c>
      <c r="D484" s="17" t="s">
        <v>122</v>
      </c>
      <c r="F484">
        <f t="shared" ca="1" si="26"/>
        <v>58</v>
      </c>
      <c r="G484" t="str">
        <f t="shared" si="27"/>
        <v>スクリプト自動実行＠at</v>
      </c>
    </row>
    <row r="485" spans="1:7" ht="11.25" customHeight="1" outlineLevel="1">
      <c r="A485" s="15"/>
      <c r="B485" s="3" t="s">
        <v>1996</v>
      </c>
      <c r="C485" s="24" t="s">
        <v>122</v>
      </c>
      <c r="D485" s="51" t="s">
        <v>122</v>
      </c>
      <c r="F485">
        <f t="shared" ca="1" si="26"/>
        <v>59</v>
      </c>
      <c r="G485" t="str">
        <f t="shared" si="27"/>
        <v>スクリプト自動実行＠cron 設定</v>
      </c>
    </row>
    <row r="486" spans="1:7" ht="11.25" customHeight="1" outlineLevel="1">
      <c r="A486" s="15"/>
      <c r="B486" s="15" t="s">
        <v>1998</v>
      </c>
      <c r="C486" s="24" t="s">
        <v>122</v>
      </c>
      <c r="D486" s="17" t="s">
        <v>122</v>
      </c>
      <c r="F486">
        <f t="shared" ca="1" si="26"/>
        <v>60</v>
      </c>
      <c r="G486" t="str">
        <f t="shared" si="27"/>
        <v>スクリプト自動実行＠cron 設定情報表示</v>
      </c>
    </row>
    <row r="487" spans="1:7" ht="11.25" customHeight="1" outlineLevel="1">
      <c r="A487" s="15"/>
      <c r="B487" s="15" t="s">
        <v>1999</v>
      </c>
      <c r="C487" s="24" t="s">
        <v>122</v>
      </c>
      <c r="D487" s="17" t="s">
        <v>122</v>
      </c>
      <c r="F487">
        <f t="shared" ca="1" si="26"/>
        <v>61</v>
      </c>
      <c r="G487" t="str">
        <f t="shared" si="27"/>
        <v>スクリプト自動実行＠cron 設定削除</v>
      </c>
    </row>
    <row r="488" spans="1:7" ht="11.25" customHeight="1" outlineLevel="1">
      <c r="A488" s="15"/>
      <c r="B488" s="15" t="s">
        <v>1849</v>
      </c>
      <c r="C488" s="16" t="s">
        <v>122</v>
      </c>
      <c r="D488" s="17" t="s">
        <v>122</v>
      </c>
      <c r="F488">
        <f t="shared" ca="1" si="26"/>
        <v>62</v>
      </c>
      <c r="G488" t="str">
        <f t="shared" si="27"/>
        <v>vim(垂直分割)</v>
      </c>
    </row>
    <row r="489" spans="1:7" ht="11.25" customHeight="1" outlineLevel="1">
      <c r="A489" s="15"/>
      <c r="B489" s="3" t="s">
        <v>2007</v>
      </c>
      <c r="C489" s="16" t="s">
        <v>122</v>
      </c>
      <c r="D489" s="17" t="s">
        <v>122</v>
      </c>
      <c r="F489">
        <f t="shared" ca="1" si="26"/>
        <v>63</v>
      </c>
      <c r="G489" t="str">
        <f t="shared" si="27"/>
        <v>排他ロック</v>
      </c>
    </row>
    <row r="490" spans="1:7" ht="11.25" customHeight="1" outlineLevel="1">
      <c r="A490" s="15"/>
      <c r="B490" s="3" t="s">
        <v>2008</v>
      </c>
      <c r="C490" s="16" t="s">
        <v>122</v>
      </c>
      <c r="D490" s="17" t="s">
        <v>122</v>
      </c>
      <c r="F490">
        <f t="shared" ca="1" si="26"/>
        <v>64</v>
      </c>
      <c r="G490" t="str">
        <f t="shared" si="27"/>
        <v>共有ロック</v>
      </c>
    </row>
    <row r="491" spans="1:7" ht="11.25" customHeight="1">
      <c r="A491" s="12" t="s">
        <v>2003</v>
      </c>
      <c r="B491" s="13"/>
      <c r="C491" s="13" t="s">
        <v>122</v>
      </c>
      <c r="D491" s="14" t="s">
        <v>122</v>
      </c>
      <c r="E491" t="s">
        <v>122</v>
      </c>
      <c r="F491">
        <f t="shared" ref="F491:F499" ca="1" si="28">IF(G491="",OFFSET(F491,-1,0),OFFSET(F491,-1,0)+1)</f>
        <v>64</v>
      </c>
      <c r="G491" t="str">
        <f t="shared" ref="G491:G499" si="29">IF(B491="","",B491)</f>
        <v/>
      </c>
    </row>
    <row r="492" spans="1:7" ht="11.25" customHeight="1" outlineLevel="1">
      <c r="A492" s="15"/>
      <c r="B492" s="15" t="s">
        <v>1834</v>
      </c>
      <c r="C492" s="16" t="s">
        <v>122</v>
      </c>
      <c r="D492" s="17" t="s">
        <v>122</v>
      </c>
      <c r="F492">
        <f t="shared" ca="1" si="28"/>
        <v>65</v>
      </c>
      <c r="G492" t="str">
        <f t="shared" si="29"/>
        <v>SCP転送(ファイル)</v>
      </c>
    </row>
    <row r="493" spans="1:7" ht="11.25" customHeight="1" outlineLevel="1">
      <c r="A493" s="15"/>
      <c r="B493" s="15" t="s">
        <v>1836</v>
      </c>
      <c r="C493" s="16" t="s">
        <v>122</v>
      </c>
      <c r="D493" s="17" t="s">
        <v>122</v>
      </c>
      <c r="F493">
        <f t="shared" ca="1" si="28"/>
        <v>66</v>
      </c>
      <c r="G493" t="str">
        <f t="shared" si="29"/>
        <v>SCP転送(フォルダ)</v>
      </c>
    </row>
    <row r="494" spans="1:7" ht="11.25" customHeight="1" outlineLevel="1">
      <c r="A494" s="15"/>
      <c r="B494" s="15" t="s">
        <v>1838</v>
      </c>
      <c r="C494" s="16" t="s">
        <v>122</v>
      </c>
      <c r="D494" s="17" t="s">
        <v>122</v>
      </c>
      <c r="F494">
        <f t="shared" ca="1" si="28"/>
        <v>67</v>
      </c>
      <c r="G494" t="str">
        <f t="shared" si="29"/>
        <v>SCP転送(パスワード自動入力)</v>
      </c>
    </row>
    <row r="495" spans="1:7" ht="11.25" customHeight="1" outlineLevel="1">
      <c r="A495" s="15"/>
      <c r="B495" s="15" t="s">
        <v>1810</v>
      </c>
      <c r="C495" s="16" t="s">
        <v>122</v>
      </c>
      <c r="D495" s="17" t="s">
        <v>122</v>
      </c>
      <c r="F495">
        <f t="shared" ca="1" si="28"/>
        <v>68</v>
      </c>
      <c r="G495" t="str">
        <f t="shared" si="29"/>
        <v>URLコンテンツ取得(Client for URL)</v>
      </c>
    </row>
    <row r="496" spans="1:7" ht="11.25" customHeight="1" outlineLevel="1">
      <c r="A496" s="15"/>
      <c r="B496" s="15" t="s">
        <v>1811</v>
      </c>
      <c r="C496" s="16" t="s">
        <v>122</v>
      </c>
      <c r="D496" s="17" t="s">
        <v>122</v>
      </c>
      <c r="F496">
        <f t="shared" ca="1" si="28"/>
        <v>69</v>
      </c>
      <c r="G496" t="str">
        <f t="shared" si="29"/>
        <v>URLコンテンツ取得(ファイルダウンロード)</v>
      </c>
    </row>
    <row r="497" spans="1:7" ht="11.25" customHeight="1" outlineLevel="1">
      <c r="A497" s="15"/>
      <c r="B497" s="15" t="s">
        <v>1812</v>
      </c>
      <c r="C497" s="16" t="s">
        <v>122</v>
      </c>
      <c r="D497" s="17" t="s">
        <v>122</v>
      </c>
      <c r="F497">
        <f t="shared" ca="1" si="28"/>
        <v>70</v>
      </c>
      <c r="G497" t="str">
        <f t="shared" si="29"/>
        <v>TCP/IPアドレス情報表示</v>
      </c>
    </row>
    <row r="498" spans="1:7" ht="11.25" customHeight="1" outlineLevel="1">
      <c r="A498" s="15"/>
      <c r="B498" s="15" t="s">
        <v>1989</v>
      </c>
      <c r="C498" s="16" t="s">
        <v>122</v>
      </c>
      <c r="D498" s="17" t="s">
        <v>122</v>
      </c>
      <c r="F498">
        <f t="shared" ca="1" si="28"/>
        <v>71</v>
      </c>
      <c r="G498" t="str">
        <f t="shared" si="29"/>
        <v>TCP/IPアドレス情報表示(MACアドレス取得)</v>
      </c>
    </row>
    <row r="499" spans="1:7" ht="11.25" customHeight="1" outlineLevel="1">
      <c r="A499" s="15"/>
      <c r="B499" s="15" t="s">
        <v>1992</v>
      </c>
      <c r="C499" s="16" t="s">
        <v>122</v>
      </c>
      <c r="D499" s="17" t="s">
        <v>122</v>
      </c>
      <c r="F499">
        <f t="shared" ca="1" si="28"/>
        <v>72</v>
      </c>
      <c r="G499" t="str">
        <f t="shared" si="29"/>
        <v>TCP/IPアドレス情報表示(IPアドレス取得)</v>
      </c>
    </row>
    <row r="500" spans="1:7" ht="11.25" customHeight="1" outlineLevel="1">
      <c r="A500" s="15"/>
      <c r="B500" s="15" t="s">
        <v>1814</v>
      </c>
      <c r="C500" s="16" t="s">
        <v>122</v>
      </c>
      <c r="D500" s="17" t="s">
        <v>122</v>
      </c>
      <c r="F500">
        <f ca="1">IF(G500="",OFFSET(F500,-1,0),OFFSET(F500,-1,0)+1)</f>
        <v>73</v>
      </c>
      <c r="G500" t="str">
        <f>IF(B500="","",B500)</f>
        <v>パケット送付</v>
      </c>
    </row>
    <row r="501" spans="1:7" ht="11.25" customHeight="1" outlineLevel="1">
      <c r="A501" s="15"/>
      <c r="B501" s="15" t="s">
        <v>1800</v>
      </c>
      <c r="C501" s="16" t="s">
        <v>122</v>
      </c>
      <c r="D501" s="17" t="s">
        <v>122</v>
      </c>
      <c r="F501">
        <f ca="1">IF(G501="",OFFSET(F501,-1,0),OFFSET(F501,-1,0)+1)</f>
        <v>74</v>
      </c>
      <c r="G501" t="str">
        <f>IF(B501="","",B501)</f>
        <v>ネットワーク切断</v>
      </c>
    </row>
    <row r="502" spans="1:7" ht="11.25" customHeight="1" outlineLevel="1">
      <c r="A502" s="15"/>
      <c r="B502" s="15" t="s">
        <v>1802</v>
      </c>
      <c r="C502" s="16" t="s">
        <v>122</v>
      </c>
      <c r="D502" s="17" t="s">
        <v>122</v>
      </c>
      <c r="F502">
        <f ca="1">IF(G502="",OFFSET(F502,-1,0),OFFSET(F502,-1,0)+1)</f>
        <v>75</v>
      </c>
      <c r="G502" t="str">
        <f>IF(B502="","",B502)</f>
        <v>ネットワーク接続</v>
      </c>
    </row>
    <row r="503" spans="1:7" ht="11.25" customHeight="1" outlineLevel="1">
      <c r="A503" s="15"/>
      <c r="B503" s="15" t="s">
        <v>1804</v>
      </c>
      <c r="C503" s="16" t="s">
        <v>122</v>
      </c>
      <c r="D503" s="17" t="s">
        <v>122</v>
      </c>
      <c r="F503">
        <f ca="1">IF(G503="",OFFSET(F503,-1,0),OFFSET(F503,-1,0)+1)</f>
        <v>76</v>
      </c>
      <c r="G503" t="str">
        <f>IF(B503="","",B503)</f>
        <v>ネットワーク状況確認</v>
      </c>
    </row>
    <row r="504" spans="1:7" ht="11.25" customHeight="1">
      <c r="A504" s="12" t="s">
        <v>2002</v>
      </c>
      <c r="B504" s="13"/>
      <c r="C504" s="13" t="s">
        <v>122</v>
      </c>
      <c r="D504" s="14" t="s">
        <v>122</v>
      </c>
      <c r="E504" t="s">
        <v>122</v>
      </c>
      <c r="F504">
        <f t="shared" ref="F504:F514" ca="1" si="30">IF(G504="",OFFSET(F504,-1,0),OFFSET(F504,-1,0)+1)</f>
        <v>76</v>
      </c>
      <c r="G504" t="str">
        <f t="shared" ref="G504:G514" si="31">IF(B504="","",B504)</f>
        <v/>
      </c>
    </row>
    <row r="505" spans="1:7" ht="11.25" customHeight="1" outlineLevel="1">
      <c r="A505" s="15"/>
      <c r="B505" s="15" t="s">
        <v>1360</v>
      </c>
      <c r="C505" s="16" t="s">
        <v>122</v>
      </c>
      <c r="D505" s="17" t="s">
        <v>122</v>
      </c>
      <c r="F505">
        <f t="shared" ca="1" si="30"/>
        <v>77</v>
      </c>
      <c r="G505" t="str">
        <f t="shared" si="31"/>
        <v>コンパイル実行</v>
      </c>
    </row>
    <row r="506" spans="1:7" ht="11.25" customHeight="1" outlineLevel="1">
      <c r="A506" s="15"/>
      <c r="B506" s="15" t="s">
        <v>1362</v>
      </c>
      <c r="C506" s="16" t="s">
        <v>122</v>
      </c>
      <c r="D506" s="17" t="s">
        <v>122</v>
      </c>
      <c r="F506">
        <f t="shared" ca="1" si="30"/>
        <v>78</v>
      </c>
      <c r="G506" t="str">
        <f t="shared" si="31"/>
        <v>コンパイル実行(コンパイル＆アセンブルのみ)</v>
      </c>
    </row>
    <row r="507" spans="1:7" ht="11.25" customHeight="1" outlineLevel="1">
      <c r="A507" s="15"/>
      <c r="B507" s="15" t="s">
        <v>1821</v>
      </c>
      <c r="C507" s="16" t="s">
        <v>122</v>
      </c>
      <c r="D507" s="17" t="s">
        <v>122</v>
      </c>
      <c r="F507">
        <f t="shared" ca="1" si="30"/>
        <v>79</v>
      </c>
      <c r="G507" t="str">
        <f t="shared" si="31"/>
        <v>make(デフォルトターゲット指定)</v>
      </c>
    </row>
    <row r="508" spans="1:7" ht="11.25" customHeight="1" outlineLevel="1">
      <c r="A508" s="15"/>
      <c r="B508" s="15" t="s">
        <v>1823</v>
      </c>
      <c r="C508" s="16" t="s">
        <v>122</v>
      </c>
      <c r="D508" s="17" t="s">
        <v>122</v>
      </c>
      <c r="F508">
        <f t="shared" ca="1" si="30"/>
        <v>80</v>
      </c>
      <c r="G508" t="str">
        <f t="shared" si="31"/>
        <v>make(ターゲット指定)</v>
      </c>
    </row>
    <row r="509" spans="1:7" ht="11.25" customHeight="1" outlineLevel="1">
      <c r="A509" s="15"/>
      <c r="B509" s="15" t="s">
        <v>1825</v>
      </c>
      <c r="C509" s="16" t="s">
        <v>122</v>
      </c>
      <c r="D509" s="17" t="s">
        <v>122</v>
      </c>
      <c r="F509">
        <f t="shared" ca="1" si="30"/>
        <v>81</v>
      </c>
      <c r="G509" t="str">
        <f t="shared" si="31"/>
        <v>make(メイクファイル指定)</v>
      </c>
    </row>
    <row r="510" spans="1:7" ht="11.25" customHeight="1" outlineLevel="1">
      <c r="A510" s="15"/>
      <c r="B510" s="15" t="s">
        <v>1827</v>
      </c>
      <c r="C510" s="16" t="s">
        <v>122</v>
      </c>
      <c r="D510" s="17" t="s">
        <v>122</v>
      </c>
      <c r="F510">
        <f t="shared" ca="1" si="30"/>
        <v>82</v>
      </c>
      <c r="G510" t="str">
        <f t="shared" si="31"/>
        <v>make(標準入力指定)</v>
      </c>
    </row>
    <row r="511" spans="1:7" ht="11.25" customHeight="1" outlineLevel="1">
      <c r="A511" s="15"/>
      <c r="B511" s="15" t="s">
        <v>1829</v>
      </c>
      <c r="C511" s="16" t="s">
        <v>122</v>
      </c>
      <c r="D511" s="17" t="s">
        <v>122</v>
      </c>
      <c r="F511">
        <f t="shared" ca="1" si="30"/>
        <v>83</v>
      </c>
      <c r="G511" t="str">
        <f t="shared" si="31"/>
        <v>make(エラー無視)</v>
      </c>
    </row>
    <row r="512" spans="1:7" ht="11.25" customHeight="1" outlineLevel="1">
      <c r="A512" s="15"/>
      <c r="B512" s="15" t="s">
        <v>1831</v>
      </c>
      <c r="C512" s="16" t="s">
        <v>122</v>
      </c>
      <c r="D512" s="17" t="s">
        <v>122</v>
      </c>
      <c r="F512">
        <f t="shared" ca="1" si="30"/>
        <v>84</v>
      </c>
      <c r="G512" t="str">
        <f t="shared" si="31"/>
        <v>make(コマンド出力のみ)</v>
      </c>
    </row>
    <row r="513" spans="1:7" ht="11.25" customHeight="1" outlineLevel="1">
      <c r="A513" s="15"/>
      <c r="B513" s="18" t="s">
        <v>1860</v>
      </c>
      <c r="C513" s="16" t="s">
        <v>122</v>
      </c>
      <c r="D513" s="17" t="s">
        <v>122</v>
      </c>
      <c r="F513">
        <f t="shared" ca="1" si="30"/>
        <v>85</v>
      </c>
      <c r="G513" t="str">
        <f t="shared" si="31"/>
        <v>シンボル情報表示</v>
      </c>
    </row>
    <row r="514" spans="1:7" ht="11.25" customHeight="1" outlineLevel="1">
      <c r="A514" s="15"/>
      <c r="B514" s="15" t="s">
        <v>1844</v>
      </c>
      <c r="C514" s="16" t="s">
        <v>122</v>
      </c>
      <c r="D514" s="17" t="s">
        <v>122</v>
      </c>
      <c r="F514">
        <f t="shared" ca="1" si="30"/>
        <v>86</v>
      </c>
      <c r="G514" t="str">
        <f t="shared" si="31"/>
        <v>アーカイブファイル作成</v>
      </c>
    </row>
    <row r="515" spans="1:7" ht="11.25" customHeight="1" outlineLevel="1">
      <c r="A515" s="15"/>
      <c r="B515" s="15" t="s">
        <v>1842</v>
      </c>
      <c r="C515" s="16" t="s">
        <v>122</v>
      </c>
      <c r="D515" s="17" t="s">
        <v>122</v>
      </c>
      <c r="F515">
        <f t="shared" ref="F515:F525" ca="1" si="32">IF(G515="",OFFSET(F515,-1,0),OFFSET(F515,-1,0)+1)</f>
        <v>87</v>
      </c>
      <c r="G515" t="str">
        <f t="shared" ref="G515:G525" si="33">IF(B515="","",B515)</f>
        <v>書庫インデックス作成</v>
      </c>
    </row>
    <row r="516" spans="1:7" ht="11.25" customHeight="1" outlineLevel="1">
      <c r="A516" s="15"/>
      <c r="B516" s="15" t="s">
        <v>1845</v>
      </c>
      <c r="C516" s="16" t="s">
        <v>122</v>
      </c>
      <c r="D516" s="17" t="s">
        <v>122</v>
      </c>
      <c r="F516">
        <f t="shared" ca="1" si="32"/>
        <v>88</v>
      </c>
      <c r="G516" t="str">
        <f t="shared" si="33"/>
        <v>ctags</v>
      </c>
    </row>
    <row r="517" spans="1:7" ht="11.25" customHeight="1" outlineLevel="1">
      <c r="A517" s="15"/>
      <c r="B517" s="15" t="s">
        <v>1847</v>
      </c>
      <c r="C517" s="16" t="s">
        <v>122</v>
      </c>
      <c r="D517" s="17" t="s">
        <v>122</v>
      </c>
      <c r="F517">
        <f t="shared" ca="1" si="32"/>
        <v>89</v>
      </c>
      <c r="G517" t="str">
        <f t="shared" si="33"/>
        <v>gtags</v>
      </c>
    </row>
    <row r="518" spans="1:7" ht="11.25" customHeight="1">
      <c r="A518" s="12" t="s">
        <v>1903</v>
      </c>
      <c r="B518" s="13"/>
      <c r="C518" s="13" t="s">
        <v>122</v>
      </c>
      <c r="D518" s="14" t="s">
        <v>122</v>
      </c>
      <c r="E518" t="s">
        <v>122</v>
      </c>
      <c r="F518">
        <f t="shared" ca="1" si="32"/>
        <v>89</v>
      </c>
      <c r="G518" t="str">
        <f t="shared" si="33"/>
        <v/>
      </c>
    </row>
    <row r="519" spans="1:7" ht="11.25" customHeight="1" outlineLevel="1">
      <c r="A519" s="15"/>
      <c r="B519" s="15"/>
      <c r="C519" s="16" t="s">
        <v>122</v>
      </c>
      <c r="D519" s="17" t="s">
        <v>122</v>
      </c>
      <c r="F519">
        <f t="shared" ca="1" si="32"/>
        <v>89</v>
      </c>
      <c r="G519" t="str">
        <f t="shared" si="33"/>
        <v/>
      </c>
    </row>
    <row r="520" spans="1:7" ht="11.25" customHeight="1" outlineLevel="1">
      <c r="A520" s="15"/>
      <c r="B520" s="15"/>
      <c r="C520" s="16" t="s">
        <v>122</v>
      </c>
      <c r="D520" s="17" t="s">
        <v>122</v>
      </c>
      <c r="F520">
        <f t="shared" ca="1" si="32"/>
        <v>89</v>
      </c>
      <c r="G520" t="str">
        <f t="shared" si="33"/>
        <v/>
      </c>
    </row>
    <row r="521" spans="1:7" ht="11.25" customHeight="1" outlineLevel="1">
      <c r="A521" s="15"/>
      <c r="B521" s="15"/>
      <c r="C521" s="16" t="s">
        <v>122</v>
      </c>
      <c r="D521" s="17" t="s">
        <v>122</v>
      </c>
      <c r="F521">
        <f t="shared" ca="1" si="32"/>
        <v>89</v>
      </c>
      <c r="G521" t="str">
        <f t="shared" si="33"/>
        <v/>
      </c>
    </row>
    <row r="522" spans="1:7" ht="11.25" customHeight="1" outlineLevel="1">
      <c r="A522" s="15"/>
      <c r="B522" s="15"/>
      <c r="C522" s="16" t="s">
        <v>122</v>
      </c>
      <c r="D522" s="17" t="s">
        <v>122</v>
      </c>
      <c r="F522">
        <f t="shared" ca="1" si="32"/>
        <v>89</v>
      </c>
      <c r="G522" t="str">
        <f t="shared" si="33"/>
        <v/>
      </c>
    </row>
    <row r="523" spans="1:7" ht="11.25" customHeight="1" outlineLevel="1">
      <c r="A523" s="15"/>
      <c r="B523" s="15"/>
      <c r="C523" s="16" t="s">
        <v>122</v>
      </c>
      <c r="D523" s="17" t="s">
        <v>122</v>
      </c>
      <c r="F523">
        <f t="shared" ca="1" si="32"/>
        <v>89</v>
      </c>
      <c r="G523" t="str">
        <f t="shared" si="33"/>
        <v/>
      </c>
    </row>
    <row r="524" spans="1:7" ht="11.25" customHeight="1" outlineLevel="1">
      <c r="A524" s="15"/>
      <c r="B524" s="15"/>
      <c r="C524" s="16" t="s">
        <v>122</v>
      </c>
      <c r="D524" s="17" t="s">
        <v>122</v>
      </c>
      <c r="F524">
        <f t="shared" ca="1" si="32"/>
        <v>89</v>
      </c>
      <c r="G524" t="str">
        <f t="shared" si="33"/>
        <v/>
      </c>
    </row>
    <row r="525" spans="1:7" ht="11.25" customHeight="1" outlineLevel="1">
      <c r="A525" s="15"/>
      <c r="B525" s="15"/>
      <c r="C525" s="16" t="s">
        <v>122</v>
      </c>
      <c r="D525" s="17" t="s">
        <v>122</v>
      </c>
      <c r="F525">
        <f t="shared" ca="1" si="32"/>
        <v>89</v>
      </c>
      <c r="G525" t="str">
        <f t="shared" si="33"/>
        <v/>
      </c>
    </row>
    <row r="526" spans="1:7" ht="11.25" customHeight="1">
      <c r="A526" t="s">
        <v>393</v>
      </c>
      <c r="B526" t="s">
        <v>393</v>
      </c>
      <c r="C526" t="s">
        <v>393</v>
      </c>
      <c r="D526" t="s">
        <v>393</v>
      </c>
    </row>
  </sheetData>
  <autoFilter ref="A2:G525" xr:uid="{3F2A5354-D680-4166-957E-8AEB84EFCC75}"/>
  <phoneticPr fontId="4"/>
  <hyperlinks>
    <hyperlink ref="B7" r:id="rId1" display="コマンド実行(直近実行コマンド" xr:uid="{055BEF4E-FD57-41F4-8CC1-219C890690C3}"/>
    <hyperlink ref="B8" r:id="rId2" xr:uid="{2AEA69C6-8EB7-47BF-963C-D5271C45A0C9}"/>
    <hyperlink ref="B104" r:id="rId3" xr:uid="{2AA73D43-CB80-4FED-A333-88803B145AA7}"/>
    <hyperlink ref="B105" r:id="rId4" xr:uid="{102DC97D-5B60-40E3-8016-00D5937EB874}"/>
    <hyperlink ref="B106" r:id="rId5" xr:uid="{44B58A2F-8EC8-4E14-A0BD-AD85C76105F2}"/>
    <hyperlink ref="B107" r:id="rId6" xr:uid="{1B12D161-BA5E-41FB-B104-24B43077FD84}"/>
    <hyperlink ref="B108" r:id="rId7" xr:uid="{FAAA77C9-3C0F-4F25-9E0A-CC92F5ED7EEC}"/>
    <hyperlink ref="B109" r:id="rId8" xr:uid="{0099767A-AC83-4E55-A994-08B87C71BF49}"/>
    <hyperlink ref="B110" r:id="rId9" xr:uid="{450F024C-8B55-4A74-9D28-BBF156E5625F}"/>
    <hyperlink ref="B111" r:id="rId10" xr:uid="{207B4CD1-6B95-4A86-986B-213E4DA1515B}"/>
    <hyperlink ref="A100" r:id="rId11" xr:uid="{B72E8FAF-395E-425B-9BA6-D3D73A5975BF}"/>
    <hyperlink ref="A112" r:id="rId12" location="parameterword-%E3%83%87%E3%83%95%E3%82%A9%E3%83%AB%E3%83%88%E5%80%A4%E4%BB%A3%E5%85%A5%E3%81%82%E3%82%8A" xr:uid="{E743204A-A0CC-4589-BD12-7A26680202C9}"/>
    <hyperlink ref="B214" r:id="rId13" xr:uid="{22E950C3-31EC-4107-8B90-B596ACDED814}"/>
    <hyperlink ref="B233" r:id="rId14" xr:uid="{23BE5D51-6549-4451-9E19-8AEA22664EF5}"/>
    <hyperlink ref="B315" r:id="rId15" xr:uid="{F752E7DD-D3D7-471E-B098-20DA4ED01D5D}"/>
    <hyperlink ref="B319" r:id="rId16" xr:uid="{BD6F3993-EFFC-4D3B-B5E6-CFF1C82257A8}"/>
    <hyperlink ref="B346" r:id="rId17" xr:uid="{73E1D588-6C40-4EFC-8C6F-DAEE8198B3DC}"/>
    <hyperlink ref="B348" r:id="rId18" xr:uid="{E4A172E7-EC50-43F6-AE03-9B7EC4130827}"/>
    <hyperlink ref="B473" r:id="rId19" xr:uid="{AE1588CF-73B4-41A0-A0F4-FC3D4BDEBAC0}"/>
    <hyperlink ref="B474" r:id="rId20" xr:uid="{6AA1AD11-E7A4-4308-BDAB-D0F2FBA97C33}"/>
    <hyperlink ref="B354" r:id="rId21" xr:uid="{B4A70BDE-7CB3-4D09-A800-1304B6A751D0}"/>
    <hyperlink ref="B513" r:id="rId22" xr:uid="{C1D1ABBB-1F9E-48C0-ABF3-D39AB7F3FD6E}"/>
    <hyperlink ref="B51" r:id="rId23" xr:uid="{2A377950-C85B-43CD-AB69-429A21BDD14F}"/>
    <hyperlink ref="B72" r:id="rId24" xr:uid="{862A6F85-EBB6-4064-8E6F-774301912F74}"/>
    <hyperlink ref="B83" r:id="rId25" xr:uid="{5BD9DF3E-19B5-41BC-A4F1-0F5896A7B270}"/>
    <hyperlink ref="B228" r:id="rId26" xr:uid="{F9E67F35-4DE7-459B-B9D1-9B12AFF4BD6A}"/>
    <hyperlink ref="B359" r:id="rId27" xr:uid="{4BF0D712-DA38-412B-8A46-9E96CFA63C2E}"/>
    <hyperlink ref="B485" r:id="rId28" xr:uid="{E7869397-D54A-4F66-9E7B-05BB1DDA7BA5}"/>
    <hyperlink ref="B197" r:id="rId29" xr:uid="{F19DC67A-40D7-4744-9B20-31E4EF4A2192}"/>
    <hyperlink ref="B489" r:id="rId30" xr:uid="{7C4D0949-3139-4F47-929A-E01333A30721}"/>
    <hyperlink ref="B490" r:id="rId31" xr:uid="{0C04D95B-4793-4A61-8710-FA10A6112946}"/>
    <hyperlink ref="B89" r:id="rId32" display="ログ出力先指定（標準出力）" xr:uid="{EC275FCD-B3CE-4ECF-9D20-AD2B27CA7CEB}"/>
    <hyperlink ref="B90" r:id="rId33" display="ログ出力先指定（標準エラー出力）" xr:uid="{1F175DEA-062D-4EA1-9738-AB25A35B4329}"/>
    <hyperlink ref="B91" r:id="rId34" display="ログ出力先指定toファイル（標準出力）" xr:uid="{C088E151-C265-475B-9DDA-5139D46885C3}"/>
    <hyperlink ref="B92" r:id="rId35" xr:uid="{B8E98C5C-028A-4621-BECF-186264D9070A}"/>
  </hyperlinks>
  <pageMargins left="0.7" right="0.7" top="0.75" bottom="0.75" header="0.3" footer="0.3"/>
  <pageSetup paperSize="9" scale="38" orientation="portrait" r:id="rId36"/>
  <legacyDrawing r:id="rId37"/>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83455-7E25-4268-8F58-A0AC00CF8842}">
  <sheetPr codeName="Sheet8">
    <outlinePr summaryBelow="0" summaryRight="0"/>
  </sheetPr>
  <dimension ref="A1:G122"/>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64" sqref="C64"/>
    </sheetView>
  </sheetViews>
  <sheetFormatPr defaultColWidth="9.33203125" defaultRowHeight="11.25" customHeight="1" outlineLevelRow="1"/>
  <cols>
    <col min="1" max="1" width="3.83203125" customWidth="1"/>
    <col min="2" max="2" width="51.1640625" bestFit="1" customWidth="1"/>
    <col min="3" max="3" width="100.33203125"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840</v>
      </c>
      <c r="G2" s="11"/>
    </row>
    <row r="3" spans="1:7" ht="11.25" customHeight="1">
      <c r="A3" s="12" t="s">
        <v>572</v>
      </c>
      <c r="B3" s="13"/>
      <c r="C3" s="13"/>
      <c r="D3" s="14" t="s">
        <v>122</v>
      </c>
      <c r="E3" t="s">
        <v>122</v>
      </c>
      <c r="F3">
        <f ca="1">IF(G3="",OFFSET(F3,-1,0),OFFSET(F3,-1,0)+1)</f>
        <v>840</v>
      </c>
      <c r="G3" t="str">
        <f t="shared" ref="G3:G11" si="0">IF(B3="","",B3)</f>
        <v/>
      </c>
    </row>
    <row r="4" spans="1:7" ht="11.25" customHeight="1" outlineLevel="1">
      <c r="A4" s="15"/>
      <c r="B4" s="15" t="s">
        <v>2578</v>
      </c>
      <c r="C4" s="16" t="s">
        <v>2579</v>
      </c>
      <c r="D4" s="17" t="s">
        <v>2747</v>
      </c>
      <c r="F4">
        <f t="shared" ref="F4:F11" ca="1" si="1">IF(G4="",OFFSET(F4,-1,0),OFFSET(F4,-1,0)+1)</f>
        <v>841</v>
      </c>
      <c r="G4" t="str">
        <f t="shared" si="0"/>
        <v>初回プッシュ</v>
      </c>
    </row>
    <row r="5" spans="1:7" ht="11.25" customHeight="1" outlineLevel="1">
      <c r="A5" s="15"/>
      <c r="B5" s="15" t="s">
        <v>2580</v>
      </c>
      <c r="C5" s="16" t="s">
        <v>2581</v>
      </c>
      <c r="D5" s="17" t="s">
        <v>2748</v>
      </c>
      <c r="F5">
        <f t="shared" ca="1" si="1"/>
        <v>842</v>
      </c>
      <c r="G5" t="str">
        <f t="shared" si="0"/>
        <v>初回プル</v>
      </c>
    </row>
    <row r="6" spans="1:7" ht="11.25" customHeight="1" outlineLevel="1">
      <c r="A6" s="15"/>
      <c r="B6" s="15" t="s">
        <v>2567</v>
      </c>
      <c r="C6" s="16" t="s">
        <v>2568</v>
      </c>
      <c r="D6" s="17"/>
      <c r="F6">
        <f t="shared" ca="1" si="1"/>
        <v>843</v>
      </c>
      <c r="G6" t="str">
        <f t="shared" si="0"/>
        <v>ローカルリポジトリ作成</v>
      </c>
    </row>
    <row r="7" spans="1:7" ht="11.25" customHeight="1" outlineLevel="1">
      <c r="A7" s="15"/>
      <c r="B7" s="15" t="s">
        <v>2569</v>
      </c>
      <c r="C7" s="16" t="s">
        <v>2570</v>
      </c>
      <c r="D7" s="17"/>
      <c r="F7">
        <f t="shared" ca="1" si="1"/>
        <v>844</v>
      </c>
      <c r="G7" t="str">
        <f t="shared" si="0"/>
        <v>リモートリポジトリ作成</v>
      </c>
    </row>
    <row r="8" spans="1:7" ht="11.25" customHeight="1" outlineLevel="1">
      <c r="A8" s="15"/>
      <c r="B8" s="15" t="s">
        <v>2571</v>
      </c>
      <c r="C8" s="16" t="s">
        <v>2572</v>
      </c>
      <c r="D8" s="17" t="s">
        <v>2573</v>
      </c>
      <c r="F8">
        <f t="shared" ca="1" si="1"/>
        <v>845</v>
      </c>
      <c r="G8" t="str">
        <f t="shared" si="0"/>
        <v>リモートリポジトリ紐づけ確認</v>
      </c>
    </row>
    <row r="9" spans="1:7" ht="11.25" customHeight="1" outlineLevel="1">
      <c r="A9" s="15"/>
      <c r="B9" s="15" t="s">
        <v>2574</v>
      </c>
      <c r="C9" s="16" t="s">
        <v>2575</v>
      </c>
      <c r="D9" s="17"/>
      <c r="F9">
        <f t="shared" ca="1" si="1"/>
        <v>846</v>
      </c>
      <c r="G9" t="str">
        <f t="shared" si="0"/>
        <v>リモートリポジトリ紐づけ削除</v>
      </c>
    </row>
    <row r="10" spans="1:7" ht="11.25" customHeight="1" outlineLevel="1">
      <c r="A10" s="15"/>
      <c r="B10" s="15" t="s">
        <v>2576</v>
      </c>
      <c r="C10" s="16" t="s">
        <v>2577</v>
      </c>
      <c r="D10" s="17"/>
      <c r="F10">
        <f t="shared" ca="1" si="1"/>
        <v>847</v>
      </c>
      <c r="G10" t="str">
        <f t="shared" si="0"/>
        <v>リモートリポジトリURL表示</v>
      </c>
    </row>
    <row r="11" spans="1:7" ht="11.25" customHeight="1" outlineLevel="1">
      <c r="A11" s="15"/>
      <c r="B11" s="15" t="s">
        <v>2542</v>
      </c>
      <c r="C11" s="16" t="s">
        <v>2543</v>
      </c>
      <c r="D11" s="17"/>
      <c r="F11">
        <f t="shared" ca="1" si="1"/>
        <v>848</v>
      </c>
      <c r="G11" t="str">
        <f t="shared" si="0"/>
        <v>ログ表示</v>
      </c>
    </row>
    <row r="12" spans="1:7" ht="11.25" customHeight="1" outlineLevel="1">
      <c r="A12" s="15"/>
      <c r="B12" s="15" t="s">
        <v>2544</v>
      </c>
      <c r="C12" s="16" t="s">
        <v>2545</v>
      </c>
      <c r="D12" s="17"/>
      <c r="F12">
        <f t="shared" ref="F12:F41" ca="1" si="2">IF(G12="",OFFSET(F12,-1,0),OFFSET(F12,-1,0)+1)</f>
        <v>849</v>
      </c>
      <c r="G12" t="str">
        <f t="shared" ref="G12:G45" si="3">IF(B12="","",B12)</f>
        <v>ログ表示(2件のみ)</v>
      </c>
    </row>
    <row r="13" spans="1:7" ht="11.25" customHeight="1" outlineLevel="1">
      <c r="A13" s="15"/>
      <c r="B13" s="15" t="s">
        <v>2546</v>
      </c>
      <c r="C13" s="16" t="s">
        <v>2547</v>
      </c>
      <c r="D13" s="17"/>
      <c r="F13">
        <f t="shared" ca="1" si="2"/>
        <v>850</v>
      </c>
      <c r="G13" t="str">
        <f t="shared" si="3"/>
        <v>ログ表示(1行表示)</v>
      </c>
    </row>
    <row r="14" spans="1:7" ht="11.25" customHeight="1" outlineLevel="1">
      <c r="A14" s="15"/>
      <c r="B14" s="15" t="s">
        <v>2548</v>
      </c>
      <c r="C14" s="16" t="s">
        <v>2549</v>
      </c>
      <c r="D14" s="17"/>
      <c r="F14">
        <f t="shared" ca="1" si="2"/>
        <v>851</v>
      </c>
      <c r="G14" t="str">
        <f t="shared" si="3"/>
        <v>ログ表示(グラフ表示)</v>
      </c>
    </row>
    <row r="15" spans="1:7" ht="11.25" customHeight="1" outlineLevel="1">
      <c r="A15" s="15"/>
      <c r="B15" s="15" t="s">
        <v>2550</v>
      </c>
      <c r="C15" s="16" t="s">
        <v>2551</v>
      </c>
      <c r="D15" s="17" t="s">
        <v>2609</v>
      </c>
      <c r="F15">
        <f t="shared" ca="1" si="2"/>
        <v>852</v>
      </c>
      <c r="G15" t="str">
        <f t="shared" si="3"/>
        <v>ログ表示(書式指定表示)</v>
      </c>
    </row>
    <row r="16" spans="1:7" ht="11.25" customHeight="1" outlineLevel="1">
      <c r="A16" s="15"/>
      <c r="B16" s="15" t="s">
        <v>2552</v>
      </c>
      <c r="C16" s="16" t="s">
        <v>2553</v>
      </c>
      <c r="D16" s="17"/>
      <c r="F16">
        <f t="shared" ca="1" si="2"/>
        <v>853</v>
      </c>
      <c r="G16" t="str">
        <f t="shared" si="3"/>
        <v>ログ表示(内容詳細)</v>
      </c>
    </row>
    <row r="17" spans="1:7" ht="11.25" customHeight="1" outlineLevel="1">
      <c r="A17" s="15"/>
      <c r="B17" s="15" t="s">
        <v>2554</v>
      </c>
      <c r="C17" s="16" t="s">
        <v>2555</v>
      </c>
      <c r="D17" s="17"/>
      <c r="F17">
        <f t="shared" ca="1" si="2"/>
        <v>854</v>
      </c>
      <c r="G17" t="str">
        <f t="shared" si="3"/>
        <v>変更状態確認</v>
      </c>
    </row>
    <row r="18" spans="1:7" ht="11.25" customHeight="1" outlineLevel="1">
      <c r="A18" s="15"/>
      <c r="B18" s="15" t="s">
        <v>2556</v>
      </c>
      <c r="C18" s="16" t="s">
        <v>2999</v>
      </c>
      <c r="D18" s="17"/>
      <c r="F18">
        <f t="shared" ca="1" si="2"/>
        <v>855</v>
      </c>
      <c r="G18" t="str">
        <f t="shared" si="3"/>
        <v>クローン</v>
      </c>
    </row>
    <row r="19" spans="1:7" ht="11.25" customHeight="1" outlineLevel="1">
      <c r="A19" s="15"/>
      <c r="B19" s="15" t="s">
        <v>2998</v>
      </c>
      <c r="C19" s="16" t="s">
        <v>3000</v>
      </c>
      <c r="D19" s="17"/>
      <c r="F19">
        <f t="shared" ca="1" si="2"/>
        <v>856</v>
      </c>
      <c r="G19" t="str">
        <f>IF(B19="","",B19)</f>
        <v>クローン（ブランチ指定）</v>
      </c>
    </row>
    <row r="20" spans="1:7" ht="11.25" customHeight="1" outlineLevel="1">
      <c r="A20" s="15"/>
      <c r="B20" s="15" t="s">
        <v>3014</v>
      </c>
      <c r="C20" s="16" t="s">
        <v>3015</v>
      </c>
      <c r="D20" s="17"/>
      <c r="F20">
        <f t="shared" ref="F20" ca="1" si="4">IF(G20="",OFFSET(F20,-1,0),OFFSET(F20,-1,0)+1)</f>
        <v>857</v>
      </c>
      <c r="G20" t="str">
        <f t="shared" ref="G20" si="5">IF(B20="","",B20)</f>
        <v>クローン（サブモジュールを含む）</v>
      </c>
    </row>
    <row r="21" spans="1:7" ht="11.25" customHeight="1" outlineLevel="1">
      <c r="A21" s="15"/>
      <c r="B21" s="15" t="s">
        <v>2557</v>
      </c>
      <c r="C21" s="16" t="s">
        <v>2558</v>
      </c>
      <c r="D21" s="17"/>
      <c r="F21">
        <f t="shared" ca="1" si="2"/>
        <v>858</v>
      </c>
      <c r="G21" t="str">
        <f t="shared" si="3"/>
        <v>プッシュ</v>
      </c>
    </row>
    <row r="22" spans="1:7" ht="11.25" customHeight="1" outlineLevel="1">
      <c r="A22" s="15"/>
      <c r="B22" s="15" t="s">
        <v>2559</v>
      </c>
      <c r="C22" s="16" t="s">
        <v>2560</v>
      </c>
      <c r="D22" s="17"/>
      <c r="F22">
        <f t="shared" ca="1" si="2"/>
        <v>859</v>
      </c>
      <c r="G22" t="str">
        <f t="shared" si="3"/>
        <v>プル</v>
      </c>
    </row>
    <row r="23" spans="1:7" ht="11.25" customHeight="1" outlineLevel="1">
      <c r="A23" s="15"/>
      <c r="B23" s="15" t="s">
        <v>2561</v>
      </c>
      <c r="C23" s="16" t="s">
        <v>2562</v>
      </c>
      <c r="D23" s="17" t="s">
        <v>2563</v>
      </c>
      <c r="F23">
        <f t="shared" ca="1" si="2"/>
        <v>860</v>
      </c>
      <c r="G23" t="str">
        <f t="shared" si="3"/>
        <v>フェッチ(取得)</v>
      </c>
    </row>
    <row r="24" spans="1:7" ht="11.25" customHeight="1" outlineLevel="1">
      <c r="A24" s="15"/>
      <c r="B24" s="15" t="s">
        <v>2564</v>
      </c>
      <c r="C24" s="16" t="s">
        <v>2565</v>
      </c>
      <c r="D24" s="17" t="s">
        <v>2566</v>
      </c>
      <c r="F24">
        <f t="shared" ca="1" si="2"/>
        <v>861</v>
      </c>
      <c r="G24" t="str">
        <f t="shared" si="3"/>
        <v>フェッチ後のマージ</v>
      </c>
    </row>
    <row r="25" spans="1:7" ht="11.25" customHeight="1" outlineLevel="1">
      <c r="A25" s="15"/>
      <c r="B25" s="15" t="s">
        <v>2582</v>
      </c>
      <c r="C25" s="16" t="s">
        <v>2583</v>
      </c>
      <c r="D25" s="17"/>
      <c r="F25">
        <f t="shared" ca="1" si="2"/>
        <v>862</v>
      </c>
      <c r="G25" t="str">
        <f t="shared" si="3"/>
        <v>ブランチ作成</v>
      </c>
    </row>
    <row r="26" spans="1:7" ht="11.25" customHeight="1" outlineLevel="1">
      <c r="A26" s="15"/>
      <c r="B26" s="15" t="s">
        <v>2584</v>
      </c>
      <c r="C26" s="16" t="s">
        <v>2585</v>
      </c>
      <c r="D26" s="17"/>
      <c r="F26">
        <f t="shared" ca="1" si="2"/>
        <v>863</v>
      </c>
      <c r="G26" t="str">
        <f t="shared" si="3"/>
        <v>ブランチ切替</v>
      </c>
    </row>
    <row r="27" spans="1:7" ht="11.25" customHeight="1" outlineLevel="1">
      <c r="A27" s="15"/>
      <c r="B27" s="15" t="s">
        <v>2586</v>
      </c>
      <c r="C27" s="16" t="s">
        <v>2587</v>
      </c>
      <c r="D27" s="17"/>
      <c r="F27">
        <f t="shared" ca="1" si="2"/>
        <v>864</v>
      </c>
      <c r="G27" t="str">
        <f t="shared" si="3"/>
        <v>ブランチ一覧表示(ローカル)</v>
      </c>
    </row>
    <row r="28" spans="1:7" ht="11.25" customHeight="1" outlineLevel="1">
      <c r="A28" s="15"/>
      <c r="B28" s="15" t="s">
        <v>2588</v>
      </c>
      <c r="C28" s="16" t="s">
        <v>2848</v>
      </c>
      <c r="D28" s="17"/>
      <c r="F28">
        <f t="shared" ca="1" si="2"/>
        <v>865</v>
      </c>
      <c r="G28" t="str">
        <f t="shared" si="3"/>
        <v>ブランチ一覧表示(リモート)</v>
      </c>
    </row>
    <row r="29" spans="1:7" ht="11.25" customHeight="1" outlineLevel="1">
      <c r="A29" s="15"/>
      <c r="B29" s="15" t="s">
        <v>2589</v>
      </c>
      <c r="C29" s="16" t="s">
        <v>2590</v>
      </c>
      <c r="D29" s="17"/>
      <c r="F29">
        <f t="shared" ca="1" si="2"/>
        <v>866</v>
      </c>
      <c r="G29" t="str">
        <f t="shared" si="3"/>
        <v>ブランチ一覧表示(ローカル＆リモート)</v>
      </c>
    </row>
    <row r="30" spans="1:7" ht="11.25" customHeight="1" outlineLevel="1">
      <c r="A30" s="15"/>
      <c r="B30" s="15" t="s">
        <v>2591</v>
      </c>
      <c r="C30" s="16" t="s">
        <v>2592</v>
      </c>
      <c r="D30" s="17" t="s">
        <v>2939</v>
      </c>
      <c r="F30">
        <f t="shared" ca="1" si="2"/>
        <v>867</v>
      </c>
      <c r="G30" t="str">
        <f t="shared" si="3"/>
        <v>ブランチ削除(ローカル)</v>
      </c>
    </row>
    <row r="31" spans="1:7" ht="11.25" customHeight="1" outlineLevel="1">
      <c r="A31" s="15"/>
      <c r="B31" s="15" t="s">
        <v>2593</v>
      </c>
      <c r="C31" s="16" t="s">
        <v>2997</v>
      </c>
      <c r="D31" s="17" t="s">
        <v>2940</v>
      </c>
      <c r="F31">
        <f t="shared" ca="1" si="2"/>
        <v>868</v>
      </c>
      <c r="G31" t="str">
        <f t="shared" si="3"/>
        <v>ブランチ削除(リモート)</v>
      </c>
    </row>
    <row r="32" spans="1:7" ht="11.25" customHeight="1" outlineLevel="1">
      <c r="A32" s="15"/>
      <c r="B32" s="15" t="s">
        <v>2594</v>
      </c>
      <c r="C32" s="16" t="s">
        <v>2921</v>
      </c>
      <c r="D32" s="17"/>
      <c r="F32">
        <f t="shared" ca="1" si="2"/>
        <v>869</v>
      </c>
      <c r="G32" t="str">
        <f t="shared" si="3"/>
        <v>ブランチ名変更(現在ブランチ)</v>
      </c>
    </row>
    <row r="33" spans="1:7" ht="11.25" customHeight="1" outlineLevel="1">
      <c r="A33" s="15"/>
      <c r="B33" s="15" t="s">
        <v>2595</v>
      </c>
      <c r="C33" s="16" t="s">
        <v>2596</v>
      </c>
      <c r="D33" s="17"/>
      <c r="F33">
        <f t="shared" ca="1" si="2"/>
        <v>870</v>
      </c>
      <c r="G33" t="str">
        <f t="shared" si="3"/>
        <v>ブランチ名変更(ブランチ指定)</v>
      </c>
    </row>
    <row r="34" spans="1:7" ht="11.25" customHeight="1" outlineLevel="1">
      <c r="A34" s="15"/>
      <c r="B34" s="15" t="s">
        <v>2597</v>
      </c>
      <c r="C34" s="16" t="s">
        <v>2598</v>
      </c>
      <c r="D34" s="17"/>
      <c r="F34">
        <f t="shared" ca="1" si="2"/>
        <v>871</v>
      </c>
      <c r="G34" t="str">
        <f t="shared" si="3"/>
        <v>コミット(追加)</v>
      </c>
    </row>
    <row r="35" spans="1:7" ht="11.25" customHeight="1" outlineLevel="1">
      <c r="A35" s="15"/>
      <c r="B35" s="15" t="s">
        <v>2599</v>
      </c>
      <c r="C35" s="16" t="s">
        <v>2600</v>
      </c>
      <c r="D35" s="17"/>
      <c r="F35">
        <f t="shared" ca="1" si="2"/>
        <v>872</v>
      </c>
      <c r="G35" t="str">
        <f t="shared" si="3"/>
        <v>コミット(追加)(メッセージ改行あり)</v>
      </c>
    </row>
    <row r="36" spans="1:7" ht="11.25" customHeight="1" outlineLevel="1">
      <c r="A36" s="15"/>
      <c r="B36" s="15" t="s">
        <v>2601</v>
      </c>
      <c r="C36" s="16" t="s">
        <v>2602</v>
      </c>
      <c r="D36" s="17" t="s">
        <v>2941</v>
      </c>
      <c r="F36">
        <f t="shared" ca="1" si="2"/>
        <v>873</v>
      </c>
      <c r="G36" t="str">
        <f t="shared" si="3"/>
        <v>コミット(上書き)</v>
      </c>
    </row>
    <row r="37" spans="1:7" ht="11.25" customHeight="1" outlineLevel="1">
      <c r="A37" s="15"/>
      <c r="B37" s="15" t="s">
        <v>2603</v>
      </c>
      <c r="C37" s="16" t="s">
        <v>2604</v>
      </c>
      <c r="D37" s="17" t="s">
        <v>2605</v>
      </c>
      <c r="F37">
        <f t="shared" ca="1" si="2"/>
        <v>874</v>
      </c>
      <c r="G37" t="str">
        <f t="shared" si="3"/>
        <v>コミット(内容追加)</v>
      </c>
    </row>
    <row r="38" spans="1:7" ht="11.25" customHeight="1" outlineLevel="1">
      <c r="A38" s="15"/>
      <c r="B38" s="15" t="s">
        <v>2606</v>
      </c>
      <c r="C38" s="16" t="s">
        <v>3003</v>
      </c>
      <c r="D38" s="17"/>
      <c r="F38">
        <f t="shared" ca="1" si="2"/>
        <v>875</v>
      </c>
      <c r="G38" t="str">
        <f t="shared" si="3"/>
        <v>コミット(コメント修正)</v>
      </c>
    </row>
    <row r="39" spans="1:7" ht="11.25" customHeight="1" outlineLevel="1">
      <c r="A39" s="15"/>
      <c r="B39" s="15" t="s">
        <v>2607</v>
      </c>
      <c r="C39" s="16" t="s">
        <v>2608</v>
      </c>
      <c r="D39" s="17"/>
      <c r="F39">
        <f t="shared" ca="1" si="2"/>
        <v>876</v>
      </c>
      <c r="G39" t="str">
        <f t="shared" si="3"/>
        <v>ステージング＆コミット(追加)</v>
      </c>
    </row>
    <row r="40" spans="1:7" ht="11.25" customHeight="1" outlineLevel="1">
      <c r="A40" s="15"/>
      <c r="B40" s="15" t="s">
        <v>2610</v>
      </c>
      <c r="C40" s="16" t="s">
        <v>2611</v>
      </c>
      <c r="D40" s="17"/>
      <c r="F40">
        <f t="shared" ca="1" si="2"/>
        <v>877</v>
      </c>
      <c r="G40" t="str">
        <f t="shared" si="3"/>
        <v>ファイル名変更</v>
      </c>
    </row>
    <row r="41" spans="1:7" ht="11.25" customHeight="1" outlineLevel="1">
      <c r="A41" s="15"/>
      <c r="B41" s="15" t="s">
        <v>2612</v>
      </c>
      <c r="C41" s="16" t="s">
        <v>2613</v>
      </c>
      <c r="D41" s="17"/>
      <c r="F41">
        <f t="shared" ca="1" si="2"/>
        <v>878</v>
      </c>
      <c r="G41" t="str">
        <f t="shared" si="3"/>
        <v>インデックス追加(ファイル)</v>
      </c>
    </row>
    <row r="42" spans="1:7" ht="11.25" customHeight="1" outlineLevel="1">
      <c r="A42" s="15"/>
      <c r="B42" s="15" t="s">
        <v>2614</v>
      </c>
      <c r="C42" s="16" t="s">
        <v>2615</v>
      </c>
      <c r="D42" s="17" t="s">
        <v>2616</v>
      </c>
      <c r="F42">
        <f t="shared" ref="F42:F108" ca="1" si="6">IF(G42="",OFFSET(F42,-1,0),OFFSET(F42,-1,0)+1)</f>
        <v>879</v>
      </c>
      <c r="G42" t="str">
        <f t="shared" si="3"/>
        <v>インデックス追加(全て)</v>
      </c>
    </row>
    <row r="43" spans="1:7" ht="11.25" customHeight="1" outlineLevel="1">
      <c r="A43" s="15"/>
      <c r="B43" s="15" t="s">
        <v>2614</v>
      </c>
      <c r="C43" s="16" t="s">
        <v>2617</v>
      </c>
      <c r="D43" s="17" t="s">
        <v>2618</v>
      </c>
      <c r="F43">
        <f t="shared" ca="1" si="6"/>
        <v>880</v>
      </c>
      <c r="G43" t="str">
        <f t="shared" si="3"/>
        <v>インデックス追加(全て)</v>
      </c>
    </row>
    <row r="44" spans="1:7" ht="11.25" customHeight="1" outlineLevel="1">
      <c r="A44" s="15"/>
      <c r="B44" s="15" t="s">
        <v>2614</v>
      </c>
      <c r="C44" s="16" t="s">
        <v>2619</v>
      </c>
      <c r="D44" s="17"/>
      <c r="F44">
        <f t="shared" ca="1" si="6"/>
        <v>881</v>
      </c>
      <c r="G44" t="str">
        <f t="shared" si="3"/>
        <v>インデックス追加(全て)</v>
      </c>
    </row>
    <row r="45" spans="1:7" ht="11.25" customHeight="1" outlineLevel="1">
      <c r="A45" s="15"/>
      <c r="B45" s="15" t="s">
        <v>2620</v>
      </c>
      <c r="C45" s="16" t="s">
        <v>2621</v>
      </c>
      <c r="D45" s="17"/>
      <c r="F45">
        <f t="shared" ca="1" si="6"/>
        <v>882</v>
      </c>
      <c r="G45" t="str">
        <f t="shared" si="3"/>
        <v>インデックス削除(ファイル)</v>
      </c>
    </row>
    <row r="46" spans="1:7" ht="11.25" customHeight="1" outlineLevel="1">
      <c r="A46" s="15"/>
      <c r="B46" s="15" t="s">
        <v>2622</v>
      </c>
      <c r="C46" s="16" t="s">
        <v>2611</v>
      </c>
      <c r="D46" s="17"/>
      <c r="F46">
        <f t="shared" ca="1" si="6"/>
        <v>883</v>
      </c>
      <c r="G46" t="str">
        <f t="shared" ref="G46:G78" si="7">IF(B46="","",B46)</f>
        <v>インデックスリネーム</v>
      </c>
    </row>
    <row r="47" spans="1:7" ht="11.25" customHeight="1" outlineLevel="1">
      <c r="A47" s="15"/>
      <c r="B47" s="15" t="s">
        <v>2623</v>
      </c>
      <c r="C47" s="16" t="s">
        <v>2624</v>
      </c>
      <c r="D47" s="17"/>
      <c r="F47">
        <f t="shared" ca="1" si="6"/>
        <v>884</v>
      </c>
      <c r="G47" t="str">
        <f t="shared" si="7"/>
        <v>作業ツリー巻戻し</v>
      </c>
    </row>
    <row r="48" spans="1:7" ht="11.25" customHeight="1" outlineLevel="1">
      <c r="A48" s="15"/>
      <c r="B48" s="15" t="s">
        <v>2625</v>
      </c>
      <c r="C48" s="16" t="s">
        <v>2626</v>
      </c>
      <c r="D48" s="17"/>
      <c r="F48">
        <f t="shared" ca="1" si="6"/>
        <v>885</v>
      </c>
      <c r="G48" t="str">
        <f t="shared" si="7"/>
        <v>作業ツリー巻戻し(ファイル)</v>
      </c>
    </row>
    <row r="49" spans="1:7" ht="11.25" customHeight="1" outlineLevel="1">
      <c r="A49" s="15"/>
      <c r="B49" s="15" t="s">
        <v>2627</v>
      </c>
      <c r="C49" s="16" t="s">
        <v>2628</v>
      </c>
      <c r="D49" s="17" t="s">
        <v>2629</v>
      </c>
      <c r="F49">
        <f t="shared" ca="1" si="6"/>
        <v>886</v>
      </c>
      <c r="G49" t="str">
        <f t="shared" si="7"/>
        <v>作業ツリー巻戻し(全て)</v>
      </c>
    </row>
    <row r="50" spans="1:7" ht="11.25" customHeight="1" outlineLevel="1">
      <c r="A50" s="15"/>
      <c r="B50" s="15" t="s">
        <v>2630</v>
      </c>
      <c r="C50" s="16" t="s">
        <v>2631</v>
      </c>
      <c r="D50" s="17" t="s">
        <v>2632</v>
      </c>
      <c r="F50">
        <f t="shared" ca="1" si="6"/>
        <v>887</v>
      </c>
      <c r="G50" t="str">
        <f t="shared" si="7"/>
        <v>追跡対象外ファイル削除</v>
      </c>
    </row>
    <row r="51" spans="1:7" ht="11.25" customHeight="1" outlineLevel="1">
      <c r="A51" s="15"/>
      <c r="B51" s="15" t="s">
        <v>2633</v>
      </c>
      <c r="C51" s="16" t="s">
        <v>2769</v>
      </c>
      <c r="D51" s="17"/>
      <c r="F51">
        <f t="shared" ca="1" si="6"/>
        <v>888</v>
      </c>
      <c r="G51" t="str">
        <f t="shared" si="7"/>
        <v>特定コミット時点のファイル閲覧</v>
      </c>
    </row>
    <row r="52" spans="1:7" ht="11.25" customHeight="1" outlineLevel="1">
      <c r="A52" s="15"/>
      <c r="B52" s="15" t="s">
        <v>3008</v>
      </c>
      <c r="C52" s="16" t="s">
        <v>3007</v>
      </c>
      <c r="D52" s="17"/>
      <c r="F52">
        <f t="shared" ref="F52" ca="1" si="8">IF(G52="",OFFSET(F52,-1,0),OFFSET(F52,-1,0)+1)</f>
        <v>889</v>
      </c>
      <c r="G52" t="str">
        <f t="shared" ref="G52" si="9">IF(B52="","",B52)</f>
        <v>管理対象ファイル一覧出力</v>
      </c>
    </row>
    <row r="53" spans="1:7" ht="11.25" customHeight="1">
      <c r="A53" s="12" t="s">
        <v>2726</v>
      </c>
      <c r="B53" s="13"/>
      <c r="C53" s="13"/>
      <c r="D53" s="14"/>
      <c r="F53">
        <f t="shared" ca="1" si="6"/>
        <v>889</v>
      </c>
      <c r="G53" t="str">
        <f t="shared" si="7"/>
        <v/>
      </c>
    </row>
    <row r="54" spans="1:7" ht="11.25" customHeight="1" outlineLevel="1">
      <c r="A54" s="15"/>
      <c r="B54" s="15" t="s">
        <v>2634</v>
      </c>
      <c r="C54" s="16" t="s">
        <v>2635</v>
      </c>
      <c r="D54" s="16" t="s">
        <v>2636</v>
      </c>
      <c r="F54">
        <f t="shared" ca="1" si="6"/>
        <v>890</v>
      </c>
      <c r="G54" t="str">
        <f t="shared" si="7"/>
        <v>行範囲指定1</v>
      </c>
    </row>
    <row r="55" spans="1:7" ht="11.25" customHeight="1" outlineLevel="1">
      <c r="A55" s="15"/>
      <c r="B55" s="15" t="s">
        <v>2637</v>
      </c>
      <c r="C55" s="16" t="s">
        <v>2638</v>
      </c>
      <c r="D55" s="16" t="s">
        <v>2639</v>
      </c>
      <c r="F55">
        <f t="shared" ca="1" si="6"/>
        <v>891</v>
      </c>
      <c r="G55" t="str">
        <f t="shared" si="7"/>
        <v>行範囲指定2</v>
      </c>
    </row>
    <row r="56" spans="1:7" ht="11.25" customHeight="1" outlineLevel="1">
      <c r="A56" s="15"/>
      <c r="B56" s="15" t="s">
        <v>2640</v>
      </c>
      <c r="C56" s="16" t="s">
        <v>2641</v>
      </c>
      <c r="D56" s="16" t="s">
        <v>2642</v>
      </c>
      <c r="F56">
        <f t="shared" ca="1" si="6"/>
        <v>892</v>
      </c>
      <c r="G56" t="str">
        <f t="shared" si="7"/>
        <v>正規表現指定1</v>
      </c>
    </row>
    <row r="57" spans="1:7" ht="11.25" customHeight="1" outlineLevel="1">
      <c r="A57" s="15"/>
      <c r="B57" s="15" t="s">
        <v>2643</v>
      </c>
      <c r="C57" s="16" t="s">
        <v>2644</v>
      </c>
      <c r="D57" s="16" t="s">
        <v>2645</v>
      </c>
      <c r="F57">
        <f t="shared" ca="1" si="6"/>
        <v>893</v>
      </c>
      <c r="G57" t="str">
        <f t="shared" si="7"/>
        <v>正規表現指定2</v>
      </c>
    </row>
    <row r="58" spans="1:7" ht="11.25" customHeight="1" outlineLevel="1">
      <c r="A58" s="15"/>
      <c r="B58" s="15" t="s">
        <v>2646</v>
      </c>
      <c r="C58" s="16" t="s">
        <v>2647</v>
      </c>
      <c r="D58" s="16" t="s">
        <v>2648</v>
      </c>
      <c r="F58">
        <f t="shared" ca="1" si="6"/>
        <v>894</v>
      </c>
      <c r="G58" t="str">
        <f t="shared" si="7"/>
        <v>正規表現指定3</v>
      </c>
    </row>
    <row r="59" spans="1:7" ht="11.25" customHeight="1">
      <c r="A59" s="21" t="s">
        <v>2730</v>
      </c>
      <c r="B59" s="13"/>
      <c r="C59" s="13"/>
      <c r="D59" s="14"/>
      <c r="F59">
        <f t="shared" ca="1" si="6"/>
        <v>894</v>
      </c>
      <c r="G59" t="str">
        <f t="shared" si="7"/>
        <v/>
      </c>
    </row>
    <row r="60" spans="1:7" ht="11.25" customHeight="1" outlineLevel="1">
      <c r="A60" s="15"/>
      <c r="B60" s="15" t="s">
        <v>2649</v>
      </c>
      <c r="C60" s="16" t="s">
        <v>2626</v>
      </c>
      <c r="D60" s="17"/>
      <c r="F60">
        <f t="shared" ca="1" si="6"/>
        <v>895</v>
      </c>
      <c r="G60" t="str">
        <f t="shared" si="7"/>
        <v>変更取消し 作業ツリーのみ</v>
      </c>
    </row>
    <row r="61" spans="1:7" ht="11.25" customHeight="1" outlineLevel="1">
      <c r="A61" s="15"/>
      <c r="B61" s="15" t="s">
        <v>2650</v>
      </c>
      <c r="C61" s="16" t="s">
        <v>3002</v>
      </c>
      <c r="D61" s="17" t="s">
        <v>2651</v>
      </c>
      <c r="F61">
        <f t="shared" ca="1" si="6"/>
        <v>896</v>
      </c>
      <c r="G61" t="str">
        <f t="shared" si="7"/>
        <v>変更取消し インデックスのみ</v>
      </c>
    </row>
    <row r="62" spans="1:7" ht="11.25" customHeight="1" outlineLevel="1">
      <c r="A62" s="15"/>
      <c r="B62" s="15" t="s">
        <v>2652</v>
      </c>
      <c r="C62" s="16" t="s">
        <v>2653</v>
      </c>
      <c r="D62" s="17" t="s">
        <v>2654</v>
      </c>
      <c r="F62">
        <f t="shared" ca="1" si="6"/>
        <v>897</v>
      </c>
      <c r="G62" t="str">
        <f t="shared" si="7"/>
        <v>変更取消し コミット後1</v>
      </c>
    </row>
    <row r="63" spans="1:7" ht="11.25" customHeight="1" outlineLevel="1">
      <c r="A63" s="15"/>
      <c r="B63" s="15" t="s">
        <v>2655</v>
      </c>
      <c r="C63" s="16" t="s">
        <v>2656</v>
      </c>
      <c r="D63" s="17" t="s">
        <v>2657</v>
      </c>
      <c r="F63">
        <f t="shared" ca="1" si="6"/>
        <v>898</v>
      </c>
      <c r="G63" t="str">
        <f t="shared" si="7"/>
        <v>変更取消し コミット後2</v>
      </c>
    </row>
    <row r="64" spans="1:7" ht="11.25" customHeight="1" outlineLevel="1">
      <c r="A64" s="15"/>
      <c r="B64" s="15" t="s">
        <v>2658</v>
      </c>
      <c r="C64" s="16" t="s">
        <v>2659</v>
      </c>
      <c r="D64" s="17"/>
      <c r="F64">
        <f t="shared" ca="1" si="6"/>
        <v>899</v>
      </c>
      <c r="G64" t="str">
        <f t="shared" si="7"/>
        <v>変更取消し プッシュ後1</v>
      </c>
    </row>
    <row r="65" spans="1:7" ht="11.25" customHeight="1" outlineLevel="1">
      <c r="A65" s="15"/>
      <c r="B65" s="15" t="s">
        <v>2660</v>
      </c>
      <c r="C65" s="16" t="s">
        <v>2661</v>
      </c>
      <c r="D65" s="17" t="s">
        <v>2662</v>
      </c>
      <c r="F65">
        <f t="shared" ca="1" si="6"/>
        <v>900</v>
      </c>
      <c r="G65" t="str">
        <f t="shared" si="7"/>
        <v>変更取消し プッシュ後2</v>
      </c>
    </row>
    <row r="66" spans="1:7" ht="11.25" customHeight="1" outlineLevel="1">
      <c r="A66" s="15"/>
      <c r="B66" s="15" t="s">
        <v>2663</v>
      </c>
      <c r="C66" s="16" t="s">
        <v>2664</v>
      </c>
      <c r="D66" s="17"/>
      <c r="F66">
        <f t="shared" ca="1" si="6"/>
        <v>901</v>
      </c>
      <c r="G66" t="str">
        <f t="shared" si="7"/>
        <v>直前reset取消し</v>
      </c>
    </row>
    <row r="67" spans="1:7" ht="11.25" customHeight="1" outlineLevel="1">
      <c r="A67" s="15"/>
      <c r="B67" s="15" t="s">
        <v>2665</v>
      </c>
      <c r="C67" s="16" t="s">
        <v>2666</v>
      </c>
      <c r="D67" s="17"/>
      <c r="F67">
        <f t="shared" ca="1" si="6"/>
        <v>902</v>
      </c>
      <c r="G67" t="str">
        <f t="shared" si="7"/>
        <v>全変更取消し インデックス変更後</v>
      </c>
    </row>
    <row r="68" spans="1:7" ht="11.25" customHeight="1" outlineLevel="1">
      <c r="A68" s="15"/>
      <c r="B68" s="15" t="s">
        <v>2667</v>
      </c>
      <c r="C68" s="16" t="s">
        <v>2668</v>
      </c>
      <c r="D68" s="17"/>
      <c r="F68">
        <f t="shared" ca="1" si="6"/>
        <v>903</v>
      </c>
      <c r="G68" t="str">
        <f t="shared" si="7"/>
        <v>ファイル変更削除</v>
      </c>
    </row>
    <row r="69" spans="1:7" ht="11.25" customHeight="1" outlineLevel="1">
      <c r="A69" s="15"/>
      <c r="B69" s="15" t="s">
        <v>2669</v>
      </c>
      <c r="C69" s="16" t="s">
        <v>2670</v>
      </c>
      <c r="D69" s="17"/>
      <c r="F69">
        <f t="shared" ca="1" si="6"/>
        <v>904</v>
      </c>
      <c r="G69" t="str">
        <f t="shared" si="7"/>
        <v>アンドゥ(reflog) 対象確認</v>
      </c>
    </row>
    <row r="70" spans="1:7" ht="11.25" customHeight="1" outlineLevel="1">
      <c r="A70" s="15"/>
      <c r="B70" s="15" t="s">
        <v>2671</v>
      </c>
      <c r="C70" s="16" t="s">
        <v>3001</v>
      </c>
      <c r="D70" s="17" t="s">
        <v>2672</v>
      </c>
      <c r="F70">
        <f t="shared" ca="1" si="6"/>
        <v>905</v>
      </c>
      <c r="G70" t="str">
        <f t="shared" si="7"/>
        <v>アンドゥ(reflog) 実行</v>
      </c>
    </row>
    <row r="71" spans="1:7" ht="11.25" customHeight="1" outlineLevel="1">
      <c r="A71" s="15"/>
      <c r="B71" s="62" t="s">
        <v>2731</v>
      </c>
      <c r="C71" s="16"/>
      <c r="D71" s="17"/>
      <c r="F71">
        <f t="shared" ca="1" si="6"/>
        <v>906</v>
      </c>
      <c r="G71" t="str">
        <f t="shared" si="7"/>
        <v>★</v>
      </c>
    </row>
    <row r="72" spans="1:7" ht="11.25" customHeight="1">
      <c r="A72" s="12" t="s">
        <v>2729</v>
      </c>
      <c r="B72" s="13"/>
      <c r="C72" s="13"/>
      <c r="D72" s="14"/>
      <c r="F72">
        <f t="shared" ca="1" si="6"/>
        <v>906</v>
      </c>
      <c r="G72" t="str">
        <f t="shared" si="7"/>
        <v/>
      </c>
    </row>
    <row r="73" spans="1:7" ht="11.25" customHeight="1" outlineLevel="1">
      <c r="A73" s="15"/>
      <c r="B73" s="15" t="s">
        <v>2673</v>
      </c>
      <c r="C73" s="16" t="s">
        <v>2674</v>
      </c>
      <c r="D73" s="17"/>
      <c r="F73">
        <f t="shared" ca="1" si="6"/>
        <v>907</v>
      </c>
      <c r="G73" t="str">
        <f t="shared" si="7"/>
        <v>変更差分表示 Work⇔Idx間</v>
      </c>
    </row>
    <row r="74" spans="1:7" ht="11.25" customHeight="1" outlineLevel="1">
      <c r="A74" s="15"/>
      <c r="B74" s="15" t="s">
        <v>2675</v>
      </c>
      <c r="C74" s="16" t="s">
        <v>2676</v>
      </c>
      <c r="D74" s="17"/>
      <c r="F74">
        <f t="shared" ca="1" si="6"/>
        <v>908</v>
      </c>
      <c r="G74" t="str">
        <f t="shared" si="7"/>
        <v>変更差分表示 Work⇔Idx間(ファイル名)</v>
      </c>
    </row>
    <row r="75" spans="1:7" ht="11.25" customHeight="1" outlineLevel="1">
      <c r="A75" s="15"/>
      <c r="B75" s="15" t="s">
        <v>2677</v>
      </c>
      <c r="C75" s="16" t="s">
        <v>2678</v>
      </c>
      <c r="D75" s="17"/>
      <c r="F75">
        <f t="shared" ca="1" si="6"/>
        <v>909</v>
      </c>
      <c r="G75" t="str">
        <f t="shared" si="7"/>
        <v>変更差分表示 Work⇔Lcl(HEAD)間</v>
      </c>
    </row>
    <row r="76" spans="1:7" ht="11.25" customHeight="1" outlineLevel="1">
      <c r="A76" s="15"/>
      <c r="B76" s="15" t="s">
        <v>2679</v>
      </c>
      <c r="C76" s="16" t="s">
        <v>2680</v>
      </c>
      <c r="D76" s="17"/>
      <c r="F76">
        <f t="shared" ca="1" si="6"/>
        <v>910</v>
      </c>
      <c r="G76" t="str">
        <f t="shared" si="7"/>
        <v>変更差分表示 Idx⇔Lcl(HEAD)間</v>
      </c>
    </row>
    <row r="77" spans="1:7" ht="11.25" customHeight="1" outlineLevel="1">
      <c r="A77" s="15"/>
      <c r="B77" s="15" t="s">
        <v>2681</v>
      </c>
      <c r="C77" s="16" t="s">
        <v>2682</v>
      </c>
      <c r="D77" s="17"/>
      <c r="F77">
        <f t="shared" ca="1" si="6"/>
        <v>911</v>
      </c>
      <c r="G77" t="str">
        <f t="shared" si="7"/>
        <v>変更差分表示 Lcl⇔Rmt間</v>
      </c>
    </row>
    <row r="78" spans="1:7" ht="11.25" customHeight="1" outlineLevel="1">
      <c r="A78" s="15"/>
      <c r="B78" s="15" t="s">
        <v>2683</v>
      </c>
      <c r="C78" s="16" t="s">
        <v>2684</v>
      </c>
      <c r="D78" s="17"/>
      <c r="F78">
        <f t="shared" ca="1" si="6"/>
        <v>912</v>
      </c>
      <c r="G78" t="str">
        <f t="shared" si="7"/>
        <v>変更差分表示 Rmt Rev間</v>
      </c>
    </row>
    <row r="79" spans="1:7" ht="11.25" customHeight="1" outlineLevel="1">
      <c r="A79" s="15"/>
      <c r="B79" s="18" t="s">
        <v>2732</v>
      </c>
      <c r="C79" s="16" t="s">
        <v>2685</v>
      </c>
      <c r="D79" s="17"/>
      <c r="F79">
        <f t="shared" ca="1" si="6"/>
        <v>913</v>
      </c>
      <c r="G79" t="str">
        <f t="shared" ref="G79:G113" si="10">IF(B79="","",B79)</f>
        <v>diffアルゴリズム変更</v>
      </c>
    </row>
    <row r="80" spans="1:7" ht="11.25" customHeight="1">
      <c r="A80" s="12" t="s">
        <v>2728</v>
      </c>
      <c r="B80" s="13"/>
      <c r="C80" s="13"/>
      <c r="D80" s="14"/>
      <c r="F80">
        <f t="shared" ca="1" si="6"/>
        <v>913</v>
      </c>
      <c r="G80" t="str">
        <f t="shared" si="10"/>
        <v/>
      </c>
    </row>
    <row r="81" spans="1:7" ht="11.25" customHeight="1" outlineLevel="1">
      <c r="A81" s="15"/>
      <c r="B81" s="18" t="s">
        <v>2686</v>
      </c>
      <c r="C81" s="16" t="s">
        <v>2749</v>
      </c>
      <c r="D81" s="16" t="s">
        <v>2937</v>
      </c>
      <c r="F81">
        <f t="shared" ca="1" si="6"/>
        <v>914</v>
      </c>
      <c r="G81" t="str">
        <f t="shared" si="10"/>
        <v>マージ(Non Fast-Forward)</v>
      </c>
    </row>
    <row r="82" spans="1:7" ht="11.25" customHeight="1" outlineLevel="1">
      <c r="A82" s="15"/>
      <c r="B82" s="18" t="s">
        <v>2687</v>
      </c>
      <c r="C82" s="16" t="s">
        <v>2750</v>
      </c>
      <c r="D82" s="16" t="s">
        <v>2938</v>
      </c>
      <c r="F82">
        <f t="shared" ca="1" si="6"/>
        <v>915</v>
      </c>
      <c r="G82" t="str">
        <f t="shared" si="10"/>
        <v>マージ(Fast-Forward)</v>
      </c>
    </row>
    <row r="83" spans="1:7" ht="11.25" customHeight="1" outlineLevel="1">
      <c r="A83" s="15"/>
      <c r="B83" s="15" t="s">
        <v>2688</v>
      </c>
      <c r="C83" s="16" t="s">
        <v>2689</v>
      </c>
      <c r="D83" s="17"/>
      <c r="F83">
        <f t="shared" ca="1" si="6"/>
        <v>916</v>
      </c>
      <c r="G83" t="str">
        <f t="shared" si="10"/>
        <v>マージ取消し</v>
      </c>
    </row>
    <row r="84" spans="1:7" ht="11.25" customHeight="1" outlineLevel="1">
      <c r="A84" s="15"/>
      <c r="B84" s="18" t="s">
        <v>2690</v>
      </c>
      <c r="C84" s="16" t="s">
        <v>2691</v>
      </c>
      <c r="D84" s="17" t="s">
        <v>2692</v>
      </c>
      <c r="F84">
        <f t="shared" ca="1" si="6"/>
        <v>917</v>
      </c>
      <c r="G84" t="str">
        <f t="shared" si="10"/>
        <v>リベース</v>
      </c>
    </row>
    <row r="85" spans="1:7" ht="11.25" customHeight="1" outlineLevel="1">
      <c r="A85" s="15"/>
      <c r="B85" s="15" t="s">
        <v>2693</v>
      </c>
      <c r="C85" s="16" t="s">
        <v>2694</v>
      </c>
      <c r="D85" s="17"/>
      <c r="F85">
        <f t="shared" ca="1" si="6"/>
        <v>918</v>
      </c>
      <c r="G85" t="str">
        <f t="shared" si="10"/>
        <v>リベース中断</v>
      </c>
    </row>
    <row r="86" spans="1:7" ht="11.25" customHeight="1" outlineLevel="1">
      <c r="A86" s="15"/>
      <c r="B86" s="15" t="s">
        <v>2695</v>
      </c>
      <c r="C86" s="16" t="s">
        <v>2696</v>
      </c>
      <c r="D86" s="17" t="s">
        <v>2697</v>
      </c>
      <c r="F86">
        <f t="shared" ca="1" si="6"/>
        <v>919</v>
      </c>
      <c r="G86" t="str">
        <f t="shared" si="10"/>
        <v>コミット編集</v>
      </c>
    </row>
    <row r="87" spans="1:7" ht="11.25" customHeight="1" outlineLevel="1">
      <c r="A87" s="15"/>
      <c r="B87" s="15" t="s">
        <v>2698</v>
      </c>
      <c r="C87" s="16" t="s">
        <v>2699</v>
      </c>
      <c r="D87" s="17"/>
      <c r="F87">
        <f t="shared" ca="1" si="6"/>
        <v>920</v>
      </c>
      <c r="G87" t="str">
        <f t="shared" si="10"/>
        <v>特定コミット取込み(コミットする)</v>
      </c>
    </row>
    <row r="88" spans="1:7" ht="11.25" customHeight="1" outlineLevel="1">
      <c r="A88" s="15"/>
      <c r="B88" s="15" t="s">
        <v>2700</v>
      </c>
      <c r="C88" s="16" t="s">
        <v>2701</v>
      </c>
      <c r="D88" s="17"/>
      <c r="F88">
        <f t="shared" ca="1" si="6"/>
        <v>921</v>
      </c>
      <c r="G88" t="str">
        <f t="shared" si="10"/>
        <v>特定コミット取込み(コミットしない)</v>
      </c>
    </row>
    <row r="89" spans="1:7" ht="11.25" customHeight="1" outlineLevel="1">
      <c r="A89" s="15"/>
      <c r="B89" s="15" t="s">
        <v>2702</v>
      </c>
      <c r="C89" s="16" t="s">
        <v>2703</v>
      </c>
      <c r="D89" s="17"/>
      <c r="F89">
        <f t="shared" ca="1" si="6"/>
        <v>922</v>
      </c>
      <c r="G89" t="str">
        <f t="shared" si="10"/>
        <v>特定コミット取込み(リビジョン範囲指定)</v>
      </c>
    </row>
    <row r="90" spans="1:7" ht="11.25" customHeight="1">
      <c r="A90" s="12" t="s">
        <v>2727</v>
      </c>
      <c r="B90" s="13"/>
      <c r="C90" s="13"/>
      <c r="D90" s="14"/>
      <c r="F90">
        <f t="shared" ca="1" si="6"/>
        <v>922</v>
      </c>
      <c r="G90" t="str">
        <f t="shared" si="10"/>
        <v/>
      </c>
    </row>
    <row r="91" spans="1:7" ht="11.25" customHeight="1" outlineLevel="1">
      <c r="A91" s="15"/>
      <c r="B91" s="15" t="s">
        <v>2704</v>
      </c>
      <c r="C91" s="16" t="s">
        <v>2705</v>
      </c>
      <c r="D91" s="17" t="s">
        <v>2706</v>
      </c>
      <c r="F91">
        <f t="shared" ca="1" si="6"/>
        <v>923</v>
      </c>
      <c r="G91" t="str">
        <f t="shared" si="10"/>
        <v>スタッシュ 保存1</v>
      </c>
    </row>
    <row r="92" spans="1:7" ht="11.25" customHeight="1" outlineLevel="1">
      <c r="A92" s="15"/>
      <c r="B92" s="15" t="s">
        <v>2707</v>
      </c>
      <c r="C92" s="16" t="s">
        <v>2708</v>
      </c>
      <c r="D92" s="17" t="s">
        <v>2709</v>
      </c>
      <c r="F92">
        <f t="shared" ca="1" si="6"/>
        <v>924</v>
      </c>
      <c r="G92" t="str">
        <f t="shared" si="10"/>
        <v>スタッシュ 保存2</v>
      </c>
    </row>
    <row r="93" spans="1:7" ht="11.25" customHeight="1" outlineLevel="1">
      <c r="A93" s="15"/>
      <c r="B93" s="15" t="s">
        <v>2710</v>
      </c>
      <c r="C93" s="16" t="s">
        <v>2711</v>
      </c>
      <c r="D93" s="17" t="s">
        <v>2712</v>
      </c>
      <c r="F93">
        <f t="shared" ca="1" si="6"/>
        <v>925</v>
      </c>
      <c r="G93" t="str">
        <f t="shared" si="10"/>
        <v>スタッシュ 保存(メッセージ付き)</v>
      </c>
    </row>
    <row r="94" spans="1:7" ht="11.25" customHeight="1" outlineLevel="1">
      <c r="A94" s="15"/>
      <c r="B94" s="15" t="s">
        <v>2713</v>
      </c>
      <c r="C94" s="16" t="s">
        <v>2714</v>
      </c>
      <c r="D94" s="17" t="s">
        <v>2715</v>
      </c>
      <c r="F94">
        <f t="shared" ca="1" si="6"/>
        <v>926</v>
      </c>
      <c r="G94" t="str">
        <f t="shared" si="10"/>
        <v>スタッシュ 復元1</v>
      </c>
    </row>
    <row r="95" spans="1:7" ht="11.25" customHeight="1" outlineLevel="1">
      <c r="A95" s="15"/>
      <c r="B95" s="15" t="s">
        <v>2716</v>
      </c>
      <c r="C95" s="16" t="s">
        <v>2717</v>
      </c>
      <c r="D95" s="17" t="s">
        <v>2718</v>
      </c>
      <c r="F95">
        <f t="shared" ca="1" si="6"/>
        <v>927</v>
      </c>
      <c r="G95" t="str">
        <f t="shared" si="10"/>
        <v>スタッシュ 復元2</v>
      </c>
    </row>
    <row r="96" spans="1:7" ht="11.25" customHeight="1" outlineLevel="1">
      <c r="A96" s="15"/>
      <c r="B96" s="15" t="s">
        <v>2719</v>
      </c>
      <c r="C96" s="16" t="s">
        <v>2720</v>
      </c>
      <c r="D96" s="17"/>
      <c r="F96">
        <f t="shared" ca="1" si="6"/>
        <v>928</v>
      </c>
      <c r="G96" t="str">
        <f t="shared" si="10"/>
        <v>スタッシュ 一覧表示</v>
      </c>
    </row>
    <row r="97" spans="1:7" ht="11.25" customHeight="1" outlineLevel="1">
      <c r="A97" s="15"/>
      <c r="B97" s="15" t="s">
        <v>2721</v>
      </c>
      <c r="C97" s="16" t="s">
        <v>2722</v>
      </c>
      <c r="D97" s="17"/>
      <c r="F97">
        <f t="shared" ca="1" si="6"/>
        <v>929</v>
      </c>
      <c r="G97" t="str">
        <f t="shared" si="10"/>
        <v>スタッシュ 削除(最新分)</v>
      </c>
    </row>
    <row r="98" spans="1:7" ht="11.25" customHeight="1" outlineLevel="1">
      <c r="A98" s="15"/>
      <c r="B98" s="15" t="s">
        <v>2723</v>
      </c>
      <c r="C98" s="16" t="s">
        <v>2752</v>
      </c>
      <c r="D98" s="17" t="s">
        <v>2754</v>
      </c>
      <c r="F98">
        <f t="shared" ca="1" si="6"/>
        <v>930</v>
      </c>
      <c r="G98" t="str">
        <f t="shared" si="10"/>
        <v>スタッシュ 削除(番号指定)</v>
      </c>
    </row>
    <row r="99" spans="1:7" ht="11.25" customHeight="1" outlineLevel="1">
      <c r="A99" s="15"/>
      <c r="B99" s="15" t="s">
        <v>2724</v>
      </c>
      <c r="C99" s="16" t="s">
        <v>2725</v>
      </c>
      <c r="D99" s="17"/>
      <c r="F99">
        <f t="shared" ca="1" si="6"/>
        <v>931</v>
      </c>
      <c r="G99" t="str">
        <f t="shared" si="10"/>
        <v>スタッシュ 全削除</v>
      </c>
    </row>
    <row r="100" spans="1:7" ht="11.25" customHeight="1" outlineLevel="1">
      <c r="A100" s="15"/>
      <c r="B100" s="15" t="s">
        <v>2751</v>
      </c>
      <c r="C100" s="16" t="s">
        <v>2753</v>
      </c>
      <c r="D100" s="17" t="s">
        <v>2754</v>
      </c>
      <c r="F100">
        <f ca="1">IF(G100="",OFFSET(F100,-1,0),OFFSET(F100,-1,0)+1)</f>
        <v>932</v>
      </c>
      <c r="G100" t="str">
        <f>IF(B100="","",B100)</f>
        <v>スタッシュ 差分確認</v>
      </c>
    </row>
    <row r="101" spans="1:7" ht="11.25" customHeight="1">
      <c r="A101" s="12" t="s">
        <v>3009</v>
      </c>
      <c r="B101" s="13"/>
      <c r="C101" s="13"/>
      <c r="D101" s="14"/>
      <c r="F101">
        <f t="shared" ref="F101:F104" ca="1" si="11">IF(G101="",OFFSET(F101,-1,0),OFFSET(F101,-1,0)+1)</f>
        <v>932</v>
      </c>
      <c r="G101" t="str">
        <f t="shared" ref="G101:G104" si="12">IF(B101="","",B101)</f>
        <v/>
      </c>
    </row>
    <row r="102" spans="1:7" ht="11.25" customHeight="1" outlineLevel="1">
      <c r="A102" s="15"/>
      <c r="B102" s="15" t="s">
        <v>3011</v>
      </c>
      <c r="C102" s="16" t="s">
        <v>3227</v>
      </c>
      <c r="D102" s="17" t="s">
        <v>122</v>
      </c>
      <c r="F102">
        <f t="shared" ref="F102" ca="1" si="13">IF(G102="",OFFSET(F102,-1,0),OFFSET(F102,-1,0)+1)</f>
        <v>933</v>
      </c>
      <c r="G102" t="str">
        <f t="shared" ref="G102" si="14">IF(B102="","",B102)</f>
        <v>クローン直後のサブモジュール取得</v>
      </c>
    </row>
    <row r="103" spans="1:7" ht="11.25" customHeight="1" outlineLevel="1">
      <c r="A103" s="15"/>
      <c r="B103" s="15" t="s">
        <v>3011</v>
      </c>
      <c r="C103" s="16" t="s">
        <v>3012</v>
      </c>
      <c r="D103" s="17" t="s">
        <v>3010</v>
      </c>
      <c r="F103">
        <f t="shared" ca="1" si="11"/>
        <v>934</v>
      </c>
      <c r="G103" t="str">
        <f t="shared" si="12"/>
        <v>クローン直後のサブモジュール取得</v>
      </c>
    </row>
    <row r="104" spans="1:7" ht="11.25" customHeight="1" outlineLevel="1">
      <c r="A104" s="15"/>
      <c r="B104" s="15" t="s">
        <v>3232</v>
      </c>
      <c r="C104" s="16" t="s">
        <v>3013</v>
      </c>
      <c r="D104" s="17" t="s">
        <v>3230</v>
      </c>
      <c r="F104">
        <f t="shared" ca="1" si="11"/>
        <v>935</v>
      </c>
      <c r="G104" t="str">
        <f t="shared" si="12"/>
        <v>サブモジュールバージョン適用</v>
      </c>
    </row>
    <row r="105" spans="1:7" ht="11.25" customHeight="1" outlineLevel="1">
      <c r="A105" s="15"/>
      <c r="B105" s="15" t="s">
        <v>3231</v>
      </c>
      <c r="C105" s="16" t="s">
        <v>3228</v>
      </c>
      <c r="D105" s="17" t="s">
        <v>3229</v>
      </c>
      <c r="F105">
        <f t="shared" ref="F105" ca="1" si="15">IF(G105="",OFFSET(F105,-1,0),OFFSET(F105,-1,0)+1)</f>
        <v>936</v>
      </c>
      <c r="G105" t="str">
        <f t="shared" ref="G105" si="16">IF(B105="","",B105)</f>
        <v>サブモジュールバージョン更新</v>
      </c>
    </row>
    <row r="106" spans="1:7" ht="11.25" customHeight="1" outlineLevel="1">
      <c r="A106" s="15"/>
      <c r="B106" s="15" t="s">
        <v>3365</v>
      </c>
      <c r="C106" s="16" t="str">
        <f>"git submodule add https://github.com/リポジトリURL.git ディレクトリ名
cd ディレクトリ名
git checkout コミットID
cd ../
git add ディレクトリ名"</f>
        <v>git submodule add https://github.com/リポジトリURL.git ディレクトリ名
cd ディレクトリ名
git checkout コミットID
cd ../
git add ディレクトリ名</v>
      </c>
      <c r="D106" s="17" t="s">
        <v>3364</v>
      </c>
      <c r="F106">
        <f t="shared" ref="F106" ca="1" si="17">IF(G106="",OFFSET(F106,-1,0),OFFSET(F106,-1,0)+1)</f>
        <v>937</v>
      </c>
      <c r="G106" t="str">
        <f t="shared" ref="G106" si="18">IF(B106="","",B106)</f>
        <v>サブモジュールバージョン追加（コミットID指定）</v>
      </c>
    </row>
    <row r="107" spans="1:7" ht="11.25" customHeight="1">
      <c r="A107" s="12" t="s">
        <v>2738</v>
      </c>
      <c r="B107" s="13"/>
      <c r="C107" s="13"/>
      <c r="D107" s="14"/>
      <c r="F107">
        <f t="shared" ca="1" si="6"/>
        <v>937</v>
      </c>
      <c r="G107" t="str">
        <f t="shared" si="10"/>
        <v/>
      </c>
    </row>
    <row r="108" spans="1:7" ht="11.25" customHeight="1" outlineLevel="1">
      <c r="A108" s="15"/>
      <c r="B108" s="15" t="s">
        <v>2739</v>
      </c>
      <c r="C108" s="16" t="s">
        <v>2740</v>
      </c>
      <c r="D108" s="17" t="s">
        <v>122</v>
      </c>
      <c r="F108">
        <f t="shared" ca="1" si="6"/>
        <v>938</v>
      </c>
      <c r="G108" t="str">
        <f t="shared" si="10"/>
        <v>最新コミットハッシュ値取得</v>
      </c>
    </row>
    <row r="109" spans="1:7" ht="11.25" customHeight="1" outlineLevel="1">
      <c r="A109" s="15"/>
      <c r="B109" s="15" t="s">
        <v>2741</v>
      </c>
      <c r="C109" s="16" t="s">
        <v>2742</v>
      </c>
      <c r="D109" s="17" t="s">
        <v>122</v>
      </c>
      <c r="F109">
        <f t="shared" ref="F109:F121" ca="1" si="19">IF(G109="",OFFSET(F109,-1,0),OFFSET(F109,-1,0)+1)</f>
        <v>939</v>
      </c>
      <c r="G109" t="str">
        <f t="shared" si="10"/>
        <v>直近タグバージョン番号表示</v>
      </c>
    </row>
    <row r="110" spans="1:7" ht="11.25" customHeight="1" outlineLevel="1">
      <c r="A110" s="15"/>
      <c r="B110" s="18" t="s">
        <v>2980</v>
      </c>
      <c r="C110" s="16" t="s">
        <v>2979</v>
      </c>
      <c r="D110" s="17" t="s">
        <v>122</v>
      </c>
      <c r="F110">
        <f t="shared" ca="1" si="19"/>
        <v>940</v>
      </c>
      <c r="G110" t="str">
        <f>IF(B110="","",B110)</f>
        <v>コミット日時変更</v>
      </c>
    </row>
    <row r="111" spans="1:7" ht="11.25" customHeight="1" outlineLevel="1">
      <c r="A111" s="15"/>
      <c r="B111" s="15" t="s">
        <v>2981</v>
      </c>
      <c r="C111" s="16" t="s">
        <v>2982</v>
      </c>
      <c r="D111" s="17" t="s">
        <v>122</v>
      </c>
      <c r="F111">
        <f t="shared" ca="1" si="19"/>
        <v>941</v>
      </c>
      <c r="G111" t="str">
        <f>IF(B111="","",B111)</f>
        <v>↑</v>
      </c>
    </row>
    <row r="112" spans="1:7" ht="11.25" customHeight="1" outlineLevel="1">
      <c r="A112" s="15"/>
      <c r="B112" s="15"/>
      <c r="C112" s="16" t="s">
        <v>122</v>
      </c>
      <c r="D112" s="17" t="s">
        <v>122</v>
      </c>
      <c r="F112">
        <f t="shared" ca="1" si="19"/>
        <v>941</v>
      </c>
      <c r="G112" t="str">
        <f t="shared" si="10"/>
        <v/>
      </c>
    </row>
    <row r="113" spans="1:7" ht="11.25" customHeight="1">
      <c r="A113" s="12" t="s">
        <v>2733</v>
      </c>
      <c r="B113" s="13"/>
      <c r="C113" s="13"/>
      <c r="D113" s="14"/>
      <c r="F113">
        <f t="shared" ca="1" si="19"/>
        <v>941</v>
      </c>
      <c r="G113" t="str">
        <f t="shared" si="10"/>
        <v/>
      </c>
    </row>
    <row r="114" spans="1:7" ht="11.25" customHeight="1" outlineLevel="1">
      <c r="A114" s="15"/>
      <c r="B114" s="18" t="s">
        <v>2746</v>
      </c>
      <c r="C114" s="16" t="str">
        <f>"1. コマンド `git rebase -i HEAD~&lt;数字&gt;` を実行
    - 例えば、&lt;数字&gt;を3とした場合は、HEADを含めた3つ分をまとめる
2. コミット選択画面にて、先頭以外をsに変える
    ```shell
    pick d196455 リスト1、リスト2を作成"&amp;"
    s 968362c リスト2を修正  &lt;-- 変更
    s d196455 リスト1を修正  &lt;-- 変更
    ...
    ```
3. コミットコメント修正画面にて、先頭を新しいコミットコメント、それ以外を削除する"&amp;"
    ```shell
    # This is a combination of 3 commits.
    # This is the 1st commit message:
    リスト1、リスト2を作成    &lt;-- 新しいコミットコメント
    # This is the commit message #2:"&amp;"
    　　　　　　　　　　　　　&lt;-- 削除
    # This is the commit message #3:
    　　　　　　　　　　　　　&lt;-- 削除
    ...
    ```
4. pushコマンド `git push -f` を実行"</f>
        <v>1. コマンド `git rebase -i HEAD~&lt;数字&gt;` を実行
    - 例えば、&lt;数字&gt;を3とした場合は、HEADを含めた3つ分をまとめる
2. コミット選択画面にて、先頭以外をsに変える
    ```shell
    pick d196455 リスト1、リスト2を作成
    s 968362c リスト2を修正  &lt;-- 変更
    s d196455 リスト1を修正  &lt;-- 変更
    ...
    ```
3. コミットコメント修正画面にて、先頭を新しいコミットコメント、それ以外を削除する
    ```shell
    # This is a combination of 3 commits.
    # This is the 1st commit message:
    リスト1、リスト2を作成    &lt;-- 新しいコミットコメント
    # This is the commit message #2:
    　　　　　　　　　　　　　&lt;-- 削除
    # This is the commit message #3:
    　　　　　　　　　　　　　&lt;-- 削除
    ...
    ```
4. pushコマンド `git push -f` を実行</v>
      </c>
      <c r="D114" s="17" t="s">
        <v>2755</v>
      </c>
      <c r="F114">
        <f t="shared" ca="1" si="19"/>
        <v>942</v>
      </c>
      <c r="G114" t="str">
        <f t="shared" ref="G114:G121" si="20">IF(B114="","",B114)</f>
        <v>コミットをまとめる</v>
      </c>
    </row>
    <row r="115" spans="1:7" ht="11.25" customHeight="1" outlineLevel="1">
      <c r="A115" s="15"/>
      <c r="B115" s="18" t="s">
        <v>2743</v>
      </c>
      <c r="C115" s="16" t="str">
        <f>"1. `git remote show origin` でブランチ確認
    - 問題ないブランチ（現在利用されているとか、削除されていないもの）は、「tracked」と表示される。対して、消えない腐ったブランチは「stale」と表示される。
2. `git remote prune origin` で削除"</f>
        <v>1. `git remote show origin` でブランチ確認
    - 問題ないブランチ（現在利用されているとか、削除されていないもの）は、「tracked」と表示される。対して、消えない腐ったブランチは「stale」と表示される。
2. `git remote prune origin` で削除</v>
      </c>
      <c r="D115" s="17" t="s">
        <v>122</v>
      </c>
      <c r="F115">
        <f t="shared" ca="1" si="19"/>
        <v>943</v>
      </c>
      <c r="G115" t="str">
        <f t="shared" si="20"/>
        <v>消したはずのリモートブランチがローカルで表示される時に削除する方法</v>
      </c>
    </row>
    <row r="116" spans="1:7" ht="11.25" customHeight="1" outlineLevel="1">
      <c r="A116" s="15"/>
      <c r="B116" s="18" t="s">
        <v>2737</v>
      </c>
      <c r="C116" s="16" t="str">
        <f>"1. good/badリビジョン指定
 - `git bisect start &lt;bad-commit&gt; &lt;good-commit&gt;`
1. テストスクリプトの指定
 - `git bisect run テストスクリプトのファイル名`"</f>
        <v>1. good/badリビジョン指定
 - `git bisect start &lt;bad-commit&gt; &lt;good-commit&gt;`
1. テストスクリプトの指定
 - `git bisect run テストスクリプトのファイル名`</v>
      </c>
      <c r="D116" s="17" t="s">
        <v>122</v>
      </c>
      <c r="F116">
        <f t="shared" ca="1" si="19"/>
        <v>944</v>
      </c>
      <c r="G116" t="str">
        <f t="shared" si="20"/>
        <v>問題箇所特定</v>
      </c>
    </row>
    <row r="117" spans="1:7" ht="11.25" customHeight="1" outlineLevel="1">
      <c r="A117" s="15"/>
      <c r="B117" s="15" t="s">
        <v>2734</v>
      </c>
      <c r="C117" s="16" t="s">
        <v>2735</v>
      </c>
      <c r="D117" s="17" t="s">
        <v>2736</v>
      </c>
      <c r="F117">
        <f t="shared" ca="1" si="19"/>
        <v>945</v>
      </c>
      <c r="G117" t="str">
        <f t="shared" si="20"/>
        <v>github上から指定ファイル完全消去</v>
      </c>
    </row>
    <row r="118" spans="1:7" ht="11.25" customHeight="1" outlineLevel="1">
      <c r="A118" s="15"/>
      <c r="B118" s="15" t="s">
        <v>2744</v>
      </c>
      <c r="C118" s="16" t="str">
        <f>"jdgdetached=`git branch --contains | grep ""* "" | head -1 | grep ""detached "" &amp;&gt; /dev/null; echo $?`
if [ ${jdgdetached} -eq 0 ]; then
    branchname=`git branch --contains | grep ""  "" | head -1 | cut -c 3-`"&amp;"
else
    branchname=`git branch --contains | grep ""* "" | head -1 | cut -c 3-`
fi"</f>
        <v>jdgdetached=`git branch --contains | grep "* " | head -1 | grep "detached " &amp;&gt; /dev/null; echo $?`
if [ ${jdgdetached} -eq 0 ]; then
    branchname=`git branch --contains | grep "  " | head -1 | cut -c 3-`
else
    branchname=`git branch --contains | grep "* " | head -1 | cut -c 3-`
fi</v>
      </c>
      <c r="D118" s="17" t="s">
        <v>122</v>
      </c>
      <c r="F118">
        <f t="shared" ca="1" si="19"/>
        <v>946</v>
      </c>
      <c r="G118" t="str">
        <f t="shared" si="20"/>
        <v>該当ブランチ表示</v>
      </c>
    </row>
    <row r="119" spans="1:7" ht="11.25" customHeight="1" outlineLevel="1">
      <c r="A119" s="15"/>
      <c r="B119" s="15" t="s">
        <v>2745</v>
      </c>
      <c r="C119" s="16" t="str">
        <f>"$ git status ?porcelain  | vim -
addしたいファイルを残す
:w !xargs git add"</f>
        <v>$ git status ?porcelain  | vim -
addしたいファイルを残す
:w !xargs git add</v>
      </c>
      <c r="D119" s="17" t="s">
        <v>122</v>
      </c>
      <c r="F119">
        <f t="shared" ca="1" si="19"/>
        <v>947</v>
      </c>
      <c r="G119" t="str">
        <f t="shared" si="20"/>
        <v>未ステージングのファイルを抽出してadd</v>
      </c>
    </row>
    <row r="120" spans="1:7" ht="11.25" customHeight="1" outlineLevel="1">
      <c r="A120" s="15"/>
      <c r="B120" s="15"/>
      <c r="C120" s="16" t="s">
        <v>122</v>
      </c>
      <c r="D120" s="17" t="s">
        <v>122</v>
      </c>
      <c r="F120">
        <f t="shared" ca="1" si="19"/>
        <v>947</v>
      </c>
      <c r="G120" t="str">
        <f t="shared" si="20"/>
        <v/>
      </c>
    </row>
    <row r="121" spans="1:7" ht="11.25" customHeight="1" outlineLevel="1">
      <c r="A121" s="15"/>
      <c r="B121" s="15"/>
      <c r="C121" s="16" t="s">
        <v>122</v>
      </c>
      <c r="D121" s="17" t="s">
        <v>122</v>
      </c>
      <c r="F121">
        <f t="shared" ca="1" si="19"/>
        <v>947</v>
      </c>
      <c r="G121" t="str">
        <f t="shared" si="20"/>
        <v/>
      </c>
    </row>
    <row r="122" spans="1:7" ht="11.25" customHeight="1">
      <c r="A122" t="s">
        <v>393</v>
      </c>
      <c r="B122" t="s">
        <v>393</v>
      </c>
      <c r="C122" t="s">
        <v>393</v>
      </c>
      <c r="D122" t="s">
        <v>393</v>
      </c>
    </row>
  </sheetData>
  <autoFilter ref="A2:G121" xr:uid="{3F2A5354-D680-4166-957E-8AEB84EFCC75}"/>
  <phoneticPr fontId="4"/>
  <hyperlinks>
    <hyperlink ref="A59" r:id="rId1" xr:uid="{87123997-A905-48C5-9352-D61F755786B5}"/>
    <hyperlink ref="B71" r:id="rId2" xr:uid="{C72213F7-BC1A-4F8C-B14D-A8C25A61900D}"/>
    <hyperlink ref="B79" r:id="rId3" xr:uid="{0C0A3158-44EC-4A8D-A203-CD5AE769A202}"/>
    <hyperlink ref="B115" r:id="rId4" xr:uid="{B39BCF3E-2CEA-4D4B-A400-266FB249C21E}"/>
    <hyperlink ref="B116" r:id="rId5" xr:uid="{45DAA6AD-0F11-4CAC-88EE-FD7AA85030AA}"/>
    <hyperlink ref="B114" r:id="rId6" xr:uid="{EFACE872-FA56-4E72-B229-5CA3C054A4E5}"/>
    <hyperlink ref="B84" r:id="rId7" xr:uid="{AF5F3BA4-1687-43D2-90DC-B77C10C17444}"/>
    <hyperlink ref="B81" r:id="rId8" xr:uid="{DA493074-F492-4174-886B-29DC77EDBC09}"/>
    <hyperlink ref="B82" r:id="rId9" xr:uid="{6D8B6698-39BC-457C-9DC8-D526464FC0F2}"/>
    <hyperlink ref="B110" r:id="rId10" xr:uid="{EAD06987-C295-49F8-AEA7-1B8446876ECF}"/>
  </hyperlinks>
  <pageMargins left="0.7" right="0.7" top="0.75" bottom="0.75" header="0.3" footer="0.3"/>
  <pageSetup paperSize="9" scale="38" orientation="portrait" r:id="rId11"/>
  <legacyDrawing r:id="rId1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AF829-DB73-4AEB-8056-CA766BF45FA4}">
  <sheetPr codeName="Sheet7"/>
  <dimension ref="A2:Q103"/>
  <sheetViews>
    <sheetView showGridLines="0" view="pageBreakPreview" zoomScaleNormal="100" zoomScaleSheetLayoutView="100" workbookViewId="0">
      <selection activeCell="K59" sqref="K59"/>
    </sheetView>
  </sheetViews>
  <sheetFormatPr defaultColWidth="0" defaultRowHeight="11.25"/>
  <cols>
    <col min="1" max="1" width="2.33203125" style="57" customWidth="1"/>
    <col min="2" max="2" width="70.6640625" style="57" bestFit="1" customWidth="1"/>
    <col min="3" max="3" width="18.1640625" style="57" customWidth="1"/>
    <col min="4" max="11" width="14.33203125" style="57" customWidth="1"/>
    <col min="12" max="12" width="70.6640625" style="57" bestFit="1" customWidth="1"/>
    <col min="13" max="17" width="1.5" style="57" hidden="1" customWidth="1"/>
    <col min="18" max="16384" width="9.33203125" style="57" hidden="1"/>
  </cols>
  <sheetData>
    <row r="2" spans="1:12" s="55" customFormat="1">
      <c r="A2" s="55" t="s">
        <v>2403</v>
      </c>
    </row>
    <row r="3" spans="1:12" ht="7.5" customHeight="1"/>
    <row r="4" spans="1:12" s="56" customFormat="1" ht="26.25" customHeight="1">
      <c r="B4" s="74" t="s">
        <v>2404</v>
      </c>
      <c r="C4" s="77" t="s">
        <v>2831</v>
      </c>
      <c r="D4" s="74" t="s">
        <v>2405</v>
      </c>
      <c r="E4" s="77" t="s">
        <v>3234</v>
      </c>
      <c r="F4" s="74" t="s">
        <v>2408</v>
      </c>
      <c r="G4" s="76" t="s">
        <v>2536</v>
      </c>
      <c r="H4" s="76" t="s">
        <v>2537</v>
      </c>
      <c r="I4" s="74" t="s">
        <v>2406</v>
      </c>
      <c r="J4" s="74" t="s">
        <v>2407</v>
      </c>
      <c r="K4" s="75" t="s">
        <v>2534</v>
      </c>
      <c r="L4" s="74" t="s">
        <v>2409</v>
      </c>
    </row>
    <row r="5" spans="1:12" s="63" customFormat="1" ht="2.25" customHeight="1">
      <c r="A5" s="64"/>
      <c r="B5" s="65" t="s">
        <v>2410</v>
      </c>
      <c r="C5" s="65" t="s">
        <v>2410</v>
      </c>
      <c r="D5" s="65" t="s">
        <v>2410</v>
      </c>
      <c r="E5" s="65" t="s">
        <v>2410</v>
      </c>
      <c r="F5" s="65" t="s">
        <v>2410</v>
      </c>
      <c r="G5" s="65" t="s">
        <v>2410</v>
      </c>
      <c r="H5" s="65" t="s">
        <v>2410</v>
      </c>
      <c r="I5" s="65" t="s">
        <v>2410</v>
      </c>
      <c r="J5" s="65" t="s">
        <v>2410</v>
      </c>
      <c r="K5" s="65" t="s">
        <v>2410</v>
      </c>
      <c r="L5" s="65" t="s">
        <v>2410</v>
      </c>
    </row>
    <row r="6" spans="1:12">
      <c r="B6" s="66" t="s">
        <v>2411</v>
      </c>
      <c r="C6" s="66" t="s">
        <v>2412</v>
      </c>
      <c r="D6" s="66" t="s">
        <v>2412</v>
      </c>
      <c r="E6" s="66" t="s">
        <v>2412</v>
      </c>
      <c r="F6" s="66" t="s">
        <v>2414</v>
      </c>
      <c r="G6" s="66" t="s">
        <v>2414</v>
      </c>
      <c r="H6" s="68" t="s">
        <v>122</v>
      </c>
      <c r="I6" s="67" t="s">
        <v>2413</v>
      </c>
      <c r="J6" s="66" t="s">
        <v>2414</v>
      </c>
      <c r="K6" s="68" t="s">
        <v>122</v>
      </c>
      <c r="L6" s="66" t="s">
        <v>2524</v>
      </c>
    </row>
    <row r="7" spans="1:12">
      <c r="B7" s="66" t="s">
        <v>2415</v>
      </c>
      <c r="C7" s="66" t="s">
        <v>2416</v>
      </c>
      <c r="D7" s="66" t="s">
        <v>2416</v>
      </c>
      <c r="E7" s="66" t="s">
        <v>2416</v>
      </c>
      <c r="F7" s="66" t="s">
        <v>2416</v>
      </c>
      <c r="G7" s="66" t="s">
        <v>2416</v>
      </c>
      <c r="H7" s="68" t="s">
        <v>122</v>
      </c>
      <c r="I7" s="66" t="s">
        <v>2417</v>
      </c>
      <c r="J7" s="66" t="s">
        <v>2416</v>
      </c>
      <c r="K7" s="68" t="s">
        <v>122</v>
      </c>
      <c r="L7" s="66" t="s">
        <v>2524</v>
      </c>
    </row>
    <row r="8" spans="1:12">
      <c r="B8" s="66" t="s">
        <v>2418</v>
      </c>
      <c r="C8" s="66" t="s">
        <v>2419</v>
      </c>
      <c r="D8" s="66" t="s">
        <v>2419</v>
      </c>
      <c r="E8" s="66" t="s">
        <v>2419</v>
      </c>
      <c r="F8" s="66" t="s">
        <v>2419</v>
      </c>
      <c r="G8" s="66" t="s">
        <v>2419</v>
      </c>
      <c r="H8" s="68" t="s">
        <v>122</v>
      </c>
      <c r="I8" s="66" t="s">
        <v>2419</v>
      </c>
      <c r="J8" s="66" t="s">
        <v>2419</v>
      </c>
      <c r="K8" s="68" t="s">
        <v>122</v>
      </c>
      <c r="L8" s="66" t="s">
        <v>2524</v>
      </c>
    </row>
    <row r="9" spans="1:12">
      <c r="B9" s="66" t="s">
        <v>2420</v>
      </c>
      <c r="C9" s="66" t="s">
        <v>2421</v>
      </c>
      <c r="D9" s="66" t="s">
        <v>2421</v>
      </c>
      <c r="E9" s="66" t="s">
        <v>2421</v>
      </c>
      <c r="F9" s="66" t="s">
        <v>2421</v>
      </c>
      <c r="G9" s="66" t="s">
        <v>2421</v>
      </c>
      <c r="H9" s="68" t="s">
        <v>122</v>
      </c>
      <c r="I9" s="66" t="s">
        <v>2421</v>
      </c>
      <c r="J9" s="66" t="s">
        <v>2421</v>
      </c>
      <c r="K9" s="68" t="s">
        <v>122</v>
      </c>
      <c r="L9" s="66" t="s">
        <v>2524</v>
      </c>
    </row>
    <row r="10" spans="1:12">
      <c r="B10" s="66" t="s">
        <v>2424</v>
      </c>
      <c r="C10" s="66" t="s">
        <v>2425</v>
      </c>
      <c r="D10" s="66" t="s">
        <v>2425</v>
      </c>
      <c r="E10" s="66" t="s">
        <v>2425</v>
      </c>
      <c r="F10" s="66" t="s">
        <v>2425</v>
      </c>
      <c r="G10" s="66" t="s">
        <v>2425</v>
      </c>
      <c r="H10" s="68" t="s">
        <v>122</v>
      </c>
      <c r="I10" s="66" t="s">
        <v>2425</v>
      </c>
      <c r="J10" s="66" t="s">
        <v>2425</v>
      </c>
      <c r="K10" s="68" t="s">
        <v>122</v>
      </c>
      <c r="L10" s="66" t="s">
        <v>2524</v>
      </c>
    </row>
    <row r="11" spans="1:12">
      <c r="B11" s="66" t="s">
        <v>2426</v>
      </c>
      <c r="C11" s="66" t="s">
        <v>2427</v>
      </c>
      <c r="D11" s="66" t="s">
        <v>2427</v>
      </c>
      <c r="E11" s="66" t="s">
        <v>2427</v>
      </c>
      <c r="F11" s="66" t="s">
        <v>2427</v>
      </c>
      <c r="G11" s="66" t="s">
        <v>2427</v>
      </c>
      <c r="H11" s="68" t="s">
        <v>122</v>
      </c>
      <c r="I11" s="66" t="s">
        <v>2427</v>
      </c>
      <c r="J11" s="66" t="s">
        <v>2427</v>
      </c>
      <c r="K11" s="68" t="s">
        <v>122</v>
      </c>
      <c r="L11" s="66" t="s">
        <v>2524</v>
      </c>
    </row>
    <row r="12" spans="1:12">
      <c r="B12" s="66" t="s">
        <v>2428</v>
      </c>
      <c r="C12" s="66" t="s">
        <v>2429</v>
      </c>
      <c r="D12" s="66" t="s">
        <v>2430</v>
      </c>
      <c r="E12" s="66" t="s">
        <v>2429</v>
      </c>
      <c r="F12" s="66" t="s">
        <v>2429</v>
      </c>
      <c r="G12" s="66" t="s">
        <v>2429</v>
      </c>
      <c r="H12" s="68" t="s">
        <v>122</v>
      </c>
      <c r="I12" s="66" t="s">
        <v>2431</v>
      </c>
      <c r="J12" s="68" t="s">
        <v>2524</v>
      </c>
      <c r="K12" s="68" t="s">
        <v>122</v>
      </c>
      <c r="L12" s="66" t="s">
        <v>2524</v>
      </c>
    </row>
    <row r="13" spans="1:12">
      <c r="B13" s="66" t="s">
        <v>2432</v>
      </c>
      <c r="C13" s="66" t="s">
        <v>2433</v>
      </c>
      <c r="D13" s="66" t="s">
        <v>2434</v>
      </c>
      <c r="E13" s="66" t="s">
        <v>2433</v>
      </c>
      <c r="F13" s="66" t="s">
        <v>2433</v>
      </c>
      <c r="G13" s="66" t="s">
        <v>2433</v>
      </c>
      <c r="H13" s="68" t="s">
        <v>122</v>
      </c>
      <c r="I13" s="66" t="s">
        <v>2435</v>
      </c>
      <c r="J13" s="68" t="s">
        <v>2524</v>
      </c>
      <c r="K13" s="68" t="s">
        <v>122</v>
      </c>
      <c r="L13" s="66" t="s">
        <v>2524</v>
      </c>
    </row>
    <row r="14" spans="1:12">
      <c r="B14" s="69" t="s">
        <v>2436</v>
      </c>
      <c r="C14" s="69" t="s">
        <v>2437</v>
      </c>
      <c r="D14" s="66" t="s">
        <v>2438</v>
      </c>
      <c r="E14" s="69" t="s">
        <v>2437</v>
      </c>
      <c r="F14" s="68" t="s">
        <v>122</v>
      </c>
      <c r="G14" s="68" t="s">
        <v>2524</v>
      </c>
      <c r="H14" s="68" t="s">
        <v>122</v>
      </c>
      <c r="I14" s="66" t="s">
        <v>2437</v>
      </c>
      <c r="J14" s="68" t="s">
        <v>2524</v>
      </c>
      <c r="K14" s="68" t="s">
        <v>122</v>
      </c>
      <c r="L14" s="66" t="s">
        <v>2524</v>
      </c>
    </row>
    <row r="15" spans="1:12">
      <c r="B15" s="66" t="s">
        <v>2439</v>
      </c>
      <c r="C15" s="66" t="s">
        <v>2440</v>
      </c>
      <c r="D15" s="66" t="s">
        <v>2441</v>
      </c>
      <c r="E15" s="69" t="s">
        <v>2440</v>
      </c>
      <c r="F15" s="68" t="s">
        <v>122</v>
      </c>
      <c r="G15" s="68" t="s">
        <v>2524</v>
      </c>
      <c r="H15" s="68" t="s">
        <v>122</v>
      </c>
      <c r="I15" s="66" t="s">
        <v>2440</v>
      </c>
      <c r="J15" s="68" t="s">
        <v>2524</v>
      </c>
      <c r="K15" s="68" t="s">
        <v>122</v>
      </c>
      <c r="L15" s="66" t="s">
        <v>2524</v>
      </c>
    </row>
    <row r="16" spans="1:12">
      <c r="B16" s="66" t="s">
        <v>2442</v>
      </c>
      <c r="C16" s="66" t="s">
        <v>2443</v>
      </c>
      <c r="D16" s="66" t="s">
        <v>2443</v>
      </c>
      <c r="E16" s="66" t="s">
        <v>2443</v>
      </c>
      <c r="F16" s="66" t="s">
        <v>2443</v>
      </c>
      <c r="G16" s="66" t="s">
        <v>2443</v>
      </c>
      <c r="H16" s="68" t="s">
        <v>122</v>
      </c>
      <c r="I16" s="66" t="s">
        <v>2444</v>
      </c>
      <c r="J16" s="68" t="s">
        <v>2524</v>
      </c>
      <c r="K16" s="68" t="s">
        <v>122</v>
      </c>
      <c r="L16" s="66" t="s">
        <v>2524</v>
      </c>
    </row>
    <row r="17" spans="2:12">
      <c r="B17" s="66" t="s">
        <v>2445</v>
      </c>
      <c r="C17" s="66" t="s">
        <v>2446</v>
      </c>
      <c r="D17" s="66" t="s">
        <v>2446</v>
      </c>
      <c r="E17" s="66" t="s">
        <v>2446</v>
      </c>
      <c r="F17" s="66" t="s">
        <v>2446</v>
      </c>
      <c r="G17" s="66" t="s">
        <v>2446</v>
      </c>
      <c r="H17" s="68" t="s">
        <v>122</v>
      </c>
      <c r="I17" s="66" t="s">
        <v>2447</v>
      </c>
      <c r="J17" s="68" t="s">
        <v>2524</v>
      </c>
      <c r="K17" s="68" t="s">
        <v>122</v>
      </c>
      <c r="L17" s="66" t="s">
        <v>2524</v>
      </c>
    </row>
    <row r="18" spans="2:12">
      <c r="B18" s="68" t="s">
        <v>2448</v>
      </c>
      <c r="C18" s="66" t="s">
        <v>2449</v>
      </c>
      <c r="D18" s="66" t="s">
        <v>2449</v>
      </c>
      <c r="E18" s="66" t="s">
        <v>2449</v>
      </c>
      <c r="F18" s="66" t="s">
        <v>2449</v>
      </c>
      <c r="G18" s="66" t="s">
        <v>2449</v>
      </c>
      <c r="H18" s="68" t="s">
        <v>122</v>
      </c>
      <c r="I18" s="66" t="s">
        <v>2450</v>
      </c>
      <c r="J18" s="68" t="s">
        <v>2524</v>
      </c>
      <c r="K18" s="68" t="s">
        <v>122</v>
      </c>
      <c r="L18" s="66" t="s">
        <v>2524</v>
      </c>
    </row>
    <row r="19" spans="2:12">
      <c r="B19" s="68" t="s">
        <v>2451</v>
      </c>
      <c r="C19" s="66" t="s">
        <v>2452</v>
      </c>
      <c r="D19" s="66" t="s">
        <v>2452</v>
      </c>
      <c r="E19" s="66" t="s">
        <v>2452</v>
      </c>
      <c r="F19" s="66" t="s">
        <v>2452</v>
      </c>
      <c r="G19" s="66" t="s">
        <v>2452</v>
      </c>
      <c r="H19" s="68" t="s">
        <v>122</v>
      </c>
      <c r="I19" s="66" t="s">
        <v>2453</v>
      </c>
      <c r="J19" s="68" t="s">
        <v>2524</v>
      </c>
      <c r="K19" s="68" t="s">
        <v>122</v>
      </c>
      <c r="L19" s="66" t="s">
        <v>2524</v>
      </c>
    </row>
    <row r="20" spans="2:12">
      <c r="B20" s="66" t="s">
        <v>2454</v>
      </c>
      <c r="C20" s="66" t="s">
        <v>2455</v>
      </c>
      <c r="D20" s="66" t="s">
        <v>2456</v>
      </c>
      <c r="E20" s="66" t="s">
        <v>2457</v>
      </c>
      <c r="F20" s="66" t="s">
        <v>2457</v>
      </c>
      <c r="G20" s="66" t="s">
        <v>2457</v>
      </c>
      <c r="H20" s="68" t="s">
        <v>122</v>
      </c>
      <c r="I20" s="68" t="s">
        <v>2524</v>
      </c>
      <c r="J20" s="68" t="s">
        <v>2524</v>
      </c>
      <c r="K20" s="68" t="s">
        <v>122</v>
      </c>
      <c r="L20" s="66" t="s">
        <v>2524</v>
      </c>
    </row>
    <row r="21" spans="2:12">
      <c r="B21" s="66" t="s">
        <v>2458</v>
      </c>
      <c r="C21" s="66" t="s">
        <v>2459</v>
      </c>
      <c r="D21" s="66" t="s">
        <v>2456</v>
      </c>
      <c r="E21" s="66" t="s">
        <v>2457</v>
      </c>
      <c r="F21" s="66" t="s">
        <v>2457</v>
      </c>
      <c r="G21" s="66" t="s">
        <v>2457</v>
      </c>
      <c r="H21" s="68" t="s">
        <v>122</v>
      </c>
      <c r="I21" s="68" t="s">
        <v>2524</v>
      </c>
      <c r="J21" s="68" t="s">
        <v>2524</v>
      </c>
      <c r="K21" s="68" t="s">
        <v>122</v>
      </c>
      <c r="L21" s="66" t="s">
        <v>2524</v>
      </c>
    </row>
    <row r="22" spans="2:12">
      <c r="B22" s="66" t="s">
        <v>2460</v>
      </c>
      <c r="C22" s="68" t="s">
        <v>2524</v>
      </c>
      <c r="D22" s="68" t="s">
        <v>2524</v>
      </c>
      <c r="E22" s="68" t="s">
        <v>2524</v>
      </c>
      <c r="F22" s="66" t="s">
        <v>2461</v>
      </c>
      <c r="G22" s="66" t="s">
        <v>2461</v>
      </c>
      <c r="H22" s="68" t="s">
        <v>122</v>
      </c>
      <c r="I22" s="68" t="s">
        <v>2524</v>
      </c>
      <c r="J22" s="68" t="s">
        <v>2524</v>
      </c>
      <c r="K22" s="68" t="s">
        <v>122</v>
      </c>
      <c r="L22" s="66" t="s">
        <v>2524</v>
      </c>
    </row>
    <row r="23" spans="2:12">
      <c r="B23" s="66" t="s">
        <v>2462</v>
      </c>
      <c r="C23" s="68" t="s">
        <v>2524</v>
      </c>
      <c r="D23" s="68" t="s">
        <v>2524</v>
      </c>
      <c r="E23" s="68" t="s">
        <v>2524</v>
      </c>
      <c r="F23" s="66" t="s">
        <v>2463</v>
      </c>
      <c r="G23" s="66" t="s">
        <v>2463</v>
      </c>
      <c r="H23" s="68" t="s">
        <v>122</v>
      </c>
      <c r="I23" s="68" t="s">
        <v>2524</v>
      </c>
      <c r="J23" s="68" t="s">
        <v>2524</v>
      </c>
      <c r="K23" s="68" t="s">
        <v>122</v>
      </c>
      <c r="L23" s="66" t="s">
        <v>2524</v>
      </c>
    </row>
    <row r="24" spans="2:12">
      <c r="B24" s="66" t="s">
        <v>2422</v>
      </c>
      <c r="C24" s="66" t="s">
        <v>2423</v>
      </c>
      <c r="D24" s="66" t="s">
        <v>2423</v>
      </c>
      <c r="E24" s="66" t="s">
        <v>2423</v>
      </c>
      <c r="F24" s="66" t="s">
        <v>2423</v>
      </c>
      <c r="G24" s="66" t="s">
        <v>2423</v>
      </c>
      <c r="H24" s="68" t="s">
        <v>122</v>
      </c>
      <c r="I24" s="66" t="s">
        <v>2423</v>
      </c>
      <c r="J24" s="66" t="s">
        <v>2423</v>
      </c>
      <c r="K24" s="68" t="s">
        <v>122</v>
      </c>
      <c r="L24" s="66" t="s">
        <v>2524</v>
      </c>
    </row>
    <row r="25" spans="2:12">
      <c r="B25" s="66" t="s">
        <v>2464</v>
      </c>
      <c r="C25" s="66" t="s">
        <v>2465</v>
      </c>
      <c r="D25" s="66" t="s">
        <v>2465</v>
      </c>
      <c r="E25" s="66" t="s">
        <v>2465</v>
      </c>
      <c r="F25" s="66" t="s">
        <v>2465</v>
      </c>
      <c r="G25" s="66" t="s">
        <v>2465</v>
      </c>
      <c r="H25" s="68" t="s">
        <v>122</v>
      </c>
      <c r="I25" s="66" t="s">
        <v>2465</v>
      </c>
      <c r="J25" s="66" t="s">
        <v>2465</v>
      </c>
      <c r="K25" s="68" t="s">
        <v>122</v>
      </c>
      <c r="L25" s="66" t="s">
        <v>2524</v>
      </c>
    </row>
    <row r="26" spans="2:12">
      <c r="B26" s="66" t="s">
        <v>2466</v>
      </c>
      <c r="C26" s="66" t="s">
        <v>2467</v>
      </c>
      <c r="D26" s="66" t="s">
        <v>2467</v>
      </c>
      <c r="E26" s="66" t="s">
        <v>2467</v>
      </c>
      <c r="F26" s="66" t="s">
        <v>2469</v>
      </c>
      <c r="G26" s="66" t="s">
        <v>2469</v>
      </c>
      <c r="H26" s="68" t="s">
        <v>122</v>
      </c>
      <c r="I26" s="67" t="s">
        <v>2468</v>
      </c>
      <c r="J26" s="66" t="s">
        <v>2469</v>
      </c>
      <c r="K26" s="68" t="s">
        <v>122</v>
      </c>
      <c r="L26" s="66" t="s">
        <v>2524</v>
      </c>
    </row>
    <row r="27" spans="2:12">
      <c r="B27" s="66" t="s">
        <v>2470</v>
      </c>
      <c r="C27" s="66" t="s">
        <v>2471</v>
      </c>
      <c r="D27" s="66" t="s">
        <v>2471</v>
      </c>
      <c r="E27" s="66" t="s">
        <v>2471</v>
      </c>
      <c r="F27" s="66" t="s">
        <v>2471</v>
      </c>
      <c r="G27" s="66" t="s">
        <v>2471</v>
      </c>
      <c r="H27" s="68" t="s">
        <v>122</v>
      </c>
      <c r="I27" s="67" t="s">
        <v>2472</v>
      </c>
      <c r="J27" s="66" t="s">
        <v>2471</v>
      </c>
      <c r="K27" s="68" t="s">
        <v>122</v>
      </c>
      <c r="L27" s="66" t="s">
        <v>2524</v>
      </c>
    </row>
    <row r="28" spans="2:12">
      <c r="B28" s="66" t="s">
        <v>2473</v>
      </c>
      <c r="C28" s="66" t="s">
        <v>2474</v>
      </c>
      <c r="D28" s="66" t="s">
        <v>2474</v>
      </c>
      <c r="E28" s="68" t="s">
        <v>2524</v>
      </c>
      <c r="F28" s="66" t="s">
        <v>2474</v>
      </c>
      <c r="G28" s="66" t="s">
        <v>2474</v>
      </c>
      <c r="H28" s="68" t="s">
        <v>122</v>
      </c>
      <c r="I28" s="66" t="s">
        <v>2475</v>
      </c>
      <c r="J28" s="66" t="s">
        <v>2474</v>
      </c>
      <c r="K28" s="68" t="s">
        <v>122</v>
      </c>
      <c r="L28" s="66" t="s">
        <v>2524</v>
      </c>
    </row>
    <row r="29" spans="2:12">
      <c r="B29" s="66" t="s">
        <v>2476</v>
      </c>
      <c r="C29" s="66" t="s">
        <v>2477</v>
      </c>
      <c r="D29" s="66" t="s">
        <v>2477</v>
      </c>
      <c r="E29" s="68" t="s">
        <v>2524</v>
      </c>
      <c r="F29" s="66" t="s">
        <v>2477</v>
      </c>
      <c r="G29" s="66" t="s">
        <v>2477</v>
      </c>
      <c r="H29" s="68" t="s">
        <v>122</v>
      </c>
      <c r="I29" s="66" t="s">
        <v>2478</v>
      </c>
      <c r="J29" s="66" t="s">
        <v>2477</v>
      </c>
      <c r="K29" s="68" t="s">
        <v>122</v>
      </c>
      <c r="L29" s="66" t="s">
        <v>2524</v>
      </c>
    </row>
    <row r="30" spans="2:12">
      <c r="B30" s="66" t="s">
        <v>2479</v>
      </c>
      <c r="C30" s="66" t="s">
        <v>2480</v>
      </c>
      <c r="D30" s="66" t="s">
        <v>2481</v>
      </c>
      <c r="E30" s="66" t="s">
        <v>2480</v>
      </c>
      <c r="F30" s="66" t="s">
        <v>2481</v>
      </c>
      <c r="G30" s="66" t="s">
        <v>2481</v>
      </c>
      <c r="H30" s="68" t="s">
        <v>122</v>
      </c>
      <c r="I30" s="66" t="s">
        <v>2482</v>
      </c>
      <c r="J30" s="66" t="s">
        <v>2481</v>
      </c>
      <c r="K30" s="68" t="s">
        <v>122</v>
      </c>
      <c r="L30" s="66" t="s">
        <v>2524</v>
      </c>
    </row>
    <row r="31" spans="2:12">
      <c r="B31" s="66" t="s">
        <v>2483</v>
      </c>
      <c r="C31" s="66" t="s">
        <v>2484</v>
      </c>
      <c r="D31" s="66" t="s">
        <v>2485</v>
      </c>
      <c r="E31" s="66" t="s">
        <v>2485</v>
      </c>
      <c r="F31" s="66" t="s">
        <v>2485</v>
      </c>
      <c r="G31" s="66" t="s">
        <v>2485</v>
      </c>
      <c r="H31" s="68" t="s">
        <v>122</v>
      </c>
      <c r="I31" s="68" t="s">
        <v>2524</v>
      </c>
      <c r="J31" s="68" t="s">
        <v>2524</v>
      </c>
      <c r="K31" s="68" t="s">
        <v>122</v>
      </c>
      <c r="L31" s="66" t="s">
        <v>2524</v>
      </c>
    </row>
    <row r="32" spans="2:12">
      <c r="B32" s="66" t="s">
        <v>2486</v>
      </c>
      <c r="C32" s="66" t="s">
        <v>2487</v>
      </c>
      <c r="D32" s="66" t="s">
        <v>2488</v>
      </c>
      <c r="E32" s="66" t="s">
        <v>2488</v>
      </c>
      <c r="F32" s="70" t="s">
        <v>2489</v>
      </c>
      <c r="G32" s="70" t="s">
        <v>2489</v>
      </c>
      <c r="H32" s="68" t="s">
        <v>122</v>
      </c>
      <c r="I32" s="68" t="s">
        <v>2524</v>
      </c>
      <c r="J32" s="68" t="s">
        <v>2524</v>
      </c>
      <c r="K32" s="68" t="s">
        <v>122</v>
      </c>
      <c r="L32" s="66" t="s">
        <v>2524</v>
      </c>
    </row>
    <row r="33" spans="1:12">
      <c r="B33" s="66" t="s">
        <v>2490</v>
      </c>
      <c r="C33" s="66" t="s">
        <v>2491</v>
      </c>
      <c r="D33" s="66" t="s">
        <v>2492</v>
      </c>
      <c r="E33" s="66" t="s">
        <v>2492</v>
      </c>
      <c r="F33" s="69" t="s">
        <v>2538</v>
      </c>
      <c r="G33" s="68" t="s">
        <v>2524</v>
      </c>
      <c r="H33" s="68" t="s">
        <v>122</v>
      </c>
      <c r="I33" s="68" t="s">
        <v>2524</v>
      </c>
      <c r="J33" s="68" t="s">
        <v>2524</v>
      </c>
      <c r="K33" s="68" t="s">
        <v>122</v>
      </c>
      <c r="L33" s="66" t="s">
        <v>2524</v>
      </c>
    </row>
    <row r="34" spans="1:12">
      <c r="B34" s="66" t="s">
        <v>2493</v>
      </c>
      <c r="C34" s="66" t="s">
        <v>2494</v>
      </c>
      <c r="D34" s="66" t="s">
        <v>2495</v>
      </c>
      <c r="E34" s="68" t="s">
        <v>2495</v>
      </c>
      <c r="F34" s="66" t="s">
        <v>2495</v>
      </c>
      <c r="G34" s="68" t="s">
        <v>2524</v>
      </c>
      <c r="H34" s="68" t="s">
        <v>122</v>
      </c>
      <c r="I34" s="68" t="s">
        <v>2524</v>
      </c>
      <c r="J34" s="68" t="s">
        <v>2524</v>
      </c>
      <c r="K34" s="68" t="s">
        <v>122</v>
      </c>
      <c r="L34" s="66" t="s">
        <v>2524</v>
      </c>
    </row>
    <row r="35" spans="1:12">
      <c r="B35" s="66" t="s">
        <v>2496</v>
      </c>
      <c r="C35" s="66" t="s">
        <v>2497</v>
      </c>
      <c r="D35" s="66" t="s">
        <v>2498</v>
      </c>
      <c r="E35" s="68" t="s">
        <v>2498</v>
      </c>
      <c r="F35" s="66" t="s">
        <v>2498</v>
      </c>
      <c r="G35" s="68" t="s">
        <v>2524</v>
      </c>
      <c r="H35" s="68" t="s">
        <v>122</v>
      </c>
      <c r="I35" s="68" t="s">
        <v>2524</v>
      </c>
      <c r="J35" s="68" t="s">
        <v>2524</v>
      </c>
      <c r="K35" s="68" t="s">
        <v>122</v>
      </c>
      <c r="L35" s="66" t="s">
        <v>2524</v>
      </c>
    </row>
    <row r="36" spans="1:12">
      <c r="B36" s="66" t="s">
        <v>2499</v>
      </c>
      <c r="C36" s="66" t="s">
        <v>2500</v>
      </c>
      <c r="D36" s="66" t="s">
        <v>2501</v>
      </c>
      <c r="E36" s="68" t="s">
        <v>2501</v>
      </c>
      <c r="F36" s="66" t="s">
        <v>2501</v>
      </c>
      <c r="G36" s="68" t="s">
        <v>2524</v>
      </c>
      <c r="H36" s="68" t="s">
        <v>122</v>
      </c>
      <c r="I36" s="68" t="s">
        <v>2524</v>
      </c>
      <c r="J36" s="68" t="s">
        <v>2524</v>
      </c>
      <c r="K36" s="68" t="s">
        <v>122</v>
      </c>
      <c r="L36" s="66" t="s">
        <v>2524</v>
      </c>
    </row>
    <row r="37" spans="1:12">
      <c r="B37" s="66" t="s">
        <v>2502</v>
      </c>
      <c r="C37" s="66" t="s">
        <v>2503</v>
      </c>
      <c r="D37" s="66" t="s">
        <v>2504</v>
      </c>
      <c r="E37" s="66" t="s">
        <v>2504</v>
      </c>
      <c r="F37" s="66" t="s">
        <v>2504</v>
      </c>
      <c r="G37" s="68" t="s">
        <v>2524</v>
      </c>
      <c r="H37" s="68" t="s">
        <v>122</v>
      </c>
      <c r="I37" s="68" t="s">
        <v>2524</v>
      </c>
      <c r="J37" s="68" t="s">
        <v>2524</v>
      </c>
      <c r="K37" s="68" t="s">
        <v>122</v>
      </c>
      <c r="L37" s="66" t="s">
        <v>2505</v>
      </c>
    </row>
    <row r="38" spans="1:12">
      <c r="B38" s="66" t="s">
        <v>2506</v>
      </c>
      <c r="C38" s="66" t="s">
        <v>2507</v>
      </c>
      <c r="D38" s="66" t="s">
        <v>2508</v>
      </c>
      <c r="E38" s="66" t="s">
        <v>2508</v>
      </c>
      <c r="F38" s="66" t="s">
        <v>2508</v>
      </c>
      <c r="G38" s="68" t="s">
        <v>2524</v>
      </c>
      <c r="H38" s="68" t="s">
        <v>122</v>
      </c>
      <c r="I38" s="68" t="s">
        <v>2524</v>
      </c>
      <c r="J38" s="68" t="s">
        <v>2524</v>
      </c>
      <c r="K38" s="68" t="s">
        <v>122</v>
      </c>
      <c r="L38" s="66" t="s">
        <v>2509</v>
      </c>
    </row>
    <row r="39" spans="1:12">
      <c r="B39" s="66" t="s">
        <v>2510</v>
      </c>
      <c r="C39" s="66" t="s">
        <v>2511</v>
      </c>
      <c r="D39" s="66" t="s">
        <v>2512</v>
      </c>
      <c r="E39" s="66" t="s">
        <v>2512</v>
      </c>
      <c r="F39" s="66" t="s">
        <v>2512</v>
      </c>
      <c r="G39" s="68" t="s">
        <v>2524</v>
      </c>
      <c r="H39" s="68" t="s">
        <v>122</v>
      </c>
      <c r="I39" s="68" t="s">
        <v>2524</v>
      </c>
      <c r="J39" s="68" t="s">
        <v>2524</v>
      </c>
      <c r="K39" s="68" t="s">
        <v>122</v>
      </c>
      <c r="L39" s="66" t="s">
        <v>2513</v>
      </c>
    </row>
    <row r="40" spans="1:12">
      <c r="B40" s="66" t="s">
        <v>2514</v>
      </c>
      <c r="C40" s="71" t="s">
        <v>2515</v>
      </c>
      <c r="D40" s="66" t="s">
        <v>2516</v>
      </c>
      <c r="E40" s="69" t="s">
        <v>2539</v>
      </c>
      <c r="F40" s="66" t="s">
        <v>2517</v>
      </c>
      <c r="G40" s="68" t="s">
        <v>2524</v>
      </c>
      <c r="H40" s="68" t="s">
        <v>122</v>
      </c>
      <c r="I40" s="68" t="s">
        <v>2524</v>
      </c>
      <c r="J40" s="68" t="s">
        <v>2524</v>
      </c>
      <c r="K40" s="68" t="s">
        <v>122</v>
      </c>
      <c r="L40" s="66" t="s">
        <v>2518</v>
      </c>
    </row>
    <row r="41" spans="1:12">
      <c r="B41" s="66" t="s">
        <v>2514</v>
      </c>
      <c r="C41" s="66" t="s">
        <v>2519</v>
      </c>
      <c r="D41" s="68" t="s">
        <v>2524</v>
      </c>
      <c r="E41" s="69" t="s">
        <v>2540</v>
      </c>
      <c r="F41" s="68" t="s">
        <v>122</v>
      </c>
      <c r="G41" s="68" t="s">
        <v>2524</v>
      </c>
      <c r="H41" s="68" t="s">
        <v>122</v>
      </c>
      <c r="I41" s="68" t="s">
        <v>2524</v>
      </c>
      <c r="J41" s="68" t="s">
        <v>2524</v>
      </c>
      <c r="K41" s="68" t="s">
        <v>122</v>
      </c>
      <c r="L41" s="66" t="s">
        <v>2524</v>
      </c>
    </row>
    <row r="42" spans="1:12" s="58" customFormat="1">
      <c r="A42" s="57"/>
      <c r="B42" s="68" t="s">
        <v>2520</v>
      </c>
      <c r="C42" s="68" t="s">
        <v>2521</v>
      </c>
      <c r="D42" s="68" t="s">
        <v>2524</v>
      </c>
      <c r="E42" s="68" t="s">
        <v>2522</v>
      </c>
      <c r="F42" s="68" t="s">
        <v>122</v>
      </c>
      <c r="G42" s="68" t="s">
        <v>2524</v>
      </c>
      <c r="H42" s="68" t="s">
        <v>122</v>
      </c>
      <c r="I42" s="68" t="s">
        <v>2524</v>
      </c>
      <c r="J42" s="68" t="s">
        <v>2524</v>
      </c>
      <c r="K42" s="68" t="s">
        <v>122</v>
      </c>
      <c r="L42" s="68" t="s">
        <v>2524</v>
      </c>
    </row>
    <row r="43" spans="1:12" s="63" customFormat="1" ht="2.25" customHeight="1">
      <c r="A43" s="64"/>
      <c r="B43" s="65"/>
      <c r="C43" s="65"/>
      <c r="D43" s="65"/>
      <c r="E43" s="65"/>
      <c r="F43" s="65"/>
      <c r="G43" s="65"/>
      <c r="H43" s="65"/>
      <c r="I43" s="65"/>
      <c r="J43" s="65"/>
      <c r="K43" s="65"/>
      <c r="L43" s="65"/>
    </row>
    <row r="44" spans="1:12" ht="7.5" customHeight="1"/>
    <row r="45" spans="1:12" s="55" customFormat="1">
      <c r="A45" s="55" t="s">
        <v>2523</v>
      </c>
    </row>
    <row r="46" spans="1:12" ht="7.5" customHeight="1"/>
    <row r="47" spans="1:12" s="101" customFormat="1" ht="22.5">
      <c r="B47" s="75" t="str">
        <f>B$4</f>
        <v>説明</v>
      </c>
      <c r="C47" s="75" t="str">
        <f>C$4</f>
        <v>vim
(very magic(\v))</v>
      </c>
      <c r="D47" s="75" t="str">
        <f t="shared" ref="D47:L47" si="0">D$4</f>
        <v>秀丸</v>
      </c>
      <c r="E47" s="75" t="str">
        <f>E$4</f>
        <v>perl
(grep -P)</v>
      </c>
      <c r="F47" s="75" t="str">
        <f>F$4</f>
        <v>python</v>
      </c>
      <c r="G47" s="75" t="str">
        <f>G$4</f>
        <v>VBA</v>
      </c>
      <c r="H47" s="75" t="str">
        <f>H$4</f>
        <v>VBS</v>
      </c>
      <c r="I47" s="75" t="str">
        <f t="shared" si="0"/>
        <v>BRE(*1)</v>
      </c>
      <c r="J47" s="75" t="str">
        <f t="shared" si="0"/>
        <v>ERE(*2)</v>
      </c>
      <c r="K47" s="75" t="str">
        <f t="shared" si="0"/>
        <v>ERE(awk)
(*3)</v>
      </c>
      <c r="L47" s="75" t="str">
        <f t="shared" si="0"/>
        <v>備考</v>
      </c>
    </row>
    <row r="48" spans="1:12" s="63" customFormat="1" ht="2.25" customHeight="1">
      <c r="A48" s="64"/>
      <c r="B48" s="65" t="s">
        <v>2410</v>
      </c>
      <c r="C48" s="65" t="s">
        <v>2410</v>
      </c>
      <c r="D48" s="65" t="s">
        <v>2410</v>
      </c>
      <c r="E48" s="65" t="s">
        <v>2410</v>
      </c>
      <c r="F48" s="65" t="s">
        <v>2410</v>
      </c>
      <c r="G48" s="65" t="s">
        <v>2410</v>
      </c>
      <c r="H48" s="65" t="s">
        <v>2410</v>
      </c>
      <c r="I48" s="65" t="s">
        <v>2410</v>
      </c>
      <c r="J48" s="65" t="s">
        <v>2410</v>
      </c>
      <c r="K48" s="65" t="s">
        <v>2410</v>
      </c>
      <c r="L48" s="65" t="s">
        <v>2410</v>
      </c>
    </row>
    <row r="49" spans="1:12">
      <c r="B49" s="69" t="s">
        <v>2836</v>
      </c>
      <c r="C49" s="90" t="s">
        <v>2838</v>
      </c>
      <c r="D49" s="68" t="s">
        <v>2524</v>
      </c>
      <c r="E49" s="90" t="s">
        <v>2838</v>
      </c>
      <c r="F49" s="90" t="s">
        <v>2838</v>
      </c>
      <c r="G49" s="72" t="s">
        <v>122</v>
      </c>
      <c r="H49" s="68" t="s">
        <v>122</v>
      </c>
      <c r="I49" s="89" t="s">
        <v>2835</v>
      </c>
      <c r="J49" s="89" t="s">
        <v>2835</v>
      </c>
      <c r="K49" s="68" t="s">
        <v>122</v>
      </c>
      <c r="L49" s="68" t="s">
        <v>122</v>
      </c>
    </row>
    <row r="50" spans="1:12">
      <c r="B50" s="69" t="s">
        <v>2837</v>
      </c>
      <c r="C50" s="73" t="s">
        <v>2541</v>
      </c>
      <c r="D50" s="68" t="s">
        <v>2524</v>
      </c>
      <c r="E50" s="102"/>
      <c r="F50" s="73" t="s">
        <v>393</v>
      </c>
      <c r="G50" s="68" t="s">
        <v>122</v>
      </c>
      <c r="H50" s="68" t="s">
        <v>122</v>
      </c>
      <c r="I50" s="66" t="s">
        <v>2525</v>
      </c>
      <c r="J50" s="66" t="s">
        <v>2525</v>
      </c>
      <c r="K50" s="68" t="s">
        <v>122</v>
      </c>
      <c r="L50" s="68" t="s">
        <v>122</v>
      </c>
    </row>
    <row r="51" spans="1:12" s="63" customFormat="1" ht="2.25" customHeight="1">
      <c r="A51" s="64"/>
      <c r="B51" s="65"/>
      <c r="C51" s="65"/>
      <c r="D51" s="65"/>
      <c r="E51" s="65"/>
      <c r="F51" s="65"/>
      <c r="G51" s="65"/>
      <c r="H51" s="65"/>
      <c r="I51" s="65"/>
      <c r="J51" s="65"/>
      <c r="K51" s="65"/>
      <c r="L51" s="65"/>
    </row>
    <row r="52" spans="1:12" ht="7.5" customHeight="1"/>
    <row r="53" spans="1:12" s="55" customFormat="1">
      <c r="A53" s="55" t="s">
        <v>2833</v>
      </c>
    </row>
    <row r="54" spans="1:12" ht="7.5" customHeight="1"/>
    <row r="55" spans="1:12" s="101" customFormat="1" ht="22.5">
      <c r="B55" s="75" t="str">
        <f>B$4</f>
        <v>説明</v>
      </c>
      <c r="C55" s="75" t="str">
        <f>C$4</f>
        <v>vim
(very magic(\v))</v>
      </c>
      <c r="D55" s="75" t="str">
        <f t="shared" ref="D55:L55" si="1">D$4</f>
        <v>秀丸</v>
      </c>
      <c r="E55" s="75" t="str">
        <f t="shared" si="1"/>
        <v>perl
(grep -P)</v>
      </c>
      <c r="F55" s="77" t="s">
        <v>3247</v>
      </c>
      <c r="G55" s="75" t="str">
        <f>G$4</f>
        <v>VBA</v>
      </c>
      <c r="H55" s="75" t="str">
        <f>H$4</f>
        <v>VBS</v>
      </c>
      <c r="I55" s="75" t="str">
        <f t="shared" si="1"/>
        <v>BRE(*1)</v>
      </c>
      <c r="J55" s="75" t="str">
        <f t="shared" si="1"/>
        <v>ERE(*2)</v>
      </c>
      <c r="K55" s="75" t="str">
        <f t="shared" si="1"/>
        <v>ERE(awk)
(*3)</v>
      </c>
      <c r="L55" s="75" t="str">
        <f t="shared" si="1"/>
        <v>備考</v>
      </c>
    </row>
    <row r="56" spans="1:12" s="63" customFormat="1" ht="2.25" customHeight="1">
      <c r="A56" s="64"/>
      <c r="B56" s="65"/>
      <c r="C56" s="65"/>
      <c r="D56" s="65"/>
      <c r="E56" s="65"/>
      <c r="F56" s="65"/>
      <c r="G56" s="65"/>
      <c r="H56" s="65"/>
      <c r="I56" s="65"/>
      <c r="J56" s="65"/>
      <c r="K56" s="65"/>
      <c r="L56" s="65"/>
    </row>
    <row r="57" spans="1:12">
      <c r="B57" s="69" t="s">
        <v>2800</v>
      </c>
      <c r="C57" s="103" t="s">
        <v>2834</v>
      </c>
      <c r="D57" s="78" t="s">
        <v>2524</v>
      </c>
      <c r="E57" s="79" t="s">
        <v>1006</v>
      </c>
      <c r="F57" s="79" t="s">
        <v>2834</v>
      </c>
      <c r="G57" s="78" t="s">
        <v>2524</v>
      </c>
      <c r="H57" s="103" t="s">
        <v>2841</v>
      </c>
      <c r="I57" s="78" t="s">
        <v>2524</v>
      </c>
      <c r="J57" s="78" t="s">
        <v>2524</v>
      </c>
      <c r="K57" s="78" t="s">
        <v>2524</v>
      </c>
      <c r="L57" s="68" t="s">
        <v>2524</v>
      </c>
    </row>
    <row r="58" spans="1:12">
      <c r="B58" s="73" t="s">
        <v>2806</v>
      </c>
      <c r="C58" s="103" t="s">
        <v>2834</v>
      </c>
      <c r="D58" s="78" t="s">
        <v>2524</v>
      </c>
      <c r="E58" s="79" t="s">
        <v>1006</v>
      </c>
      <c r="F58" s="79" t="s">
        <v>2834</v>
      </c>
      <c r="G58" s="78" t="s">
        <v>2524</v>
      </c>
      <c r="H58" s="103" t="s">
        <v>2834</v>
      </c>
      <c r="I58" s="78" t="s">
        <v>2524</v>
      </c>
      <c r="J58" s="78" t="s">
        <v>2524</v>
      </c>
      <c r="K58" s="78" t="s">
        <v>2524</v>
      </c>
      <c r="L58" s="68" t="s">
        <v>2524</v>
      </c>
    </row>
    <row r="59" spans="1:12">
      <c r="B59" s="69" t="s">
        <v>2799</v>
      </c>
      <c r="C59" s="104" t="s">
        <v>2834</v>
      </c>
      <c r="D59" s="78" t="s">
        <v>2524</v>
      </c>
      <c r="E59" s="79" t="s">
        <v>1007</v>
      </c>
      <c r="F59" s="105" t="s">
        <v>1006</v>
      </c>
      <c r="G59" s="78" t="s">
        <v>2524</v>
      </c>
      <c r="H59" s="104" t="s">
        <v>2834</v>
      </c>
      <c r="I59" s="78" t="s">
        <v>2524</v>
      </c>
      <c r="J59" s="78" t="s">
        <v>2524</v>
      </c>
      <c r="K59" s="78" t="s">
        <v>2524</v>
      </c>
      <c r="L59" s="68" t="s">
        <v>2524</v>
      </c>
    </row>
    <row r="60" spans="1:12">
      <c r="B60" s="69" t="s">
        <v>2801</v>
      </c>
      <c r="C60" s="103" t="s">
        <v>2834</v>
      </c>
      <c r="D60" s="78" t="s">
        <v>2524</v>
      </c>
      <c r="E60" s="79" t="s">
        <v>1006</v>
      </c>
      <c r="F60" s="79" t="s">
        <v>1006</v>
      </c>
      <c r="G60" s="78" t="s">
        <v>2524</v>
      </c>
      <c r="H60" s="103" t="s">
        <v>2834</v>
      </c>
      <c r="I60" s="78" t="s">
        <v>2524</v>
      </c>
      <c r="J60" s="78" t="s">
        <v>2524</v>
      </c>
      <c r="K60" s="78" t="s">
        <v>2524</v>
      </c>
      <c r="L60" s="68" t="s">
        <v>2524</v>
      </c>
    </row>
    <row r="61" spans="1:12">
      <c r="B61" s="69" t="s">
        <v>2808</v>
      </c>
      <c r="C61" s="103" t="s">
        <v>2834</v>
      </c>
      <c r="D61" s="78" t="s">
        <v>2524</v>
      </c>
      <c r="E61" s="79" t="s">
        <v>1007</v>
      </c>
      <c r="F61" s="79" t="s">
        <v>1006</v>
      </c>
      <c r="G61" s="78" t="s">
        <v>2524</v>
      </c>
      <c r="H61" s="103" t="s">
        <v>2834</v>
      </c>
      <c r="I61" s="78" t="s">
        <v>2524</v>
      </c>
      <c r="J61" s="78" t="s">
        <v>2524</v>
      </c>
      <c r="K61" s="78" t="s">
        <v>2524</v>
      </c>
      <c r="L61" s="68" t="s">
        <v>2524</v>
      </c>
    </row>
    <row r="62" spans="1:12">
      <c r="B62" s="69" t="s">
        <v>2815</v>
      </c>
      <c r="C62" s="103" t="s">
        <v>2834</v>
      </c>
      <c r="D62" s="78" t="s">
        <v>2524</v>
      </c>
      <c r="E62" s="79" t="s">
        <v>1007</v>
      </c>
      <c r="F62" s="79" t="s">
        <v>1006</v>
      </c>
      <c r="G62" s="78" t="s">
        <v>2524</v>
      </c>
      <c r="H62" s="103" t="s">
        <v>2834</v>
      </c>
      <c r="I62" s="78" t="s">
        <v>2524</v>
      </c>
      <c r="J62" s="78" t="s">
        <v>2524</v>
      </c>
      <c r="K62" s="78" t="s">
        <v>2524</v>
      </c>
      <c r="L62" s="68" t="s">
        <v>2524</v>
      </c>
    </row>
    <row r="63" spans="1:12">
      <c r="B63" s="69" t="s">
        <v>2817</v>
      </c>
      <c r="C63" s="103" t="s">
        <v>2834</v>
      </c>
      <c r="D63" s="78" t="s">
        <v>2524</v>
      </c>
      <c r="E63" s="79" t="s">
        <v>1006</v>
      </c>
      <c r="F63" s="79" t="s">
        <v>1006</v>
      </c>
      <c r="G63" s="78" t="s">
        <v>2524</v>
      </c>
      <c r="H63" s="103" t="s">
        <v>2834</v>
      </c>
      <c r="I63" s="78" t="s">
        <v>2524</v>
      </c>
      <c r="J63" s="78" t="s">
        <v>2524</v>
      </c>
      <c r="K63" s="78" t="s">
        <v>2524</v>
      </c>
      <c r="L63" s="68" t="s">
        <v>2524</v>
      </c>
    </row>
    <row r="64" spans="1:12">
      <c r="B64" s="69" t="s">
        <v>2822</v>
      </c>
      <c r="C64" s="103" t="s">
        <v>2834</v>
      </c>
      <c r="D64" s="78" t="s">
        <v>2524</v>
      </c>
      <c r="E64" s="79" t="s">
        <v>1006</v>
      </c>
      <c r="F64" s="79" t="s">
        <v>1006</v>
      </c>
      <c r="G64" s="78" t="s">
        <v>2524</v>
      </c>
      <c r="H64" s="103" t="s">
        <v>2834</v>
      </c>
      <c r="I64" s="78" t="s">
        <v>2524</v>
      </c>
      <c r="J64" s="78" t="s">
        <v>2524</v>
      </c>
      <c r="K64" s="78" t="s">
        <v>2524</v>
      </c>
      <c r="L64" s="68" t="s">
        <v>2524</v>
      </c>
    </row>
    <row r="65" spans="2:12">
      <c r="B65" s="69" t="s">
        <v>2830</v>
      </c>
      <c r="C65" s="103" t="s">
        <v>2834</v>
      </c>
      <c r="D65" s="78" t="s">
        <v>2524</v>
      </c>
      <c r="E65" s="79" t="s">
        <v>1006</v>
      </c>
      <c r="F65" s="79" t="s">
        <v>1006</v>
      </c>
      <c r="G65" s="78" t="s">
        <v>2524</v>
      </c>
      <c r="H65" s="103" t="s">
        <v>2834</v>
      </c>
      <c r="I65" s="78" t="s">
        <v>2524</v>
      </c>
      <c r="J65" s="78" t="s">
        <v>2524</v>
      </c>
      <c r="K65" s="78" t="s">
        <v>2524</v>
      </c>
      <c r="L65" s="68" t="s">
        <v>2524</v>
      </c>
    </row>
    <row r="66" spans="2:12">
      <c r="B66" s="69" t="s">
        <v>2824</v>
      </c>
      <c r="C66" s="103" t="s">
        <v>3239</v>
      </c>
      <c r="D66" s="78" t="s">
        <v>2524</v>
      </c>
      <c r="E66" s="79" t="s">
        <v>1006</v>
      </c>
      <c r="F66" s="79" t="s">
        <v>1006</v>
      </c>
      <c r="G66" s="78" t="s">
        <v>2524</v>
      </c>
      <c r="H66" s="103" t="s">
        <v>3239</v>
      </c>
      <c r="I66" s="78" t="s">
        <v>2524</v>
      </c>
      <c r="J66" s="78" t="s">
        <v>2524</v>
      </c>
      <c r="K66" s="78" t="s">
        <v>2524</v>
      </c>
      <c r="L66" s="68" t="s">
        <v>2524</v>
      </c>
    </row>
    <row r="67" spans="2:12">
      <c r="B67" s="69" t="s">
        <v>2809</v>
      </c>
      <c r="C67" s="103" t="s">
        <v>2832</v>
      </c>
      <c r="D67" s="78" t="s">
        <v>2524</v>
      </c>
      <c r="E67" s="79" t="s">
        <v>1006</v>
      </c>
      <c r="F67" s="79" t="s">
        <v>1006</v>
      </c>
      <c r="G67" s="78" t="s">
        <v>2524</v>
      </c>
      <c r="H67" s="103" t="s">
        <v>2832</v>
      </c>
      <c r="I67" s="78" t="s">
        <v>2524</v>
      </c>
      <c r="J67" s="78" t="s">
        <v>2524</v>
      </c>
      <c r="K67" s="78" t="s">
        <v>2524</v>
      </c>
      <c r="L67" s="68" t="s">
        <v>2524</v>
      </c>
    </row>
    <row r="68" spans="2:12">
      <c r="B68" s="69" t="s">
        <v>2802</v>
      </c>
      <c r="C68" s="103" t="s">
        <v>2832</v>
      </c>
      <c r="D68" s="78" t="s">
        <v>2524</v>
      </c>
      <c r="E68" s="79" t="s">
        <v>3240</v>
      </c>
      <c r="F68" s="79" t="s">
        <v>1007</v>
      </c>
      <c r="G68" s="78" t="s">
        <v>2524</v>
      </c>
      <c r="H68" s="103" t="s">
        <v>2832</v>
      </c>
      <c r="I68" s="78" t="s">
        <v>2524</v>
      </c>
      <c r="J68" s="78" t="s">
        <v>2524</v>
      </c>
      <c r="K68" s="78" t="s">
        <v>2524</v>
      </c>
      <c r="L68" s="68" t="s">
        <v>2524</v>
      </c>
    </row>
    <row r="69" spans="2:12">
      <c r="B69" s="69" t="s">
        <v>2803</v>
      </c>
      <c r="C69" s="103" t="s">
        <v>2832</v>
      </c>
      <c r="D69" s="78" t="s">
        <v>2524</v>
      </c>
      <c r="E69" s="79" t="s">
        <v>1006</v>
      </c>
      <c r="F69" s="79" t="s">
        <v>1006</v>
      </c>
      <c r="G69" s="78" t="s">
        <v>2524</v>
      </c>
      <c r="H69" s="103" t="s">
        <v>2832</v>
      </c>
      <c r="I69" s="78" t="s">
        <v>2524</v>
      </c>
      <c r="J69" s="78" t="s">
        <v>2524</v>
      </c>
      <c r="K69" s="78" t="s">
        <v>2524</v>
      </c>
      <c r="L69" s="68" t="s">
        <v>2524</v>
      </c>
    </row>
    <row r="70" spans="2:12">
      <c r="B70" s="69" t="s">
        <v>2804</v>
      </c>
      <c r="C70" s="103" t="s">
        <v>2832</v>
      </c>
      <c r="D70" s="78" t="s">
        <v>2524</v>
      </c>
      <c r="E70" s="79" t="s">
        <v>1007</v>
      </c>
      <c r="F70" s="79" t="s">
        <v>1006</v>
      </c>
      <c r="G70" s="78" t="s">
        <v>2524</v>
      </c>
      <c r="H70" s="103" t="s">
        <v>2832</v>
      </c>
      <c r="I70" s="78" t="s">
        <v>2524</v>
      </c>
      <c r="J70" s="78" t="s">
        <v>2524</v>
      </c>
      <c r="K70" s="78" t="s">
        <v>2524</v>
      </c>
      <c r="L70" s="68" t="s">
        <v>2524</v>
      </c>
    </row>
    <row r="71" spans="2:12">
      <c r="B71" s="69" t="s">
        <v>2805</v>
      </c>
      <c r="C71" s="103" t="s">
        <v>2832</v>
      </c>
      <c r="D71" s="78" t="s">
        <v>2524</v>
      </c>
      <c r="E71" s="79" t="s">
        <v>1007</v>
      </c>
      <c r="F71" s="79" t="s">
        <v>1007</v>
      </c>
      <c r="G71" s="78" t="s">
        <v>2524</v>
      </c>
      <c r="H71" s="103" t="s">
        <v>2832</v>
      </c>
      <c r="I71" s="78" t="s">
        <v>2524</v>
      </c>
      <c r="J71" s="78" t="s">
        <v>2524</v>
      </c>
      <c r="K71" s="78" t="s">
        <v>2524</v>
      </c>
      <c r="L71" s="68" t="s">
        <v>2524</v>
      </c>
    </row>
    <row r="72" spans="2:12">
      <c r="B72" s="69" t="s">
        <v>2807</v>
      </c>
      <c r="C72" s="103" t="s">
        <v>2832</v>
      </c>
      <c r="D72" s="78" t="s">
        <v>2524</v>
      </c>
      <c r="E72" s="79" t="s">
        <v>1007</v>
      </c>
      <c r="F72" s="79" t="s">
        <v>1007</v>
      </c>
      <c r="G72" s="78" t="s">
        <v>2524</v>
      </c>
      <c r="H72" s="103" t="s">
        <v>2832</v>
      </c>
      <c r="I72" s="78" t="s">
        <v>2524</v>
      </c>
      <c r="J72" s="78" t="s">
        <v>2524</v>
      </c>
      <c r="K72" s="78" t="s">
        <v>2524</v>
      </c>
      <c r="L72" s="68" t="s">
        <v>2524</v>
      </c>
    </row>
    <row r="73" spans="2:12">
      <c r="B73" s="69" t="s">
        <v>2810</v>
      </c>
      <c r="C73" s="103" t="s">
        <v>2832</v>
      </c>
      <c r="D73" s="78" t="s">
        <v>2524</v>
      </c>
      <c r="E73" s="79" t="s">
        <v>1007</v>
      </c>
      <c r="F73" s="79" t="s">
        <v>1007</v>
      </c>
      <c r="G73" s="78" t="s">
        <v>2524</v>
      </c>
      <c r="H73" s="103" t="s">
        <v>2832</v>
      </c>
      <c r="I73" s="78" t="s">
        <v>2524</v>
      </c>
      <c r="J73" s="78" t="s">
        <v>2524</v>
      </c>
      <c r="K73" s="78" t="s">
        <v>2524</v>
      </c>
      <c r="L73" s="68" t="s">
        <v>2524</v>
      </c>
    </row>
    <row r="74" spans="2:12">
      <c r="B74" s="69" t="s">
        <v>2811</v>
      </c>
      <c r="C74" s="103" t="s">
        <v>2832</v>
      </c>
      <c r="D74" s="78" t="s">
        <v>2524</v>
      </c>
      <c r="E74" s="79" t="s">
        <v>1006</v>
      </c>
      <c r="F74" s="79" t="s">
        <v>1006</v>
      </c>
      <c r="G74" s="78" t="s">
        <v>2524</v>
      </c>
      <c r="H74" s="103" t="s">
        <v>2832</v>
      </c>
      <c r="I74" s="78" t="s">
        <v>2524</v>
      </c>
      <c r="J74" s="78" t="s">
        <v>2524</v>
      </c>
      <c r="K74" s="78" t="s">
        <v>2524</v>
      </c>
      <c r="L74" s="68" t="s">
        <v>2524</v>
      </c>
    </row>
    <row r="75" spans="2:12">
      <c r="B75" s="69" t="s">
        <v>2812</v>
      </c>
      <c r="C75" s="103" t="s">
        <v>2832</v>
      </c>
      <c r="D75" s="78" t="s">
        <v>2524</v>
      </c>
      <c r="E75" s="79" t="s">
        <v>3241</v>
      </c>
      <c r="F75" s="79" t="s">
        <v>1007</v>
      </c>
      <c r="G75" s="78" t="s">
        <v>2524</v>
      </c>
      <c r="H75" s="103" t="s">
        <v>2832</v>
      </c>
      <c r="I75" s="78" t="s">
        <v>2524</v>
      </c>
      <c r="J75" s="78" t="s">
        <v>2524</v>
      </c>
      <c r="K75" s="78" t="s">
        <v>2524</v>
      </c>
      <c r="L75" s="68" t="s">
        <v>2524</v>
      </c>
    </row>
    <row r="76" spans="2:12">
      <c r="B76" s="69" t="s">
        <v>2813</v>
      </c>
      <c r="C76" s="103" t="s">
        <v>2832</v>
      </c>
      <c r="D76" s="78" t="s">
        <v>2524</v>
      </c>
      <c r="E76" s="79" t="s">
        <v>1007</v>
      </c>
      <c r="F76" s="79" t="s">
        <v>1007</v>
      </c>
      <c r="G76" s="78" t="s">
        <v>2524</v>
      </c>
      <c r="H76" s="103" t="s">
        <v>2832</v>
      </c>
      <c r="I76" s="78" t="s">
        <v>2524</v>
      </c>
      <c r="J76" s="78" t="s">
        <v>2524</v>
      </c>
      <c r="K76" s="78" t="s">
        <v>2524</v>
      </c>
      <c r="L76" s="68" t="s">
        <v>2524</v>
      </c>
    </row>
    <row r="77" spans="2:12">
      <c r="B77" s="69" t="s">
        <v>2814</v>
      </c>
      <c r="C77" s="103" t="s">
        <v>2832</v>
      </c>
      <c r="D77" s="78" t="s">
        <v>2524</v>
      </c>
      <c r="E77" s="79" t="s">
        <v>1007</v>
      </c>
      <c r="F77" s="79" t="s">
        <v>1006</v>
      </c>
      <c r="G77" s="78" t="s">
        <v>2524</v>
      </c>
      <c r="H77" s="103" t="s">
        <v>2832</v>
      </c>
      <c r="I77" s="78" t="s">
        <v>2524</v>
      </c>
      <c r="J77" s="78" t="s">
        <v>2524</v>
      </c>
      <c r="K77" s="78" t="s">
        <v>2524</v>
      </c>
      <c r="L77" s="68" t="s">
        <v>2524</v>
      </c>
    </row>
    <row r="78" spans="2:12">
      <c r="B78" s="69" t="s">
        <v>2821</v>
      </c>
      <c r="C78" s="103" t="s">
        <v>2832</v>
      </c>
      <c r="D78" s="78" t="s">
        <v>2524</v>
      </c>
      <c r="E78" s="79" t="s">
        <v>1007</v>
      </c>
      <c r="F78" s="79" t="s">
        <v>1007</v>
      </c>
      <c r="G78" s="78" t="s">
        <v>2524</v>
      </c>
      <c r="H78" s="103" t="s">
        <v>2832</v>
      </c>
      <c r="I78" s="78" t="s">
        <v>2524</v>
      </c>
      <c r="J78" s="78" t="s">
        <v>2524</v>
      </c>
      <c r="K78" s="78" t="s">
        <v>2524</v>
      </c>
      <c r="L78" s="68" t="s">
        <v>2524</v>
      </c>
    </row>
    <row r="79" spans="2:12">
      <c r="B79" s="69" t="s">
        <v>2816</v>
      </c>
      <c r="C79" s="103" t="s">
        <v>2832</v>
      </c>
      <c r="D79" s="78" t="s">
        <v>2524</v>
      </c>
      <c r="E79" s="79" t="s">
        <v>1007</v>
      </c>
      <c r="F79" s="79" t="s">
        <v>1006</v>
      </c>
      <c r="G79" s="78" t="s">
        <v>2524</v>
      </c>
      <c r="H79" s="103" t="s">
        <v>2832</v>
      </c>
      <c r="I79" s="78" t="s">
        <v>2524</v>
      </c>
      <c r="J79" s="78" t="s">
        <v>2524</v>
      </c>
      <c r="K79" s="78" t="s">
        <v>2524</v>
      </c>
      <c r="L79" s="68" t="s">
        <v>2524</v>
      </c>
    </row>
    <row r="80" spans="2:12">
      <c r="B80" s="69" t="s">
        <v>2819</v>
      </c>
      <c r="C80" s="103" t="s">
        <v>2832</v>
      </c>
      <c r="D80" s="78" t="s">
        <v>2524</v>
      </c>
      <c r="E80" s="79" t="s">
        <v>1007</v>
      </c>
      <c r="F80" s="79" t="s">
        <v>1007</v>
      </c>
      <c r="G80" s="78" t="s">
        <v>2524</v>
      </c>
      <c r="H80" s="103" t="s">
        <v>2832</v>
      </c>
      <c r="I80" s="78" t="s">
        <v>2524</v>
      </c>
      <c r="J80" s="78" t="s">
        <v>2524</v>
      </c>
      <c r="K80" s="78" t="s">
        <v>2524</v>
      </c>
      <c r="L80" s="68" t="s">
        <v>2524</v>
      </c>
    </row>
    <row r="81" spans="1:12">
      <c r="B81" s="69" t="s">
        <v>2820</v>
      </c>
      <c r="C81" s="103" t="s">
        <v>2832</v>
      </c>
      <c r="D81" s="78" t="s">
        <v>2524</v>
      </c>
      <c r="E81" s="79" t="s">
        <v>1007</v>
      </c>
      <c r="F81" s="79" t="s">
        <v>1006</v>
      </c>
      <c r="G81" s="78" t="s">
        <v>2524</v>
      </c>
      <c r="H81" s="103" t="s">
        <v>2832</v>
      </c>
      <c r="I81" s="78" t="s">
        <v>2524</v>
      </c>
      <c r="J81" s="78" t="s">
        <v>2524</v>
      </c>
      <c r="K81" s="78" t="s">
        <v>2524</v>
      </c>
      <c r="L81" s="68" t="s">
        <v>2524</v>
      </c>
    </row>
    <row r="82" spans="1:12">
      <c r="B82" s="69" t="s">
        <v>2818</v>
      </c>
      <c r="C82" s="103" t="s">
        <v>2832</v>
      </c>
      <c r="D82" s="78" t="s">
        <v>2524</v>
      </c>
      <c r="E82" s="79" t="s">
        <v>1007</v>
      </c>
      <c r="F82" s="79" t="s">
        <v>1007</v>
      </c>
      <c r="G82" s="78" t="s">
        <v>2524</v>
      </c>
      <c r="H82" s="103" t="s">
        <v>2832</v>
      </c>
      <c r="I82" s="78" t="s">
        <v>2524</v>
      </c>
      <c r="J82" s="78" t="s">
        <v>2524</v>
      </c>
      <c r="K82" s="78" t="s">
        <v>2524</v>
      </c>
      <c r="L82" s="68" t="s">
        <v>2524</v>
      </c>
    </row>
    <row r="83" spans="1:12">
      <c r="B83" s="69" t="s">
        <v>2823</v>
      </c>
      <c r="C83" s="103" t="s">
        <v>2832</v>
      </c>
      <c r="D83" s="78" t="s">
        <v>2524</v>
      </c>
      <c r="E83" s="79" t="s">
        <v>1007</v>
      </c>
      <c r="F83" s="79" t="s">
        <v>1007</v>
      </c>
      <c r="G83" s="78" t="s">
        <v>2524</v>
      </c>
      <c r="H83" s="103" t="s">
        <v>2832</v>
      </c>
      <c r="I83" s="78" t="s">
        <v>2524</v>
      </c>
      <c r="J83" s="78" t="s">
        <v>2524</v>
      </c>
      <c r="K83" s="78" t="s">
        <v>2524</v>
      </c>
      <c r="L83" s="68" t="s">
        <v>2524</v>
      </c>
    </row>
    <row r="84" spans="1:12">
      <c r="B84" s="69" t="s">
        <v>2825</v>
      </c>
      <c r="C84" s="103" t="s">
        <v>2832</v>
      </c>
      <c r="D84" s="78" t="s">
        <v>2524</v>
      </c>
      <c r="E84" s="79" t="s">
        <v>1007</v>
      </c>
      <c r="F84" s="79" t="s">
        <v>1006</v>
      </c>
      <c r="G84" s="78" t="s">
        <v>2524</v>
      </c>
      <c r="H84" s="103" t="s">
        <v>2832</v>
      </c>
      <c r="I84" s="78" t="s">
        <v>2524</v>
      </c>
      <c r="J84" s="78" t="s">
        <v>2524</v>
      </c>
      <c r="K84" s="78" t="s">
        <v>2524</v>
      </c>
      <c r="L84" s="68" t="s">
        <v>2524</v>
      </c>
    </row>
    <row r="85" spans="1:12">
      <c r="B85" s="69" t="s">
        <v>2826</v>
      </c>
      <c r="C85" s="103" t="s">
        <v>2832</v>
      </c>
      <c r="D85" s="78" t="s">
        <v>2524</v>
      </c>
      <c r="E85" s="79" t="s">
        <v>1007</v>
      </c>
      <c r="F85" s="79" t="s">
        <v>1007</v>
      </c>
      <c r="G85" s="78" t="s">
        <v>2524</v>
      </c>
      <c r="H85" s="103" t="s">
        <v>2832</v>
      </c>
      <c r="I85" s="78" t="s">
        <v>2524</v>
      </c>
      <c r="J85" s="78" t="s">
        <v>2524</v>
      </c>
      <c r="K85" s="78" t="s">
        <v>2524</v>
      </c>
      <c r="L85" s="68" t="s">
        <v>2524</v>
      </c>
    </row>
    <row r="86" spans="1:12">
      <c r="B86" s="69" t="s">
        <v>2827</v>
      </c>
      <c r="C86" s="103" t="s">
        <v>2832</v>
      </c>
      <c r="D86" s="78" t="s">
        <v>2524</v>
      </c>
      <c r="E86" s="79" t="s">
        <v>1007</v>
      </c>
      <c r="F86" s="79" t="s">
        <v>1006</v>
      </c>
      <c r="G86" s="78" t="s">
        <v>2524</v>
      </c>
      <c r="H86" s="103" t="s">
        <v>2832</v>
      </c>
      <c r="I86" s="78" t="s">
        <v>2524</v>
      </c>
      <c r="J86" s="78" t="s">
        <v>2524</v>
      </c>
      <c r="K86" s="78" t="s">
        <v>2524</v>
      </c>
      <c r="L86" s="68" t="s">
        <v>2524</v>
      </c>
    </row>
    <row r="87" spans="1:12">
      <c r="B87" s="69" t="s">
        <v>2828</v>
      </c>
      <c r="C87" s="103" t="s">
        <v>2832</v>
      </c>
      <c r="D87" s="78" t="s">
        <v>2524</v>
      </c>
      <c r="E87" s="79" t="s">
        <v>1007</v>
      </c>
      <c r="F87" s="79" t="s">
        <v>1006</v>
      </c>
      <c r="G87" s="78" t="s">
        <v>2524</v>
      </c>
      <c r="H87" s="103" t="s">
        <v>2832</v>
      </c>
      <c r="I87" s="78" t="s">
        <v>2524</v>
      </c>
      <c r="J87" s="78" t="s">
        <v>2524</v>
      </c>
      <c r="K87" s="78" t="s">
        <v>2524</v>
      </c>
      <c r="L87" s="68" t="s">
        <v>2524</v>
      </c>
    </row>
    <row r="88" spans="1:12">
      <c r="B88" s="69" t="s">
        <v>2829</v>
      </c>
      <c r="C88" s="103" t="s">
        <v>2832</v>
      </c>
      <c r="D88" s="78" t="s">
        <v>2524</v>
      </c>
      <c r="E88" s="79" t="s">
        <v>1007</v>
      </c>
      <c r="F88" s="79" t="s">
        <v>1007</v>
      </c>
      <c r="G88" s="78" t="s">
        <v>2524</v>
      </c>
      <c r="H88" s="103" t="s">
        <v>2832</v>
      </c>
      <c r="I88" s="78" t="s">
        <v>2524</v>
      </c>
      <c r="J88" s="78" t="s">
        <v>2524</v>
      </c>
      <c r="K88" s="78" t="s">
        <v>2524</v>
      </c>
      <c r="L88" s="68" t="s">
        <v>2524</v>
      </c>
    </row>
    <row r="89" spans="1:12" s="63" customFormat="1" ht="2.25" customHeight="1">
      <c r="A89" s="64"/>
      <c r="B89" s="65"/>
      <c r="C89" s="65"/>
      <c r="D89" s="65"/>
      <c r="E89" s="65"/>
      <c r="F89" s="65"/>
      <c r="G89" s="65"/>
      <c r="H89" s="65"/>
      <c r="I89" s="65"/>
      <c r="J89" s="65"/>
      <c r="K89" s="65"/>
      <c r="L89" s="65"/>
    </row>
    <row r="90" spans="1:12" ht="7.5" customHeight="1"/>
    <row r="91" spans="1:12" s="55" customFormat="1">
      <c r="A91" s="55" t="s">
        <v>2526</v>
      </c>
    </row>
    <row r="92" spans="1:12">
      <c r="B92" s="61" t="s">
        <v>2527</v>
      </c>
    </row>
    <row r="93" spans="1:12">
      <c r="B93" s="60" t="s">
        <v>2528</v>
      </c>
    </row>
    <row r="94" spans="1:12">
      <c r="B94" s="57" t="s">
        <v>2529</v>
      </c>
    </row>
    <row r="95" spans="1:12">
      <c r="B95" s="60" t="s">
        <v>2530</v>
      </c>
    </row>
    <row r="96" spans="1:12">
      <c r="B96" s="57" t="s">
        <v>2531</v>
      </c>
    </row>
    <row r="97" spans="2:2">
      <c r="B97" s="57" t="s">
        <v>2532</v>
      </c>
    </row>
    <row r="98" spans="2:2">
      <c r="B98" s="61" t="s">
        <v>3248</v>
      </c>
    </row>
    <row r="100" spans="2:2">
      <c r="B100" s="59" t="s">
        <v>2533</v>
      </c>
    </row>
    <row r="103" spans="2:2">
      <c r="B103" s="61" t="s">
        <v>2535</v>
      </c>
    </row>
  </sheetData>
  <phoneticPr fontId="4"/>
  <hyperlinks>
    <hyperlink ref="B100" r:id="rId1" xr:uid="{1F9EF9D2-CE61-4EEC-BA53-A25AFB5123F6}"/>
  </hyperlinks>
  <pageMargins left="0.7" right="0.7" top="0.75" bottom="0.75" header="0.3" footer="0.3"/>
  <pageSetup paperSize="9" scale="39" orientation="portrait"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844" activePane="bottomLeft" state="frozen"/>
      <selection pane="bottomLeft" activeCell="A844" sqref="A84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974</v>
      </c>
      <c r="B1" s="1"/>
      <c r="C1" s="1"/>
      <c r="D1" s="1"/>
      <c r="E1" s="1"/>
      <c r="F1" s="1"/>
      <c r="G1" s="1"/>
      <c r="H1" s="1"/>
      <c r="I1" s="1"/>
      <c r="K1" s="1" t="s">
        <v>973</v>
      </c>
      <c r="L1" s="1"/>
      <c r="M1" s="1"/>
      <c r="N1" s="1"/>
      <c r="O1" s="1"/>
      <c r="P1" s="1"/>
    </row>
    <row r="2" spans="1:16" s="2" customFormat="1">
      <c r="A2" s="2" t="s">
        <v>975</v>
      </c>
      <c r="B2" s="2" t="s">
        <v>969</v>
      </c>
      <c r="C2" s="2" t="s">
        <v>970</v>
      </c>
      <c r="D2" s="2" t="s">
        <v>971</v>
      </c>
      <c r="E2" s="2" t="s">
        <v>2014</v>
      </c>
      <c r="F2" s="2" t="s">
        <v>972</v>
      </c>
      <c r="K2" s="2" t="s">
        <v>975</v>
      </c>
      <c r="L2" s="2" t="s">
        <v>976</v>
      </c>
      <c r="M2" s="2" t="s">
        <v>969</v>
      </c>
      <c r="N2" s="2" t="s">
        <v>970</v>
      </c>
      <c r="O2" s="2" t="s">
        <v>977</v>
      </c>
      <c r="P2" s="2" t="s">
        <v>2013</v>
      </c>
    </row>
    <row r="3" spans="1:16" ht="3" customHeight="1"/>
    <row r="4" spans="1:16">
      <c r="A4">
        <v>1</v>
      </c>
      <c r="B4" t="str">
        <f ca="1">IFERROR(VLOOKUP($A4,'vbs,vba'!$G:$H,2,FALSE),"")</f>
        <v>変数強制定義</v>
      </c>
      <c r="C4" t="str">
        <f ca="1">IFERROR(VLOOKUP($A4,python!$I:$J,2,FALSE),"")</f>
        <v/>
      </c>
      <c r="D4" t="str">
        <f ca="1">IFERROR(VLOOKUP($A4,bat!$F:$G,2,FALSE),"")</f>
        <v/>
      </c>
      <c r="E4" t="str">
        <f ca="1">IFERROR(VLOOKUP($A4,shell!$F:$G,2,FALSE),"")</f>
        <v>プロセス情報表示(ツリー表示)</v>
      </c>
      <c r="F4" t="str">
        <f ca="1">B4&amp;C4&amp;D4&amp;E4</f>
        <v>変数強制定義プロセス情報表示(ツリー表示)</v>
      </c>
      <c r="G4">
        <f ca="1">IF($F4="","",COUNTIF($F$3:$F4,$F4))</f>
        <v>1</v>
      </c>
      <c r="H4">
        <f ca="1">IF(OR(G4&gt;1,G4=""),"",COUNTIF($G$3:$G4,1))</f>
        <v>1</v>
      </c>
      <c r="I4" t="str">
        <f ca="1">F4</f>
        <v>変数強制定義プロセス情報表示(ツリー表示)</v>
      </c>
      <c r="K4">
        <v>1</v>
      </c>
      <c r="L4" t="str">
        <f t="shared" ref="L4:L67" ca="1" si="0">IFERROR(VLOOKUP($K4,$H:$I,2,FALSE),"")</f>
        <v>変数強制定義プロセス情報表示(ツリー表示)</v>
      </c>
      <c r="M4" s="2" t="str">
        <f t="shared" ref="M4:M67" ca="1" si="1">IF($L4="","",IF(COUNTIF(B$3:B$1004,$L4)&gt;0,"○",""))</f>
        <v/>
      </c>
      <c r="N4" s="2" t="str">
        <f t="shared" ref="N4:N67" ca="1" si="2">IF($L4="","",IF(COUNTIF(C$3:C$1004,$L4)&gt;0,"○",""))</f>
        <v/>
      </c>
      <c r="O4" s="2" t="str">
        <f ca="1">IF($L4="","",IF(COUNTIF(D$3:D$1004,$L4)&gt;0,"○",""))</f>
        <v/>
      </c>
      <c r="P4" s="2" t="str">
        <f ca="1">IF($L4="","",IF(COUNTIF(E$3:E$1004,$L4)&gt;0,"○",""))</f>
        <v/>
      </c>
    </row>
    <row r="5" spans="1:16">
      <c r="A5">
        <f>A4+1</f>
        <v>2</v>
      </c>
      <c r="B5" t="str">
        <f ca="1">IFERROR(VLOOKUP($A5,'vbs,vba'!$G:$H,2,FALSE),"")</f>
        <v>変数定義①</v>
      </c>
      <c r="C5" t="str">
        <f ca="1">IFERROR(VLOOKUP($A5,python!$I:$J,2,FALSE),"")</f>
        <v/>
      </c>
      <c r="D5" t="str">
        <f ca="1">IFERROR(VLOOKUP($A5,bat!$F:$G,2,FALSE),"")</f>
        <v/>
      </c>
      <c r="E5" t="str">
        <f ca="1">IFERROR(VLOOKUP($A5,shell!$F:$G,2,FALSE),"")</f>
        <v>プロセス情報表示(プロセス名指定)</v>
      </c>
      <c r="F5" t="str">
        <f t="shared" ref="F5:F68" ca="1" si="3">B5&amp;C5&amp;D5&amp;E5</f>
        <v>変数定義①プロセス情報表示(プロセス名指定)</v>
      </c>
      <c r="G5">
        <f ca="1">IF($F5="","",COUNTIF($F$3:$F5,$F5))</f>
        <v>1</v>
      </c>
      <c r="H5">
        <f ca="1">IF(OR(G5&gt;1,G5=""),"",COUNTIF($G$3:$G5,1))</f>
        <v>2</v>
      </c>
      <c r="I5" t="str">
        <f t="shared" ref="I5:I68" ca="1" si="4">F5</f>
        <v>変数定義①プロセス情報表示(プロセス名指定)</v>
      </c>
      <c r="K5">
        <f>K4+1</f>
        <v>2</v>
      </c>
      <c r="L5" t="str">
        <f t="shared" ca="1" si="0"/>
        <v>変数定義①プロセス情報表示(プロセス名指定)</v>
      </c>
      <c r="M5" s="2" t="str">
        <f t="shared" ca="1" si="1"/>
        <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IFERROR(VLOOKUP($A6,python!$I:$J,2,FALSE),"")</f>
        <v/>
      </c>
      <c r="D6" t="str">
        <f ca="1">IFERROR(VLOOKUP($A6,bat!$F:$G,2,FALSE),"")</f>
        <v/>
      </c>
      <c r="E6" t="str">
        <f ca="1">IFERROR(VLOOKUP($A6,shell!$F:$G,2,FALSE),"")</f>
        <v>プロセスID取得</v>
      </c>
      <c r="F6" t="str">
        <f t="shared" ca="1" si="3"/>
        <v>変数定義②プロセスID取得</v>
      </c>
      <c r="G6">
        <f ca="1">IF($F6="","",COUNTIF($F$3:$F6,$F6))</f>
        <v>1</v>
      </c>
      <c r="H6">
        <f ca="1">IF(OR(G6&gt;1,G6=""),"",COUNTIF($G$3:$G6,1))</f>
        <v>3</v>
      </c>
      <c r="I6" t="str">
        <f t="shared" ca="1" si="4"/>
        <v>変数定義②プロセスID取得</v>
      </c>
      <c r="K6">
        <f t="shared" ref="K6:K69" si="8">K5+1</f>
        <v>3</v>
      </c>
      <c r="L6" t="str">
        <f t="shared" ca="1" si="0"/>
        <v>変数定義②プロセスID取得</v>
      </c>
      <c r="M6" s="2" t="str">
        <f t="shared" ca="1" si="1"/>
        <v/>
      </c>
      <c r="N6" s="2" t="str">
        <f t="shared" ca="1" si="2"/>
        <v/>
      </c>
      <c r="O6" s="2" t="str">
        <f t="shared" ca="1" si="5"/>
        <v/>
      </c>
      <c r="P6" s="2" t="str">
        <f t="shared" ca="1" si="6"/>
        <v/>
      </c>
    </row>
    <row r="7" spans="1:16">
      <c r="A7">
        <f t="shared" si="7"/>
        <v>4</v>
      </c>
      <c r="B7" t="str">
        <f ca="1">IFERROR(VLOOKUP($A7,'vbs,vba'!$G:$H,2,FALSE),"")</f>
        <v>変数定義③</v>
      </c>
      <c r="C7" t="str">
        <f ca="1">IFERROR(VLOOKUP($A7,python!$I:$J,2,FALSE),"")</f>
        <v/>
      </c>
      <c r="D7" t="str">
        <f ca="1">IFERROR(VLOOKUP($A7,bat!$F:$G,2,FALSE),"")</f>
        <v/>
      </c>
      <c r="E7" t="str">
        <f ca="1">IFERROR(VLOOKUP($A7,shell!$F:$G,2,FALSE),"")</f>
        <v>ジョブ終了</v>
      </c>
      <c r="F7" t="str">
        <f t="shared" ca="1" si="3"/>
        <v>変数定義③ジョブ終了</v>
      </c>
      <c r="G7">
        <f ca="1">IF($F7="","",COUNTIF($F$3:$F7,$F7))</f>
        <v>1</v>
      </c>
      <c r="H7">
        <f ca="1">IF(OR(G7&gt;1,G7=""),"",COUNTIF($G$3:$G7,1))</f>
        <v>4</v>
      </c>
      <c r="I7" t="str">
        <f t="shared" ca="1" si="4"/>
        <v>変数定義③ジョブ終了</v>
      </c>
      <c r="K7">
        <f t="shared" si="8"/>
        <v>4</v>
      </c>
      <c r="L7" t="str">
        <f t="shared" ca="1" si="0"/>
        <v>変数定義③ジョブ終了</v>
      </c>
      <c r="M7" s="2" t="str">
        <f t="shared" ca="1" si="1"/>
        <v/>
      </c>
      <c r="N7" s="2" t="str">
        <f t="shared" ca="1" si="2"/>
        <v/>
      </c>
      <c r="O7" s="2" t="str">
        <f t="shared" ca="1" si="5"/>
        <v/>
      </c>
      <c r="P7" s="2" t="str">
        <f t="shared" ca="1" si="6"/>
        <v/>
      </c>
    </row>
    <row r="8" spans="1:16">
      <c r="A8">
        <f t="shared" si="7"/>
        <v>5</v>
      </c>
      <c r="B8" t="str">
        <f ca="1">IFERROR(VLOOKUP($A8,'vbs,vba'!$G:$H,2,FALSE),"")</f>
        <v>変数定義④</v>
      </c>
      <c r="C8" t="str">
        <f ca="1">IFERROR(VLOOKUP($A8,python!$I:$J,2,FALSE),"")</f>
        <v/>
      </c>
      <c r="D8" t="str">
        <f ca="1">IFERROR(VLOOKUP($A8,bat!$F:$G,2,FALSE),"")</f>
        <v/>
      </c>
      <c r="E8" t="str">
        <f ca="1">IFERROR(VLOOKUP($A8,shell!$F:$G,2,FALSE),"")</f>
        <v>プロセス終了(プロセスID指定)</v>
      </c>
      <c r="F8" t="str">
        <f t="shared" ca="1" si="3"/>
        <v>変数定義④プロセス終了(プロセスID指定)</v>
      </c>
      <c r="G8">
        <f ca="1">IF($F8="","",COUNTIF($F$3:$F8,$F8))</f>
        <v>1</v>
      </c>
      <c r="H8">
        <f ca="1">IF(OR(G8&gt;1,G8=""),"",COUNTIF($G$3:$G8,1))</f>
        <v>5</v>
      </c>
      <c r="I8" t="str">
        <f t="shared" ca="1" si="4"/>
        <v>変数定義④プロセス終了(プロセスID指定)</v>
      </c>
      <c r="K8">
        <f t="shared" si="8"/>
        <v>5</v>
      </c>
      <c r="L8" t="str">
        <f t="shared" ca="1" si="0"/>
        <v>変数定義④プロセス終了(プロセスID指定)</v>
      </c>
      <c r="M8" s="2" t="str">
        <f t="shared" ca="1" si="1"/>
        <v/>
      </c>
      <c r="N8" s="2" t="str">
        <f t="shared" ca="1" si="2"/>
        <v/>
      </c>
      <c r="O8" s="2" t="str">
        <f t="shared" ca="1" si="5"/>
        <v/>
      </c>
      <c r="P8" s="2" t="str">
        <f t="shared" ca="1" si="6"/>
        <v/>
      </c>
    </row>
    <row r="9" spans="1:16">
      <c r="A9">
        <f t="shared" si="7"/>
        <v>6</v>
      </c>
      <c r="B9" t="str">
        <f ca="1">IFERROR(VLOOKUP($A9,'vbs,vba'!$G:$H,2,FALSE),"")</f>
        <v>配列定義</v>
      </c>
      <c r="C9" t="str">
        <f ca="1">IFERROR(VLOOKUP($A9,python!$I:$J,2,FALSE),"")</f>
        <v/>
      </c>
      <c r="D9" t="str">
        <f ca="1">IFERROR(VLOOKUP($A9,bat!$F:$G,2,FALSE),"")</f>
        <v/>
      </c>
      <c r="E9" t="str">
        <f ca="1">IFERROR(VLOOKUP($A9,shell!$F:$G,2,FALSE),"")</f>
        <v>プロセス終了(プロセス名指定)</v>
      </c>
      <c r="F9" t="str">
        <f t="shared" ca="1" si="3"/>
        <v>配列定義プロセス終了(プロセス名指定)</v>
      </c>
      <c r="G9">
        <f ca="1">IF($F9="","",COUNTIF($F$3:$F9,$F9))</f>
        <v>1</v>
      </c>
      <c r="H9">
        <f ca="1">IF(OR(G9&gt;1,G9=""),"",COUNTIF($G$3:$G9,1))</f>
        <v>6</v>
      </c>
      <c r="I9" t="str">
        <f t="shared" ca="1" si="4"/>
        <v>配列定義プロセス終了(プロセス名指定)</v>
      </c>
      <c r="K9">
        <f t="shared" si="8"/>
        <v>6</v>
      </c>
      <c r="L9" t="str">
        <f t="shared" ca="1" si="0"/>
        <v>配列定義プロセス終了(プロセス名指定)</v>
      </c>
      <c r="M9" s="2" t="str">
        <f t="shared" ca="1" si="1"/>
        <v/>
      </c>
      <c r="N9" s="2" t="str">
        <f t="shared" ca="1" si="2"/>
        <v/>
      </c>
      <c r="O9" s="2" t="str">
        <f t="shared" ca="1" si="5"/>
        <v/>
      </c>
      <c r="P9" s="2" t="str">
        <f t="shared" ca="1" si="6"/>
        <v/>
      </c>
    </row>
    <row r="10" spans="1:16">
      <c r="A10">
        <f t="shared" si="7"/>
        <v>7</v>
      </c>
      <c r="B10" t="str">
        <f ca="1">IFERROR(VLOOKUP($A10,'vbs,vba'!$G:$H,2,FALSE),"")</f>
        <v>配列参照</v>
      </c>
      <c r="C10" t="str">
        <f ca="1">IFERROR(VLOOKUP($A10,python!$I:$J,2,FALSE),"")</f>
        <v/>
      </c>
      <c r="D10" t="str">
        <f ca="1">IFERROR(VLOOKUP($A10,bat!$F:$G,2,FALSE),"")</f>
        <v/>
      </c>
      <c r="E10" t="str">
        <f ca="1">IFERROR(VLOOKUP($A10,shell!$F:$G,2,FALSE),"")</f>
        <v>[キャッシュ内未処理データディスク書込み](https://linuc.org/study/knowledge/413/)</v>
      </c>
      <c r="F10" t="str">
        <f t="shared" ca="1" si="3"/>
        <v>配列参照[キャッシュ内未処理データディスク書込み](https://linuc.org/study/knowledge/413/)</v>
      </c>
      <c r="G10">
        <f ca="1">IF($F10="","",COUNTIF($F$3:$F10,$F10))</f>
        <v>1</v>
      </c>
      <c r="H10">
        <f ca="1">IF(OR(G10&gt;1,G10=""),"",COUNTIF($G$3:$G10,1))</f>
        <v>7</v>
      </c>
      <c r="I10" t="str">
        <f t="shared" ca="1" si="4"/>
        <v>配列参照[キャッシュ内未処理データディスク書込み](https://linuc.org/study/knowledge/413/)</v>
      </c>
      <c r="K10">
        <f t="shared" si="8"/>
        <v>7</v>
      </c>
      <c r="L10" t="str">
        <f t="shared" ca="1" si="0"/>
        <v>配列参照[キャッシュ内未処理データディスク書込み](https://linuc.org/study/knowledge/413/)</v>
      </c>
      <c r="M10" s="2" t="str">
        <f t="shared" ca="1" si="1"/>
        <v/>
      </c>
      <c r="N10" s="2" t="str">
        <f t="shared" ca="1" si="2"/>
        <v/>
      </c>
      <c r="O10" s="2" t="str">
        <f t="shared" ca="1" si="5"/>
        <v/>
      </c>
      <c r="P10" s="2" t="str">
        <f t="shared" ca="1" si="6"/>
        <v/>
      </c>
    </row>
    <row r="11" spans="1:16">
      <c r="A11">
        <f t="shared" si="7"/>
        <v>8</v>
      </c>
      <c r="B11" t="str">
        <f ca="1">IFERROR(VLOOKUP($A11,'vbs,vba'!$G:$H,2,FALSE),"")</f>
        <v>変数定義(固定長文字列型)</v>
      </c>
      <c r="C11" t="str">
        <f ca="1">IFERROR(VLOOKUP($A11,python!$I:$J,2,FALSE),"")</f>
        <v/>
      </c>
      <c r="D11" t="str">
        <f ca="1">IFERROR(VLOOKUP($A11,bat!$F:$G,2,FALSE),"")</f>
        <v/>
      </c>
      <c r="E11" t="str">
        <f ca="1">IFERROR(VLOOKUP($A11,shell!$F:$G,2,FALSE),"")</f>
        <v>端末行設定表示</v>
      </c>
      <c r="F11" t="str">
        <f t="shared" ca="1" si="3"/>
        <v>変数定義(固定長文字列型)端末行設定表示</v>
      </c>
      <c r="G11">
        <f ca="1">IF($F11="","",COUNTIF($F$3:$F11,$F11))</f>
        <v>1</v>
      </c>
      <c r="H11">
        <f ca="1">IF(OR(G11&gt;1,G11=""),"",COUNTIF($G$3:$G11,1))</f>
        <v>8</v>
      </c>
      <c r="I11" t="str">
        <f t="shared" ca="1" si="4"/>
        <v>変数定義(固定長文字列型)端末行設定表示</v>
      </c>
      <c r="K11">
        <f t="shared" si="8"/>
        <v>8</v>
      </c>
      <c r="L11" t="str">
        <f t="shared" ca="1" si="0"/>
        <v>変数定義(固定長文字列型)端末行設定表示</v>
      </c>
      <c r="M11" s="2" t="str">
        <f t="shared" ca="1" si="1"/>
        <v/>
      </c>
      <c r="N11" s="2" t="str">
        <f t="shared" ca="1" si="2"/>
        <v/>
      </c>
      <c r="O11" s="2" t="str">
        <f t="shared" ca="1" si="5"/>
        <v/>
      </c>
      <c r="P11" s="2" t="str">
        <f t="shared" ca="1" si="6"/>
        <v/>
      </c>
    </row>
    <row r="12" spans="1:16">
      <c r="A12">
        <f t="shared" si="7"/>
        <v>9</v>
      </c>
      <c r="B12" t="str">
        <f ca="1">IFERROR(VLOOKUP($A12,'vbs,vba'!$G:$H,2,FALSE),"")</f>
        <v>定数定義</v>
      </c>
      <c r="C12" t="str">
        <f ca="1">IFERROR(VLOOKUP($A12,python!$I:$J,2,FALSE),"")</f>
        <v/>
      </c>
      <c r="D12" t="str">
        <f ca="1">IFERROR(VLOOKUP($A12,bat!$F:$G,2,FALSE),"")</f>
        <v/>
      </c>
      <c r="E12" t="str">
        <f ca="1">IFERROR(VLOOKUP($A12,shell!$F:$G,2,FALSE),"")</f>
        <v>標準入力ターミナルファイルパス表示</v>
      </c>
      <c r="F12" t="str">
        <f t="shared" ca="1" si="3"/>
        <v>定数定義標準入力ターミナルファイルパス表示</v>
      </c>
      <c r="G12">
        <f ca="1">IF($F12="","",COUNTIF($F$3:$F12,$F12))</f>
        <v>1</v>
      </c>
      <c r="H12">
        <f ca="1">IF(OR(G12&gt;1,G12=""),"",COUNTIF($G$3:$G12,1))</f>
        <v>9</v>
      </c>
      <c r="I12" t="str">
        <f t="shared" ca="1" si="4"/>
        <v>定数定義標準入力ターミナルファイルパス表示</v>
      </c>
      <c r="K12">
        <f t="shared" si="8"/>
        <v>9</v>
      </c>
      <c r="L12" t="str">
        <f t="shared" ca="1" si="0"/>
        <v>定数定義標準入力ターミナルファイルパス表示</v>
      </c>
      <c r="M12" s="2" t="str">
        <f t="shared" ca="1" si="1"/>
        <v/>
      </c>
      <c r="N12" s="2" t="str">
        <f t="shared" ca="1" si="2"/>
        <v/>
      </c>
      <c r="O12" s="2" t="str">
        <f t="shared" ca="1" si="5"/>
        <v/>
      </c>
      <c r="P12" s="2" t="str">
        <f t="shared" ca="1" si="6"/>
        <v/>
      </c>
    </row>
    <row r="13" spans="1:16">
      <c r="A13">
        <f t="shared" si="7"/>
        <v>10</v>
      </c>
      <c r="B13" t="str">
        <f ca="1">IFERROR(VLOOKUP($A13,'vbs,vba'!$G:$H,2,FALSE),"")</f>
        <v>構造体定義</v>
      </c>
      <c r="C13" t="str">
        <f ca="1">IFERROR(VLOOKUP($A13,python!$I:$J,2,FALSE),"")</f>
        <v/>
      </c>
      <c r="D13" t="str">
        <f ca="1">IFERROR(VLOOKUP($A13,bat!$F:$G,2,FALSE),"")</f>
        <v/>
      </c>
      <c r="E13" t="str">
        <f ca="1">IFERROR(VLOOKUP($A13,shell!$F:$G,2,FALSE),"")</f>
        <v>リソース制限(設定値全表示)</v>
      </c>
      <c r="F13" t="str">
        <f t="shared" ca="1" si="3"/>
        <v>構造体定義リソース制限(設定値全表示)</v>
      </c>
      <c r="G13">
        <f ca="1">IF($F13="","",COUNTIF($F$3:$F13,$F13))</f>
        <v>1</v>
      </c>
      <c r="H13">
        <f ca="1">IF(OR(G13&gt;1,G13=""),"",COUNTIF($G$3:$G13,1))</f>
        <v>10</v>
      </c>
      <c r="I13" t="str">
        <f t="shared" ca="1" si="4"/>
        <v>構造体定義リソース制限(設定値全表示)</v>
      </c>
      <c r="K13">
        <f t="shared" si="8"/>
        <v>10</v>
      </c>
      <c r="L13" t="str">
        <f t="shared" ca="1" si="0"/>
        <v>構造体定義リソース制限(設定値全表示)</v>
      </c>
      <c r="M13" s="2" t="str">
        <f t="shared" ca="1" si="1"/>
        <v/>
      </c>
      <c r="N13" s="2" t="str">
        <f t="shared" ca="1" si="2"/>
        <v/>
      </c>
      <c r="O13" s="2" t="str">
        <f t="shared" ca="1" si="5"/>
        <v/>
      </c>
      <c r="P13" s="2" t="str">
        <f t="shared" ca="1" si="6"/>
        <v/>
      </c>
    </row>
    <row r="14" spans="1:16">
      <c r="A14">
        <f t="shared" si="7"/>
        <v>11</v>
      </c>
      <c r="B14" t="str">
        <f ca="1">IFERROR(VLOOKUP($A14,'vbs,vba'!$G:$H,2,FALSE),"")</f>
        <v>列挙型定義</v>
      </c>
      <c r="C14" t="str">
        <f ca="1">IFERROR(VLOOKUP($A14,python!$I:$J,2,FALSE),"")</f>
        <v/>
      </c>
      <c r="D14" t="str">
        <f ca="1">IFERROR(VLOOKUP($A14,bat!$F:$G,2,FALSE),"")</f>
        <v/>
      </c>
      <c r="E14" t="str">
        <f ca="1">IFERROR(VLOOKUP($A14,shell!$F:$G,2,FALSE),"")</f>
        <v>リソース制限(設定値変更 無限)</v>
      </c>
      <c r="F14" t="str">
        <f t="shared" ca="1" si="3"/>
        <v>列挙型定義リソース制限(設定値変更 無限)</v>
      </c>
      <c r="G14">
        <f ca="1">IF($F14="","",COUNTIF($F$3:$F14,$F14))</f>
        <v>1</v>
      </c>
      <c r="H14">
        <f ca="1">IF(OR(G14&gt;1,G14=""),"",COUNTIF($G$3:$G14,1))</f>
        <v>11</v>
      </c>
      <c r="I14" t="str">
        <f t="shared" ca="1" si="4"/>
        <v>列挙型定義リソース制限(設定値変更 無限)</v>
      </c>
      <c r="K14">
        <f t="shared" si="8"/>
        <v>11</v>
      </c>
      <c r="L14" t="str">
        <f t="shared" ca="1" si="0"/>
        <v>列挙型定義リソース制限(設定値変更 無限)</v>
      </c>
      <c r="M14" s="2" t="str">
        <f t="shared" ca="1" si="1"/>
        <v/>
      </c>
      <c r="N14" s="2" t="str">
        <f t="shared" ca="1" si="2"/>
        <v/>
      </c>
      <c r="O14" s="2" t="str">
        <f t="shared" ca="1" si="5"/>
        <v/>
      </c>
      <c r="P14" s="2" t="str">
        <f t="shared" ca="1" si="6"/>
        <v/>
      </c>
    </row>
    <row r="15" spans="1:16">
      <c r="A15">
        <f t="shared" si="7"/>
        <v>12</v>
      </c>
      <c r="B15" t="str">
        <f ca="1">IFERROR(VLOOKUP($A15,'vbs,vba'!$G:$H,2,FALSE),"")</f>
        <v>マクロ定義</v>
      </c>
      <c r="C15" t="str">
        <f ca="1">IFERROR(VLOOKUP($A15,python!$I:$J,2,FALSE),"")</f>
        <v/>
      </c>
      <c r="D15" t="str">
        <f ca="1">IFERROR(VLOOKUP($A15,bat!$F:$G,2,FALSE),"")</f>
        <v/>
      </c>
      <c r="E15" t="str">
        <f ca="1">IFERROR(VLOOKUP($A15,shell!$F:$G,2,FALSE),"")</f>
        <v>リソース制限(設定値変更 有限)</v>
      </c>
      <c r="F15" t="str">
        <f t="shared" ca="1" si="3"/>
        <v>マクロ定義リソース制限(設定値変更 有限)</v>
      </c>
      <c r="G15">
        <f ca="1">IF($F15="","",COUNTIF($F$3:$F15,$F15))</f>
        <v>1</v>
      </c>
      <c r="H15">
        <f ca="1">IF(OR(G15&gt;1,G15=""),"",COUNTIF($G$3:$G15,1))</f>
        <v>12</v>
      </c>
      <c r="I15" t="str">
        <f t="shared" ca="1" si="4"/>
        <v>マクロ定義リソース制限(設定値変更 有限)</v>
      </c>
      <c r="K15">
        <f t="shared" si="8"/>
        <v>12</v>
      </c>
      <c r="L15" t="str">
        <f t="shared" ca="1" si="0"/>
        <v>マクロ定義リソース制限(設定値変更 有限)</v>
      </c>
      <c r="M15" s="2" t="str">
        <f t="shared" ca="1" si="1"/>
        <v/>
      </c>
      <c r="N15" s="2" t="str">
        <f t="shared" ca="1" si="2"/>
        <v/>
      </c>
      <c r="O15" s="2" t="str">
        <f t="shared" ca="1" si="5"/>
        <v/>
      </c>
      <c r="P15" s="2" t="str">
        <f t="shared" ca="1" si="6"/>
        <v/>
      </c>
    </row>
    <row r="16" spans="1:16">
      <c r="A16">
        <f t="shared" si="7"/>
        <v>13</v>
      </c>
      <c r="B16" t="str">
        <f ca="1">IFERROR(VLOOKUP($A16,'vbs,vba'!$G:$H,2,FALSE),"")</f>
        <v>関数定義</v>
      </c>
      <c r="C16" t="str">
        <f ca="1">IFERROR(VLOOKUP($A16,python!$I:$J,2,FALSE),"")</f>
        <v/>
      </c>
      <c r="D16" t="str">
        <f ca="1">IFERROR(VLOOKUP($A16,bat!$F:$G,2,FALSE),"")</f>
        <v/>
      </c>
      <c r="E16" t="str">
        <f ca="1">IFERROR(VLOOKUP($A16,shell!$F:$G,2,FALSE),"")</f>
        <v>リソース制限(設定値変更オプション)</v>
      </c>
      <c r="F16" t="str">
        <f t="shared" ca="1" si="3"/>
        <v>関数定義リソース制限(設定値変更オプション)</v>
      </c>
      <c r="G16">
        <f ca="1">IF($F16="","",COUNTIF($F$3:$F16,$F16))</f>
        <v>1</v>
      </c>
      <c r="H16">
        <f ca="1">IF(OR(G16&gt;1,G16=""),"",COUNTIF($G$3:$G16,1))</f>
        <v>13</v>
      </c>
      <c r="I16" t="str">
        <f t="shared" ca="1" si="4"/>
        <v>関数定義リソース制限(設定値変更オプション)</v>
      </c>
      <c r="K16">
        <f t="shared" si="8"/>
        <v>13</v>
      </c>
      <c r="L16" t="str">
        <f t="shared" ca="1" si="0"/>
        <v>関数定義リソース制限(設定値変更オプション)</v>
      </c>
      <c r="M16" s="2" t="str">
        <f t="shared" ca="1" si="1"/>
        <v/>
      </c>
      <c r="N16" s="2" t="str">
        <f t="shared" ca="1" si="2"/>
        <v/>
      </c>
      <c r="O16" s="2" t="str">
        <f t="shared" ca="1" si="5"/>
        <v/>
      </c>
      <c r="P16" s="2" t="str">
        <f t="shared" ca="1" si="6"/>
        <v/>
      </c>
    </row>
    <row r="17" spans="1:16">
      <c r="A17">
        <f t="shared" si="7"/>
        <v>14</v>
      </c>
      <c r="B17" t="str">
        <f ca="1">IFERROR(VLOOKUP($A17,'vbs,vba'!$G:$H,2,FALSE),"")</f>
        <v>関数呼出</v>
      </c>
      <c r="C17" t="str">
        <f ca="1">IFERROR(VLOOKUP($A17,python!$I:$J,2,FALSE),"")</f>
        <v/>
      </c>
      <c r="D17" t="str">
        <f ca="1">IFERROR(VLOOKUP($A17,bat!$F:$G,2,FALSE),"")</f>
        <v/>
      </c>
      <c r="E17" t="str">
        <f ca="1">IFERROR(VLOOKUP($A17,shell!$F:$G,2,FALSE),"")</f>
        <v>リソース制限(設定値変更オプション)</v>
      </c>
      <c r="F17" t="str">
        <f t="shared" ca="1" si="3"/>
        <v>関数呼出リソース制限(設定値変更オプション)</v>
      </c>
      <c r="G17">
        <f ca="1">IF($F17="","",COUNTIF($F$3:$F17,$F17))</f>
        <v>1</v>
      </c>
      <c r="H17">
        <f ca="1">IF(OR(G17&gt;1,G17=""),"",COUNTIF($G$3:$G17,1))</f>
        <v>14</v>
      </c>
      <c r="I17" t="str">
        <f t="shared" ca="1" si="4"/>
        <v>関数呼出リソース制限(設定値変更オプション)</v>
      </c>
      <c r="K17">
        <f t="shared" si="8"/>
        <v>14</v>
      </c>
      <c r="L17" t="str">
        <f t="shared" ca="1" si="0"/>
        <v>関数呼出リソース制限(設定値変更オプション)</v>
      </c>
      <c r="M17" s="2" t="str">
        <f t="shared" ca="1" si="1"/>
        <v/>
      </c>
      <c r="N17" s="2" t="str">
        <f t="shared" ca="1" si="2"/>
        <v/>
      </c>
      <c r="O17" s="2" t="str">
        <f t="shared" ca="1" si="5"/>
        <v/>
      </c>
      <c r="P17" s="2" t="str">
        <f t="shared" ca="1" si="6"/>
        <v/>
      </c>
    </row>
    <row r="18" spans="1:16">
      <c r="A18">
        <f t="shared" si="7"/>
        <v>15</v>
      </c>
      <c r="B18" t="str">
        <f ca="1">IFERROR(VLOOKUP($A18,'vbs,vba'!$G:$H,2,FALSE),"")</f>
        <v>コメント</v>
      </c>
      <c r="C18" t="str">
        <f ca="1">IFERROR(VLOOKUP($A18,python!$I:$J,2,FALSE),"")</f>
        <v/>
      </c>
      <c r="D18" t="str">
        <f ca="1">IFERROR(VLOOKUP($A18,bat!$F:$G,2,FALSE),"")</f>
        <v/>
      </c>
      <c r="E18" t="str">
        <f ca="1">IFERROR(VLOOKUP($A18,shell!$F:$G,2,FALSE),"")</f>
        <v>リソース制限(設定値変更オプション)</v>
      </c>
      <c r="F18" t="str">
        <f t="shared" ca="1" si="3"/>
        <v>コメントリソース制限(設定値変更オプション)</v>
      </c>
      <c r="G18">
        <f ca="1">IF($F18="","",COUNTIF($F$3:$F18,$F18))</f>
        <v>1</v>
      </c>
      <c r="H18">
        <f ca="1">IF(OR(G18&gt;1,G18=""),"",COUNTIF($G$3:$G18,1))</f>
        <v>15</v>
      </c>
      <c r="I18" t="str">
        <f t="shared" ca="1" si="4"/>
        <v>コメントリソース制限(設定値変更オプション)</v>
      </c>
      <c r="K18">
        <f t="shared" si="8"/>
        <v>15</v>
      </c>
      <c r="L18" t="str">
        <f t="shared" ca="1" si="0"/>
        <v>コメントリソース制限(設定値変更オプション)</v>
      </c>
      <c r="M18" s="2" t="str">
        <f t="shared" ca="1" si="1"/>
        <v/>
      </c>
      <c r="N18" s="2" t="str">
        <f t="shared" ca="1" si="2"/>
        <v/>
      </c>
      <c r="O18" s="2" t="str">
        <f t="shared" ca="1" si="5"/>
        <v/>
      </c>
      <c r="P18" s="2" t="str">
        <f t="shared" ca="1" si="6"/>
        <v/>
      </c>
    </row>
    <row r="19" spans="1:16">
      <c r="A19">
        <f t="shared" si="7"/>
        <v>16</v>
      </c>
      <c r="B19" t="str">
        <f ca="1">IFERROR(VLOOKUP($A19,'vbs,vba'!$G:$H,2,FALSE),"")</f>
        <v>分岐 if</v>
      </c>
      <c r="C19" t="str">
        <f ca="1">IFERROR(VLOOKUP($A19,python!$I:$J,2,FALSE),"")</f>
        <v/>
      </c>
      <c r="D19" t="str">
        <f ca="1">IFERROR(VLOOKUP($A19,bat!$F:$G,2,FALSE),"")</f>
        <v/>
      </c>
      <c r="E19" t="str">
        <f ca="1">IFERROR(VLOOKUP($A19,shell!$F:$G,2,FALSE),"")</f>
        <v>リソース制限(設定値変更オプション)</v>
      </c>
      <c r="F19" t="str">
        <f t="shared" ca="1" si="3"/>
        <v>分岐 ifリソース制限(設定値変更オプション)</v>
      </c>
      <c r="G19">
        <f ca="1">IF($F19="","",COUNTIF($F$3:$F19,$F19))</f>
        <v>1</v>
      </c>
      <c r="H19">
        <f ca="1">IF(OR(G19&gt;1,G19=""),"",COUNTIF($G$3:$G19,1))</f>
        <v>16</v>
      </c>
      <c r="I19" t="str">
        <f t="shared" ca="1" si="4"/>
        <v>分岐 ifリソース制限(設定値変更オプション)</v>
      </c>
      <c r="K19">
        <f t="shared" si="8"/>
        <v>16</v>
      </c>
      <c r="L19" t="str">
        <f t="shared" ca="1" si="0"/>
        <v>分岐 ifリソース制限(設定値変更オプション)</v>
      </c>
      <c r="M19" s="2" t="str">
        <f t="shared" ca="1" si="1"/>
        <v/>
      </c>
      <c r="N19" s="2" t="str">
        <f t="shared" ca="1" si="2"/>
        <v/>
      </c>
      <c r="O19" s="2" t="str">
        <f t="shared" ca="1" si="5"/>
        <v/>
      </c>
      <c r="P19" s="2" t="str">
        <f t="shared" ca="1" si="6"/>
        <v/>
      </c>
    </row>
    <row r="20" spans="1:16">
      <c r="A20">
        <f t="shared" si="7"/>
        <v>17</v>
      </c>
      <c r="B20" t="str">
        <f ca="1">IFERROR(VLOOKUP($A20,'vbs,vba'!$G:$H,2,FALSE),"")</f>
        <v>分岐 if（空オブジェクト確認）</v>
      </c>
      <c r="C20" t="str">
        <f ca="1">IFERROR(VLOOKUP($A20,python!$I:$J,2,FALSE),"")</f>
        <v/>
      </c>
      <c r="D20" t="str">
        <f ca="1">IFERROR(VLOOKUP($A20,bat!$F:$G,2,FALSE),"")</f>
        <v/>
      </c>
      <c r="E20" t="str">
        <f ca="1">IFERROR(VLOOKUP($A20,shell!$F:$G,2,FALSE),"")</f>
        <v>リソース制限(設定値変更オプション)</v>
      </c>
      <c r="F20" t="str">
        <f t="shared" ca="1" si="3"/>
        <v>分岐 if（空オブジェクト確認）リソース制限(設定値変更オプション)</v>
      </c>
      <c r="G20">
        <f ca="1">IF($F20="","",COUNTIF($F$3:$F20,$F20))</f>
        <v>1</v>
      </c>
      <c r="H20">
        <f ca="1">IF(OR(G20&gt;1,G20=""),"",COUNTIF($G$3:$G20,1))</f>
        <v>17</v>
      </c>
      <c r="I20" t="str">
        <f t="shared" ca="1" si="4"/>
        <v>分岐 if（空オブジェクト確認）リソース制限(設定値変更オプション)</v>
      </c>
      <c r="K20">
        <f t="shared" si="8"/>
        <v>17</v>
      </c>
      <c r="L20" t="str">
        <f t="shared" ca="1" si="0"/>
        <v>分岐 if（空オブジェクト確認）リソース制限(設定値変更オプション)</v>
      </c>
      <c r="M20" s="2" t="str">
        <f t="shared" ca="1" si="1"/>
        <v/>
      </c>
      <c r="N20" s="2" t="str">
        <f t="shared" ca="1" si="2"/>
        <v/>
      </c>
      <c r="O20" s="2" t="str">
        <f t="shared" ca="1" si="5"/>
        <v/>
      </c>
      <c r="P20" s="2" t="str">
        <f t="shared" ca="1" si="6"/>
        <v/>
      </c>
    </row>
    <row r="21" spans="1:16">
      <c r="A21">
        <f t="shared" si="7"/>
        <v>18</v>
      </c>
      <c r="B21" t="str">
        <f ca="1">IFERROR(VLOOKUP($A21,'vbs,vba'!$G:$H,2,FALSE),"")</f>
        <v>分岐 switch</v>
      </c>
      <c r="C21" t="str">
        <f ca="1">IFERROR(VLOOKUP($A21,python!$I:$J,2,FALSE),"")</f>
        <v/>
      </c>
      <c r="D21" t="str">
        <f ca="1">IFERROR(VLOOKUP($A21,bat!$F:$G,2,FALSE),"")</f>
        <v/>
      </c>
      <c r="E21" t="str">
        <f ca="1">IFERROR(VLOOKUP($A21,shell!$F:$G,2,FALSE),"")</f>
        <v>リソース制限(設定値変更オプション)</v>
      </c>
      <c r="F21" t="str">
        <f t="shared" ca="1" si="3"/>
        <v>分岐 switchリソース制限(設定値変更オプション)</v>
      </c>
      <c r="G21">
        <f ca="1">IF($F21="","",COUNTIF($F$3:$F21,$F21))</f>
        <v>1</v>
      </c>
      <c r="H21">
        <f ca="1">IF(OR(G21&gt;1,G21=""),"",COUNTIF($G$3:$G21,1))</f>
        <v>18</v>
      </c>
      <c r="I21" t="str">
        <f t="shared" ca="1" si="4"/>
        <v>分岐 switchリソース制限(設定値変更オプション)</v>
      </c>
      <c r="K21">
        <f t="shared" si="8"/>
        <v>18</v>
      </c>
      <c r="L21" t="str">
        <f t="shared" ca="1" si="0"/>
        <v>分岐 switchリソース制限(設定値変更オプション)</v>
      </c>
      <c r="M21" s="2" t="str">
        <f t="shared" ca="1" si="1"/>
        <v/>
      </c>
      <c r="N21" s="2" t="str">
        <f t="shared" ca="1" si="2"/>
        <v/>
      </c>
      <c r="O21" s="2" t="str">
        <f t="shared" ca="1" si="5"/>
        <v/>
      </c>
      <c r="P21" s="2" t="str">
        <f t="shared" ca="1" si="6"/>
        <v/>
      </c>
    </row>
    <row r="22" spans="1:16">
      <c r="A22">
        <f t="shared" si="7"/>
        <v>19</v>
      </c>
      <c r="B22" t="str">
        <f ca="1">IFERROR(VLOOKUP($A22,'vbs,vba'!$G:$H,2,FALSE),"")</f>
        <v>繰返し for</v>
      </c>
      <c r="C22" t="str">
        <f ca="1">IFERROR(VLOOKUP($A22,python!$I:$J,2,FALSE),"")</f>
        <v/>
      </c>
      <c r="D22" t="str">
        <f ca="1">IFERROR(VLOOKUP($A22,bat!$F:$G,2,FALSE),"")</f>
        <v/>
      </c>
      <c r="E22" t="str">
        <f ca="1">IFERROR(VLOOKUP($A22,shell!$F:$G,2,FALSE),"")</f>
        <v>リソース制限(設定値変更オプション)</v>
      </c>
      <c r="F22" t="str">
        <f t="shared" ca="1" si="3"/>
        <v>繰返し forリソース制限(設定値変更オプション)</v>
      </c>
      <c r="G22">
        <f ca="1">IF($F22="","",COUNTIF($F$3:$F22,$F22))</f>
        <v>1</v>
      </c>
      <c r="H22">
        <f ca="1">IF(OR(G22&gt;1,G22=""),"",COUNTIF($G$3:$G22,1))</f>
        <v>19</v>
      </c>
      <c r="I22" t="str">
        <f t="shared" ca="1" si="4"/>
        <v>繰返し forリソース制限(設定値変更オプション)</v>
      </c>
      <c r="K22">
        <f t="shared" si="8"/>
        <v>19</v>
      </c>
      <c r="L22" t="str">
        <f t="shared" ca="1" si="0"/>
        <v>繰返し forリソース制限(設定値変更オプション)</v>
      </c>
      <c r="M22" s="2" t="str">
        <f t="shared" ca="1" si="1"/>
        <v/>
      </c>
      <c r="N22" s="2" t="str">
        <f t="shared" ca="1" si="2"/>
        <v/>
      </c>
      <c r="O22" s="2" t="str">
        <f t="shared" ca="1" si="5"/>
        <v/>
      </c>
      <c r="P22" s="2" t="str">
        <f t="shared" ca="1" si="6"/>
        <v/>
      </c>
    </row>
    <row r="23" spans="1:16">
      <c r="A23">
        <f t="shared" si="7"/>
        <v>20</v>
      </c>
      <c r="B23" t="str">
        <f ca="1">IFERROR(VLOOKUP($A23,'vbs,vba'!$G:$H,2,FALSE),"")</f>
        <v>繰返し for each</v>
      </c>
      <c r="C23" t="str">
        <f ca="1">IFERROR(VLOOKUP($A23,python!$I:$J,2,FALSE),"")</f>
        <v/>
      </c>
      <c r="D23" t="str">
        <f ca="1">IFERROR(VLOOKUP($A23,bat!$F:$G,2,FALSE),"")</f>
        <v/>
      </c>
      <c r="E23" t="str">
        <f ca="1">IFERROR(VLOOKUP($A23,shell!$F:$G,2,FALSE),"")</f>
        <v>リソース制限(設定値変更オプション)</v>
      </c>
      <c r="F23" t="str">
        <f t="shared" ca="1" si="3"/>
        <v>繰返し for eachリソース制限(設定値変更オプション)</v>
      </c>
      <c r="G23">
        <f ca="1">IF($F23="","",COUNTIF($F$3:$F23,$F23))</f>
        <v>1</v>
      </c>
      <c r="H23">
        <f ca="1">IF(OR(G23&gt;1,G23=""),"",COUNTIF($G$3:$G23,1))</f>
        <v>20</v>
      </c>
      <c r="I23" t="str">
        <f t="shared" ca="1" si="4"/>
        <v>繰返し for eachリソース制限(設定値変更オプション)</v>
      </c>
      <c r="K23">
        <f t="shared" si="8"/>
        <v>20</v>
      </c>
      <c r="L23" t="str">
        <f t="shared" ca="1" si="0"/>
        <v>繰返し for eachリソース制限(設定値変更オプション)</v>
      </c>
      <c r="M23" s="2" t="str">
        <f t="shared" ca="1" si="1"/>
        <v/>
      </c>
      <c r="N23" s="2" t="str">
        <f t="shared" ca="1" si="2"/>
        <v/>
      </c>
      <c r="O23" s="2" t="str">
        <f t="shared" ca="1" si="5"/>
        <v/>
      </c>
      <c r="P23" s="2" t="str">
        <f t="shared" ca="1" si="6"/>
        <v/>
      </c>
    </row>
    <row r="24" spans="1:16">
      <c r="A24">
        <f t="shared" si="7"/>
        <v>21</v>
      </c>
      <c r="B24" t="str">
        <f ca="1">IFERROR(VLOOKUP($A24,'vbs,vba'!$G:$H,2,FALSE),"")</f>
        <v>繰返し while</v>
      </c>
      <c r="C24" t="str">
        <f ca="1">IFERROR(VLOOKUP($A24,python!$I:$J,2,FALSE),"")</f>
        <v/>
      </c>
      <c r="D24" t="str">
        <f ca="1">IFERROR(VLOOKUP($A24,bat!$F:$G,2,FALSE),"")</f>
        <v/>
      </c>
      <c r="E24" t="str">
        <f ca="1">IFERROR(VLOOKUP($A24,shell!$F:$G,2,FALSE),"")</f>
        <v>リソース制限(設定値変更オプション)</v>
      </c>
      <c r="F24" t="str">
        <f t="shared" ca="1" si="3"/>
        <v>繰返し whileリソース制限(設定値変更オプション)</v>
      </c>
      <c r="G24">
        <f ca="1">IF($F24="","",COUNTIF($F$3:$F24,$F24))</f>
        <v>1</v>
      </c>
      <c r="H24">
        <f ca="1">IF(OR(G24&gt;1,G24=""),"",COUNTIF($G$3:$G24,1))</f>
        <v>21</v>
      </c>
      <c r="I24" t="str">
        <f t="shared" ca="1" si="4"/>
        <v>繰返し whileリソース制限(設定値変更オプション)</v>
      </c>
      <c r="K24">
        <f t="shared" si="8"/>
        <v>21</v>
      </c>
      <c r="L24" t="str">
        <f t="shared" ca="1" si="0"/>
        <v>繰返し whileリソース制限(設定値変更オプション)</v>
      </c>
      <c r="M24" s="2" t="str">
        <f t="shared" ca="1" si="1"/>
        <v/>
      </c>
      <c r="N24" s="2" t="str">
        <f t="shared" ca="1" si="2"/>
        <v/>
      </c>
      <c r="O24" s="2" t="str">
        <f t="shared" ca="1" si="5"/>
        <v/>
      </c>
      <c r="P24" s="2" t="str">
        <f t="shared" ca="1" si="6"/>
        <v/>
      </c>
    </row>
    <row r="25" spans="1:16">
      <c r="A25">
        <f t="shared" si="7"/>
        <v>22</v>
      </c>
      <c r="B25" t="str">
        <f ca="1">IFERROR(VLOOKUP($A25,'vbs,vba'!$G:$H,2,FALSE),"")</f>
        <v>繰返し do while</v>
      </c>
      <c r="C25" t="str">
        <f ca="1">IFERROR(VLOOKUP($A25,python!$I:$J,2,FALSE),"")</f>
        <v/>
      </c>
      <c r="D25" t="str">
        <f ca="1">IFERROR(VLOOKUP($A25,bat!$F:$G,2,FALSE),"")</f>
        <v/>
      </c>
      <c r="E25" t="str">
        <f ca="1">IFERROR(VLOOKUP($A25,shell!$F:$G,2,FALSE),"")</f>
        <v>リソース制限(設定値変更オプション)</v>
      </c>
      <c r="F25" t="str">
        <f t="shared" ca="1" si="3"/>
        <v>繰返し do whileリソース制限(設定値変更オプション)</v>
      </c>
      <c r="G25">
        <f ca="1">IF($F25="","",COUNTIF($F$3:$F25,$F25))</f>
        <v>1</v>
      </c>
      <c r="H25">
        <f ca="1">IF(OR(G25&gt;1,G25=""),"",COUNTIF($G$3:$G25,1))</f>
        <v>22</v>
      </c>
      <c r="I25" t="str">
        <f t="shared" ca="1" si="4"/>
        <v>繰返し do whileリソース制限(設定値変更オプション)</v>
      </c>
      <c r="K25">
        <f t="shared" si="8"/>
        <v>22</v>
      </c>
      <c r="L25" t="str">
        <f t="shared" ca="1" si="0"/>
        <v>繰返し do whileリソース制限(設定値変更オプション)</v>
      </c>
      <c r="M25" s="2" t="str">
        <f t="shared" ca="1" si="1"/>
        <v/>
      </c>
      <c r="N25" s="2" t="str">
        <f t="shared" ca="1" si="2"/>
        <v/>
      </c>
      <c r="O25" s="2" t="str">
        <f t="shared" ca="1" si="5"/>
        <v/>
      </c>
      <c r="P25" s="2" t="str">
        <f t="shared" ca="1" si="6"/>
        <v/>
      </c>
    </row>
    <row r="26" spans="1:16">
      <c r="A26">
        <f t="shared" si="7"/>
        <v>23</v>
      </c>
      <c r="B26" t="str">
        <f ca="1">IFERROR(VLOOKUP($A26,'vbs,vba'!$G:$H,2,FALSE),"")</f>
        <v>繰返し do until</v>
      </c>
      <c r="C26" t="str">
        <f ca="1">IFERROR(VLOOKUP($A26,python!$I:$J,2,FALSE),"")</f>
        <v/>
      </c>
      <c r="D26" t="str">
        <f ca="1">IFERROR(VLOOKUP($A26,bat!$F:$G,2,FALSE),"")</f>
        <v/>
      </c>
      <c r="E26" t="str">
        <f ca="1">IFERROR(VLOOKUP($A26,shell!$F:$G,2,FALSE),"")</f>
        <v>リソース制限(設定値変更オプション)</v>
      </c>
      <c r="F26" t="str">
        <f t="shared" ca="1" si="3"/>
        <v>繰返し do untilリソース制限(設定値変更オプション)</v>
      </c>
      <c r="G26">
        <f ca="1">IF($F26="","",COUNTIF($F$3:$F26,$F26))</f>
        <v>1</v>
      </c>
      <c r="H26">
        <f ca="1">IF(OR(G26&gt;1,G26=""),"",COUNTIF($G$3:$G26,1))</f>
        <v>23</v>
      </c>
      <c r="I26" t="str">
        <f t="shared" ca="1" si="4"/>
        <v>繰返し do untilリソース制限(設定値変更オプション)</v>
      </c>
      <c r="K26">
        <f t="shared" si="8"/>
        <v>23</v>
      </c>
      <c r="L26" t="str">
        <f t="shared" ca="1" si="0"/>
        <v>繰返し do untilリソース制限(設定値変更オプション)</v>
      </c>
      <c r="M26" s="2" t="str">
        <f t="shared" ca="1" si="1"/>
        <v/>
      </c>
      <c r="N26" s="2" t="str">
        <f t="shared" ca="1" si="2"/>
        <v/>
      </c>
      <c r="O26" s="2" t="str">
        <f t="shared" ca="1" si="5"/>
        <v/>
      </c>
      <c r="P26" s="2" t="str">
        <f t="shared" ca="1" si="6"/>
        <v/>
      </c>
    </row>
    <row r="27" spans="1:16">
      <c r="A27">
        <f t="shared" si="7"/>
        <v>24</v>
      </c>
      <c r="B27" t="str">
        <f ca="1">IFERROR(VLOOKUP($A27,'vbs,vba'!$G:$H,2,FALSE),"")</f>
        <v>with</v>
      </c>
      <c r="C27" t="str">
        <f ca="1">IFERROR(VLOOKUP($A27,python!$I:$J,2,FALSE),"")</f>
        <v/>
      </c>
      <c r="D27" t="str">
        <f ca="1">IFERROR(VLOOKUP($A27,bat!$F:$G,2,FALSE),"")</f>
        <v/>
      </c>
      <c r="E27" t="str">
        <f ca="1">IFERROR(VLOOKUP($A27,shell!$F:$G,2,FALSE),"")</f>
        <v>リソース制限(設定値変更オプション)</v>
      </c>
      <c r="F27" t="str">
        <f t="shared" ca="1" si="3"/>
        <v>withリソース制限(設定値変更オプション)</v>
      </c>
      <c r="G27">
        <f ca="1">IF($F27="","",COUNTIF($F$3:$F27,$F27))</f>
        <v>1</v>
      </c>
      <c r="H27">
        <f ca="1">IF(OR(G27&gt;1,G27=""),"",COUNTIF($G$3:$G27,1))</f>
        <v>24</v>
      </c>
      <c r="I27" t="str">
        <f t="shared" ca="1" si="4"/>
        <v>withリソース制限(設定値変更オプション)</v>
      </c>
      <c r="K27">
        <f t="shared" si="8"/>
        <v>24</v>
      </c>
      <c r="L27" t="str">
        <f t="shared" ca="1" si="0"/>
        <v>withリソース制限(設定値変更オプション)</v>
      </c>
      <c r="M27" s="2" t="str">
        <f t="shared" ca="1" si="1"/>
        <v/>
      </c>
      <c r="N27" s="2" t="str">
        <f t="shared" ca="1" si="2"/>
        <v/>
      </c>
      <c r="O27" s="2" t="str">
        <f t="shared" ca="1" si="5"/>
        <v/>
      </c>
      <c r="P27" s="2" t="str">
        <f t="shared" ca="1" si="6"/>
        <v/>
      </c>
    </row>
    <row r="28" spans="1:16">
      <c r="A28">
        <f t="shared" si="7"/>
        <v>25</v>
      </c>
      <c r="B28" t="str">
        <f ca="1">IFERROR(VLOOKUP($A28,'vbs,vba'!$G:$H,2,FALSE),"")</f>
        <v>ブロック脱出（Sub/Function/For/Do）</v>
      </c>
      <c r="C28" t="str">
        <f ca="1">IFERROR(VLOOKUP($A28,python!$I:$J,2,FALSE),"")</f>
        <v/>
      </c>
      <c r="D28" t="str">
        <f ca="1">IFERROR(VLOOKUP($A28,bat!$F:$G,2,FALSE),"")</f>
        <v/>
      </c>
      <c r="E28" t="str">
        <f ca="1">IFERROR(VLOOKUP($A28,shell!$F:$G,2,FALSE),"")</f>
        <v>リソース制限(設定値変更オプション)</v>
      </c>
      <c r="F28" t="str">
        <f t="shared" ca="1" si="3"/>
        <v>ブロック脱出（Sub/Function/For/Do）リソース制限(設定値変更オプション)</v>
      </c>
      <c r="G28">
        <f ca="1">IF($F28="","",COUNTIF($F$3:$F28,$F28))</f>
        <v>1</v>
      </c>
      <c r="H28">
        <f ca="1">IF(OR(G28&gt;1,G28=""),"",COUNTIF($G$3:$G28,1))</f>
        <v>25</v>
      </c>
      <c r="I28" t="str">
        <f t="shared" ca="1" si="4"/>
        <v>ブロック脱出（Sub/Function/For/Do）リソース制限(設定値変更オプション)</v>
      </c>
      <c r="K28">
        <f t="shared" si="8"/>
        <v>25</v>
      </c>
      <c r="L28" t="str">
        <f t="shared" ca="1" si="0"/>
        <v>ブロック脱出（Sub/Function/For/Do）リソース制限(設定値変更オプション)</v>
      </c>
      <c r="M28" s="2" t="str">
        <f t="shared" ca="1" si="1"/>
        <v/>
      </c>
      <c r="N28" s="2" t="str">
        <f t="shared" ca="1" si="2"/>
        <v/>
      </c>
      <c r="O28" s="2" t="str">
        <f t="shared" ca="1" si="5"/>
        <v/>
      </c>
      <c r="P28" s="2" t="str">
        <f t="shared" ca="1" si="6"/>
        <v/>
      </c>
    </row>
    <row r="29" spans="1:16">
      <c r="A29">
        <f t="shared" si="7"/>
        <v>26</v>
      </c>
      <c r="B29" t="str">
        <f ca="1">IFERROR(VLOOKUP($A29,'vbs,vba'!$G:$H,2,FALSE),"")</f>
        <v>テキスト入力(InputBox)</v>
      </c>
      <c r="C29" t="str">
        <f ca="1">IFERROR(VLOOKUP($A29,python!$I:$J,2,FALSE),"")</f>
        <v/>
      </c>
      <c r="D29" t="str">
        <f ca="1">IFERROR(VLOOKUP($A29,bat!$F:$G,2,FALSE),"")</f>
        <v/>
      </c>
      <c r="E29" t="str">
        <f ca="1">IFERROR(VLOOKUP($A29,shell!$F:$G,2,FALSE),"")</f>
        <v>リソース制限(設定値変更オプション)</v>
      </c>
      <c r="F29" t="str">
        <f t="shared" ca="1" si="3"/>
        <v>テキスト入力(InputBox)リソース制限(設定値変更オプション)</v>
      </c>
      <c r="G29">
        <f ca="1">IF($F29="","",COUNTIF($F$3:$F29,$F29))</f>
        <v>1</v>
      </c>
      <c r="H29">
        <f ca="1">IF(OR(G29&gt;1,G29=""),"",COUNTIF($G$3:$G29,1))</f>
        <v>26</v>
      </c>
      <c r="I29" t="str">
        <f t="shared" ca="1" si="4"/>
        <v>テキスト入力(InputBox)リソース制限(設定値変更オプション)</v>
      </c>
      <c r="K29">
        <f t="shared" si="8"/>
        <v>26</v>
      </c>
      <c r="L29" t="str">
        <f t="shared" ca="1" si="0"/>
        <v>テキスト入力(InputBox)リソース制限(設定値変更オプション)</v>
      </c>
      <c r="M29" s="2" t="str">
        <f t="shared" ca="1" si="1"/>
        <v/>
      </c>
      <c r="N29" s="2" t="str">
        <f t="shared" ca="1" si="2"/>
        <v/>
      </c>
      <c r="O29" s="2" t="str">
        <f t="shared" ca="1" si="5"/>
        <v/>
      </c>
      <c r="P29" s="2" t="str">
        <f t="shared" ca="1" si="6"/>
        <v/>
      </c>
    </row>
    <row r="30" spans="1:16">
      <c r="A30">
        <f t="shared" si="7"/>
        <v>27</v>
      </c>
      <c r="B30" t="str">
        <f ca="1">IFERROR(VLOOKUP($A30,'vbs,vba'!$G:$H,2,FALSE),"")</f>
        <v>テキスト入力(InputBox)時のキャンセル判定</v>
      </c>
      <c r="C30" t="str">
        <f ca="1">IFERROR(VLOOKUP($A30,python!$I:$J,2,FALSE),"")</f>
        <v/>
      </c>
      <c r="D30" t="str">
        <f ca="1">IFERROR(VLOOKUP($A30,bat!$F:$G,2,FALSE),"")</f>
        <v/>
      </c>
      <c r="E30" t="str">
        <f ca="1">IFERROR(VLOOKUP($A30,shell!$F:$G,2,FALSE),"")</f>
        <v>リソース制限(設定値変更オプション)</v>
      </c>
      <c r="F30" t="str">
        <f t="shared" ca="1" si="3"/>
        <v>テキスト入力(InputBox)時のキャンセル判定リソース制限(設定値変更オプション)</v>
      </c>
      <c r="G30">
        <f ca="1">IF($F30="","",COUNTIF($F$3:$F30,$F30))</f>
        <v>1</v>
      </c>
      <c r="H30">
        <f ca="1">IF(OR(G30&gt;1,G30=""),"",COUNTIF($G$3:$G30,1))</f>
        <v>27</v>
      </c>
      <c r="I30" t="str">
        <f t="shared" ca="1" si="4"/>
        <v>テキスト入力(InputBox)時のキャンセル判定リソース制限(設定値変更オプション)</v>
      </c>
      <c r="K30">
        <f t="shared" si="8"/>
        <v>27</v>
      </c>
      <c r="L30" t="str">
        <f t="shared" ca="1" si="0"/>
        <v>テキスト入力(InputBox)時のキャンセル判定リソース制限(設定値変更オプション)</v>
      </c>
      <c r="M30" s="2" t="str">
        <f t="shared" ca="1" si="1"/>
        <v/>
      </c>
      <c r="N30" s="2" t="str">
        <f t="shared" ca="1" si="2"/>
        <v/>
      </c>
      <c r="O30" s="2" t="str">
        <f t="shared" ca="1" si="5"/>
        <v/>
      </c>
      <c r="P30" s="2" t="str">
        <f t="shared" ca="1" si="6"/>
        <v/>
      </c>
    </row>
    <row r="31" spans="1:16">
      <c r="A31">
        <f t="shared" si="7"/>
        <v>28</v>
      </c>
      <c r="B31" t="str">
        <f ca="1">IFERROR(VLOOKUP($A31,'vbs,vba'!$G:$H,2,FALSE),"")</f>
        <v>メッセージ出力(MsgBox)</v>
      </c>
      <c r="C31" t="str">
        <f ca="1">IFERROR(VLOOKUP($A31,python!$I:$J,2,FALSE),"")</f>
        <v/>
      </c>
      <c r="D31" t="str">
        <f ca="1">IFERROR(VLOOKUP($A31,bat!$F:$G,2,FALSE),"")</f>
        <v/>
      </c>
      <c r="E31" t="str">
        <f ca="1">IFERROR(VLOOKUP($A31,shell!$F:$G,2,FALSE),"")</f>
        <v>リソース制限(設定値変更オプション)</v>
      </c>
      <c r="F31" t="str">
        <f t="shared" ca="1" si="3"/>
        <v>メッセージ出力(MsgBox)リソース制限(設定値変更オプション)</v>
      </c>
      <c r="G31">
        <f ca="1">IF($F31="","",COUNTIF($F$3:$F31,$F31))</f>
        <v>1</v>
      </c>
      <c r="H31">
        <f ca="1">IF(OR(G31&gt;1,G31=""),"",COUNTIF($G$3:$G31,1))</f>
        <v>28</v>
      </c>
      <c r="I31" t="str">
        <f t="shared" ca="1" si="4"/>
        <v>メッセージ出力(MsgBox)リソース制限(設定値変更オプション)</v>
      </c>
      <c r="K31">
        <f t="shared" si="8"/>
        <v>28</v>
      </c>
      <c r="L31" t="str">
        <f t="shared" ca="1" si="0"/>
        <v>メッセージ出力(MsgBox)リソース制限(設定値変更オプション)</v>
      </c>
      <c r="M31" s="2" t="str">
        <f t="shared" ca="1" si="1"/>
        <v/>
      </c>
      <c r="N31" s="2" t="str">
        <f t="shared" ca="1" si="2"/>
        <v/>
      </c>
      <c r="O31" s="2" t="str">
        <f t="shared" ca="1" si="5"/>
        <v/>
      </c>
      <c r="P31" s="2" t="str">
        <f t="shared" ca="1" si="6"/>
        <v/>
      </c>
    </row>
    <row r="32" spans="1:16">
      <c r="A32">
        <f t="shared" si="7"/>
        <v>29</v>
      </c>
      <c r="B32" t="str">
        <f ca="1">IFERROR(VLOOKUP($A32,'vbs,vba'!$G:$H,2,FALSE),"")</f>
        <v>メッセージ出力(WScript.Echo)</v>
      </c>
      <c r="C32" t="str">
        <f ca="1">IFERROR(VLOOKUP($A32,python!$I:$J,2,FALSE),"")</f>
        <v/>
      </c>
      <c r="D32" t="str">
        <f ca="1">IFERROR(VLOOKUP($A32,bat!$F:$G,2,FALSE),"")</f>
        <v/>
      </c>
      <c r="E32" t="str">
        <f ca="1">IFERROR(VLOOKUP($A32,shell!$F:$G,2,FALSE),"")</f>
        <v>ユーザID表示</v>
      </c>
      <c r="F32" t="str">
        <f t="shared" ca="1" si="3"/>
        <v>メッセージ出力(WScript.Echo)ユーザID表示</v>
      </c>
      <c r="G32">
        <f ca="1">IF($F32="","",COUNTIF($F$3:$F32,$F32))</f>
        <v>1</v>
      </c>
      <c r="H32">
        <f ca="1">IF(OR(G32&gt;1,G32=""),"",COUNTIF($G$3:$G32,1))</f>
        <v>29</v>
      </c>
      <c r="I32" t="str">
        <f t="shared" ca="1" si="4"/>
        <v>メッセージ出力(WScript.Echo)ユーザID表示</v>
      </c>
      <c r="K32">
        <f t="shared" si="8"/>
        <v>29</v>
      </c>
      <c r="L32" t="str">
        <f t="shared" ca="1" si="0"/>
        <v>メッセージ出力(WScript.Echo)ユーザID表示</v>
      </c>
      <c r="M32" s="2" t="str">
        <f t="shared" ca="1" si="1"/>
        <v/>
      </c>
      <c r="N32" s="2" t="str">
        <f t="shared" ca="1" si="2"/>
        <v/>
      </c>
      <c r="O32" s="2" t="str">
        <f t="shared" ca="1" si="5"/>
        <v/>
      </c>
      <c r="P32" s="2" t="str">
        <f t="shared" ca="1" si="6"/>
        <v/>
      </c>
    </row>
    <row r="33" spans="1:16">
      <c r="A33">
        <f t="shared" si="7"/>
        <v>30</v>
      </c>
      <c r="B33" t="str">
        <f ca="1">IFERROR(VLOOKUP($A33,'vbs,vba'!$G:$H,2,FALSE),"")</f>
        <v>メッセージ出力(Wscript.StdOut.WriteLine)</v>
      </c>
      <c r="C33" t="str">
        <f ca="1">IFERROR(VLOOKUP($A33,python!$I:$J,2,FALSE),"")</f>
        <v/>
      </c>
      <c r="D33" t="str">
        <f ca="1">IFERROR(VLOOKUP($A33,bat!$F:$G,2,FALSE),"")</f>
        <v/>
      </c>
      <c r="E33" t="str">
        <f ca="1">IFERROR(VLOOKUP($A33,shell!$F:$G,2,FALSE),"")</f>
        <v>現在ログイン名表示</v>
      </c>
      <c r="F33" t="str">
        <f t="shared" ca="1" si="3"/>
        <v>メッセージ出力(Wscript.StdOut.WriteLine)現在ログイン名表示</v>
      </c>
      <c r="G33">
        <f ca="1">IF($F33="","",COUNTIF($F$3:$F33,$F33))</f>
        <v>1</v>
      </c>
      <c r="H33">
        <f ca="1">IF(OR(G33&gt;1,G33=""),"",COUNTIF($G$3:$G33,1))</f>
        <v>30</v>
      </c>
      <c r="I33" t="str">
        <f t="shared" ca="1" si="4"/>
        <v>メッセージ出力(Wscript.StdOut.WriteLine)現在ログイン名表示</v>
      </c>
      <c r="K33">
        <f t="shared" si="8"/>
        <v>30</v>
      </c>
      <c r="L33" t="str">
        <f t="shared" ca="1" si="0"/>
        <v>メッセージ出力(Wscript.StdOut.WriteLine)現在ログイン名表示</v>
      </c>
      <c r="M33" s="2" t="str">
        <f t="shared" ca="1" si="1"/>
        <v/>
      </c>
      <c r="N33" s="2" t="str">
        <f t="shared" ca="1" si="2"/>
        <v/>
      </c>
      <c r="O33" s="2" t="str">
        <f t="shared" ca="1" si="5"/>
        <v/>
      </c>
      <c r="P33" s="2" t="str">
        <f t="shared" ca="1" si="6"/>
        <v/>
      </c>
    </row>
    <row r="34" spans="1:16">
      <c r="A34">
        <f t="shared" si="7"/>
        <v>31</v>
      </c>
      <c r="B34" t="str">
        <f ca="1">IFERROR(VLOOKUP($A34,'vbs,vba'!$G:$H,2,FALSE),"")</f>
        <v>処理継続チェック＆中断処理</v>
      </c>
      <c r="C34" t="str">
        <f ca="1">IFERROR(VLOOKUP($A34,python!$I:$J,2,FALSE),"")</f>
        <v/>
      </c>
      <c r="D34" t="str">
        <f ca="1">IFERROR(VLOOKUP($A34,bat!$F:$G,2,FALSE),"")</f>
        <v/>
      </c>
      <c r="E34" t="str">
        <f ca="1">IFERROR(VLOOKUP($A34,shell!$F:$G,2,FALSE),"")</f>
        <v>現在ユーザIDに関連付けされているユーザ名表示</v>
      </c>
      <c r="F34" t="str">
        <f t="shared" ca="1" si="3"/>
        <v>処理継続チェック＆中断処理現在ユーザIDに関連付けされているユーザ名表示</v>
      </c>
      <c r="G34">
        <f ca="1">IF($F34="","",COUNTIF($F$3:$F34,$F34))</f>
        <v>1</v>
      </c>
      <c r="H34">
        <f ca="1">IF(OR(G34&gt;1,G34=""),"",COUNTIF($G$3:$G34,1))</f>
        <v>31</v>
      </c>
      <c r="I34" t="str">
        <f t="shared" ca="1" si="4"/>
        <v>処理継続チェック＆中断処理現在ユーザIDに関連付けされているユーザ名表示</v>
      </c>
      <c r="K34">
        <f t="shared" si="8"/>
        <v>31</v>
      </c>
      <c r="L34" t="str">
        <f t="shared" ca="1" si="0"/>
        <v>処理継続チェック＆中断処理現在ユーザIDに関連付けされているユーザ名表示</v>
      </c>
      <c r="M34" s="2" t="str">
        <f t="shared" ca="1" si="1"/>
        <v/>
      </c>
      <c r="N34" s="2" t="str">
        <f t="shared" ca="1" si="2"/>
        <v/>
      </c>
      <c r="O34" s="2" t="str">
        <f t="shared" ca="1" si="5"/>
        <v/>
      </c>
      <c r="P34" s="2" t="str">
        <f t="shared" ca="1" si="6"/>
        <v/>
      </c>
    </row>
    <row r="35" spans="1:16">
      <c r="A35">
        <f t="shared" si="7"/>
        <v>32</v>
      </c>
      <c r="B35" t="str">
        <f ca="1">IFERROR(VLOOKUP($A35,'vbs,vba'!$G:$H,2,FALSE),"")</f>
        <v>処理継続チェック(Debug.Assert)</v>
      </c>
      <c r="C35" t="str">
        <f ca="1">IFERROR(VLOOKUP($A35,python!$I:$J,2,FALSE),"")</f>
        <v/>
      </c>
      <c r="D35" t="str">
        <f ca="1">IFERROR(VLOOKUP($A35,bat!$F:$G,2,FALSE),"")</f>
        <v/>
      </c>
      <c r="E35" t="str">
        <f ca="1">IFERROR(VLOOKUP($A35,shell!$F:$G,2,FALSE),"")</f>
        <v>所属グループ名表示</v>
      </c>
      <c r="F35" t="str">
        <f t="shared" ca="1" si="3"/>
        <v>処理継続チェック(Debug.Assert)所属グループ名表示</v>
      </c>
      <c r="G35">
        <f ca="1">IF($F35="","",COUNTIF($F$3:$F35,$F35))</f>
        <v>1</v>
      </c>
      <c r="H35">
        <f ca="1">IF(OR(G35&gt;1,G35=""),"",COUNTIF($G$3:$G35,1))</f>
        <v>32</v>
      </c>
      <c r="I35" t="str">
        <f t="shared" ca="1" si="4"/>
        <v>処理継続チェック(Debug.Assert)所属グループ名表示</v>
      </c>
      <c r="K35">
        <f t="shared" si="8"/>
        <v>32</v>
      </c>
      <c r="L35" t="str">
        <f t="shared" ca="1" si="0"/>
        <v>処理継続チェック(Debug.Assert)所属グループ名表示</v>
      </c>
      <c r="M35" s="2" t="str">
        <f t="shared" ca="1" si="1"/>
        <v/>
      </c>
      <c r="N35" s="2" t="str">
        <f t="shared" ca="1" si="2"/>
        <v/>
      </c>
      <c r="O35" s="2" t="str">
        <f t="shared" ca="1" si="5"/>
        <v/>
      </c>
      <c r="P35" s="2" t="str">
        <f t="shared" ca="1" si="6"/>
        <v/>
      </c>
    </row>
    <row r="36" spans="1:16">
      <c r="A36">
        <f t="shared" si="7"/>
        <v>33</v>
      </c>
      <c r="B36" t="str">
        <f ca="1">IFERROR(VLOOKUP($A36,'vbs,vba'!$G:$H,2,FALSE),"")</f>
        <v>クラスインスタンス生成</v>
      </c>
      <c r="C36" t="str">
        <f ca="1">IFERROR(VLOOKUP($A36,python!$I:$J,2,FALSE),"")</f>
        <v/>
      </c>
      <c r="D36" t="str">
        <f ca="1">IFERROR(VLOOKUP($A36,bat!$F:$G,2,FALSE),"")</f>
        <v/>
      </c>
      <c r="E36" t="str">
        <f ca="1">IFERROR(VLOOKUP($A36,shell!$F:$G,2,FALSE),"")</f>
        <v>ログインユーザ一覧表示</v>
      </c>
      <c r="F36" t="str">
        <f t="shared" ca="1" si="3"/>
        <v>クラスインスタンス生成ログインユーザ一覧表示</v>
      </c>
      <c r="G36">
        <f ca="1">IF($F36="","",COUNTIF($F$3:$F36,$F36))</f>
        <v>1</v>
      </c>
      <c r="H36">
        <f ca="1">IF(OR(G36&gt;1,G36=""),"",COUNTIF($G$3:$G36,1))</f>
        <v>33</v>
      </c>
      <c r="I36" t="str">
        <f t="shared" ca="1" si="4"/>
        <v>クラスインスタンス生成ログインユーザ一覧表示</v>
      </c>
      <c r="K36">
        <f t="shared" si="8"/>
        <v>33</v>
      </c>
      <c r="L36" t="str">
        <f t="shared" ca="1" si="0"/>
        <v>クラスインスタンス生成ログインユーザ一覧表示</v>
      </c>
      <c r="M36" s="2" t="str">
        <f t="shared" ca="1" si="1"/>
        <v/>
      </c>
      <c r="N36" s="2" t="str">
        <f t="shared" ca="1" si="2"/>
        <v/>
      </c>
      <c r="O36" s="2" t="str">
        <f t="shared" ca="1" si="5"/>
        <v/>
      </c>
      <c r="P36" s="2" t="str">
        <f t="shared" ca="1" si="6"/>
        <v/>
      </c>
    </row>
    <row r="37" spans="1:16">
      <c r="A37">
        <f t="shared" si="7"/>
        <v>34</v>
      </c>
      <c r="B37" t="str">
        <f ca="1">IFERROR(VLOOKUP($A37,'vbs,vba'!$G:$H,2,FALSE),"")</f>
        <v>クラスインスタンス破棄</v>
      </c>
      <c r="C37" t="str">
        <f ca="1">IFERROR(VLOOKUP($A37,python!$I:$J,2,FALSE),"")</f>
        <v/>
      </c>
      <c r="D37" t="str">
        <f ca="1">IFERROR(VLOOKUP($A37,bat!$F:$G,2,FALSE),"")</f>
        <v/>
      </c>
      <c r="E37" t="str">
        <f ca="1">IFERROR(VLOOKUP($A37,shell!$F:$G,2,FALSE),"")</f>
        <v>ログオン中ユーザ情報表示</v>
      </c>
      <c r="F37" t="str">
        <f t="shared" ca="1" si="3"/>
        <v>クラスインスタンス破棄ログオン中ユーザ情報表示</v>
      </c>
      <c r="G37">
        <f ca="1">IF($F37="","",COUNTIF($F$3:$F37,$F37))</f>
        <v>1</v>
      </c>
      <c r="H37">
        <f ca="1">IF(OR(G37&gt;1,G37=""),"",COUNTIF($G$3:$G37,1))</f>
        <v>34</v>
      </c>
      <c r="I37" t="str">
        <f t="shared" ca="1" si="4"/>
        <v>クラスインスタンス破棄ログオン中ユーザ情報表示</v>
      </c>
      <c r="K37">
        <f t="shared" si="8"/>
        <v>34</v>
      </c>
      <c r="L37" t="str">
        <f t="shared" ca="1" si="0"/>
        <v>クラスインスタンス破棄ログオン中ユーザ情報表示</v>
      </c>
      <c r="M37" s="2" t="str">
        <f t="shared" ca="1" si="1"/>
        <v/>
      </c>
      <c r="N37" s="2" t="str">
        <f t="shared" ca="1" si="2"/>
        <v/>
      </c>
      <c r="O37" s="2" t="str">
        <f t="shared" ca="1" si="5"/>
        <v/>
      </c>
      <c r="P37" s="2" t="str">
        <f t="shared" ca="1" si="6"/>
        <v/>
      </c>
    </row>
    <row r="38" spans="1:16">
      <c r="A38">
        <f t="shared" si="7"/>
        <v>35</v>
      </c>
      <c r="B38" t="str">
        <f ca="1">IFERROR(VLOOKUP($A38,'vbs,vba'!$G:$H,2,FALSE),"")</f>
        <v>連続コマンド実行</v>
      </c>
      <c r="C38" t="str">
        <f ca="1">IFERROR(VLOOKUP($A38,python!$I:$J,2,FALSE),"")</f>
        <v/>
      </c>
      <c r="D38" t="str">
        <f ca="1">IFERROR(VLOOKUP($A38,bat!$F:$G,2,FALSE),"")</f>
        <v/>
      </c>
      <c r="E38" t="str">
        <f ca="1">IFERROR(VLOOKUP($A38,shell!$F:$G,2,FALSE),"")</f>
        <v>ユーザアカウント作成</v>
      </c>
      <c r="F38" t="str">
        <f t="shared" ca="1" si="3"/>
        <v>連続コマンド実行ユーザアカウント作成</v>
      </c>
      <c r="G38">
        <f ca="1">IF($F38="","",COUNTIF($F$3:$F38,$F38))</f>
        <v>1</v>
      </c>
      <c r="H38">
        <f ca="1">IF(OR(G38&gt;1,G38=""),"",COUNTIF($G$3:$G38,1))</f>
        <v>35</v>
      </c>
      <c r="I38" t="str">
        <f t="shared" ca="1" si="4"/>
        <v>連続コマンド実行ユーザアカウント作成</v>
      </c>
      <c r="K38">
        <f t="shared" si="8"/>
        <v>35</v>
      </c>
      <c r="L38" t="str">
        <f t="shared" ca="1" si="0"/>
        <v>連続コマンド実行ユーザアカウント作成</v>
      </c>
      <c r="M38" s="2" t="str">
        <f t="shared" ca="1" si="1"/>
        <v/>
      </c>
      <c r="N38" s="2" t="str">
        <f t="shared" ca="1" si="2"/>
        <v/>
      </c>
      <c r="O38" s="2" t="str">
        <f t="shared" ca="1" si="5"/>
        <v/>
      </c>
      <c r="P38" s="2" t="str">
        <f t="shared" ca="1" si="6"/>
        <v/>
      </c>
    </row>
    <row r="39" spans="1:16">
      <c r="A39">
        <f t="shared" si="7"/>
        <v>36</v>
      </c>
      <c r="B39" t="str">
        <f ca="1">IFERROR(VLOOKUP($A39,'vbs,vba'!$G:$H,2,FALSE),"")</f>
        <v>一時停止</v>
      </c>
      <c r="C39" t="str">
        <f ca="1">IFERROR(VLOOKUP($A39,python!$I:$J,2,FALSE),"")</f>
        <v/>
      </c>
      <c r="D39" t="str">
        <f ca="1">IFERROR(VLOOKUP($A39,bat!$F:$G,2,FALSE),"")</f>
        <v/>
      </c>
      <c r="E39" t="str">
        <f ca="1">IFERROR(VLOOKUP($A39,shell!$F:$G,2,FALSE),"")</f>
        <v>ユーザアカウント変更(グループ変更)</v>
      </c>
      <c r="F39" t="str">
        <f t="shared" ca="1" si="3"/>
        <v>一時停止ユーザアカウント変更(グループ変更)</v>
      </c>
      <c r="G39">
        <f ca="1">IF($F39="","",COUNTIF($F$3:$F39,$F39))</f>
        <v>1</v>
      </c>
      <c r="H39">
        <f ca="1">IF(OR(G39&gt;1,G39=""),"",COUNTIF($G$3:$G39,1))</f>
        <v>36</v>
      </c>
      <c r="I39" t="str">
        <f t="shared" ca="1" si="4"/>
        <v>一時停止ユーザアカウント変更(グループ変更)</v>
      </c>
      <c r="K39">
        <f t="shared" si="8"/>
        <v>36</v>
      </c>
      <c r="L39" t="str">
        <f t="shared" ca="1" si="0"/>
        <v>一時停止ユーザアカウント変更(グループ変更)</v>
      </c>
      <c r="M39" s="2" t="str">
        <f t="shared" ca="1" si="1"/>
        <v/>
      </c>
      <c r="N39" s="2" t="str">
        <f t="shared" ca="1" si="2"/>
        <v/>
      </c>
      <c r="O39" s="2" t="str">
        <f t="shared" ca="1" si="5"/>
        <v/>
      </c>
      <c r="P39" s="2" t="str">
        <f t="shared" ca="1" si="6"/>
        <v/>
      </c>
    </row>
    <row r="40" spans="1:16">
      <c r="A40">
        <f t="shared" si="7"/>
        <v>37</v>
      </c>
      <c r="B40" t="str">
        <f ca="1">IFERROR(VLOOKUP($A40,'vbs,vba'!$G:$H,2,FALSE),"")</f>
        <v>プログラム終了</v>
      </c>
      <c r="C40" t="str">
        <f ca="1">IFERROR(VLOOKUP($A40,python!$I:$J,2,FALSE),"")</f>
        <v/>
      </c>
      <c r="D40" t="str">
        <f ca="1">IFERROR(VLOOKUP($A40,bat!$F:$G,2,FALSE),"")</f>
        <v/>
      </c>
      <c r="E40" t="str">
        <f ca="1">IFERROR(VLOOKUP($A40,shell!$F:$G,2,FALSE),"")</f>
        <v>ユーザアカウント削除</v>
      </c>
      <c r="F40" t="str">
        <f t="shared" ca="1" si="3"/>
        <v>プログラム終了ユーザアカウント削除</v>
      </c>
      <c r="G40">
        <f ca="1">IF($F40="","",COUNTIF($F$3:$F40,$F40))</f>
        <v>1</v>
      </c>
      <c r="H40">
        <f ca="1">IF(OR(G40&gt;1,G40=""),"",COUNTIF($G$3:$G40,1))</f>
        <v>37</v>
      </c>
      <c r="I40" t="str">
        <f t="shared" ca="1" si="4"/>
        <v>プログラム終了ユーザアカウント削除</v>
      </c>
      <c r="K40">
        <f t="shared" si="8"/>
        <v>37</v>
      </c>
      <c r="L40" t="str">
        <f t="shared" ca="1" si="0"/>
        <v>プログラム終了ユーザアカウント削除</v>
      </c>
      <c r="M40" s="2" t="str">
        <f t="shared" ca="1" si="1"/>
        <v/>
      </c>
      <c r="N40" s="2" t="str">
        <f t="shared" ca="1" si="2"/>
        <v/>
      </c>
      <c r="O40" s="2" t="str">
        <f t="shared" ca="1" si="5"/>
        <v/>
      </c>
      <c r="P40" s="2" t="str">
        <f t="shared" ca="1" si="6"/>
        <v/>
      </c>
    </row>
    <row r="41" spans="1:16">
      <c r="A41">
        <f t="shared" si="7"/>
        <v>38</v>
      </c>
      <c r="B41" t="str">
        <f ca="1">IFERROR(VLOOKUP($A41,'vbs,vba'!$G:$H,2,FALSE),"")</f>
        <v>スクリプト引数 取得</v>
      </c>
      <c r="C41" t="str">
        <f ca="1">IFERROR(VLOOKUP($A41,python!$I:$J,2,FALSE),"")</f>
        <v/>
      </c>
      <c r="D41" t="str">
        <f ca="1">IFERROR(VLOOKUP($A41,bat!$F:$G,2,FALSE),"")</f>
        <v/>
      </c>
      <c r="E41" t="str">
        <f ca="1">IFERROR(VLOOKUP($A41,shell!$F:$G,2,FALSE),"")</f>
        <v>グループアカウント作成</v>
      </c>
      <c r="F41" t="str">
        <f t="shared" ca="1" si="3"/>
        <v>スクリプト引数 取得グループアカウント作成</v>
      </c>
      <c r="G41">
        <f ca="1">IF($F41="","",COUNTIF($F$3:$F41,$F41))</f>
        <v>1</v>
      </c>
      <c r="H41">
        <f ca="1">IF(OR(G41&gt;1,G41=""),"",COUNTIF($G$3:$G41,1))</f>
        <v>38</v>
      </c>
      <c r="I41" t="str">
        <f t="shared" ca="1" si="4"/>
        <v>スクリプト引数 取得グループアカウント作成</v>
      </c>
      <c r="K41">
        <f t="shared" si="8"/>
        <v>38</v>
      </c>
      <c r="L41" t="str">
        <f t="shared" ca="1" si="0"/>
        <v>スクリプト引数 取得グループアカウント作成</v>
      </c>
      <c r="M41" s="2" t="str">
        <f t="shared" ca="1" si="1"/>
        <v/>
      </c>
      <c r="N41" s="2" t="str">
        <f t="shared" ca="1" si="2"/>
        <v/>
      </c>
      <c r="O41" s="2" t="str">
        <f t="shared" ca="1" si="5"/>
        <v/>
      </c>
      <c r="P41" s="2" t="str">
        <f t="shared" ca="1" si="6"/>
        <v/>
      </c>
    </row>
    <row r="42" spans="1:16">
      <c r="A42">
        <f t="shared" si="7"/>
        <v>39</v>
      </c>
      <c r="B42" t="str">
        <f ca="1">IFERROR(VLOOKUP($A42,'vbs,vba'!$G:$H,2,FALSE),"")</f>
        <v>スクリプト引数の数 取得</v>
      </c>
      <c r="C42" t="str">
        <f ca="1">IFERROR(VLOOKUP($A42,python!$I:$J,2,FALSE),"")</f>
        <v/>
      </c>
      <c r="D42" t="str">
        <f ca="1">IFERROR(VLOOKUP($A42,bat!$F:$G,2,FALSE),"")</f>
        <v/>
      </c>
      <c r="E42" t="str">
        <f ca="1">IFERROR(VLOOKUP($A42,shell!$F:$G,2,FALSE),"")</f>
        <v>グループアカウント変更</v>
      </c>
      <c r="F42" t="str">
        <f t="shared" ca="1" si="3"/>
        <v>スクリプト引数の数 取得グループアカウント変更</v>
      </c>
      <c r="G42">
        <f ca="1">IF($F42="","",COUNTIF($F$3:$F42,$F42))</f>
        <v>1</v>
      </c>
      <c r="H42">
        <f ca="1">IF(OR(G42&gt;1,G42=""),"",COUNTIF($G$3:$G42,1))</f>
        <v>39</v>
      </c>
      <c r="I42" t="str">
        <f t="shared" ca="1" si="4"/>
        <v>スクリプト引数の数 取得グループアカウント変更</v>
      </c>
      <c r="K42">
        <f t="shared" si="8"/>
        <v>39</v>
      </c>
      <c r="L42" t="str">
        <f t="shared" ca="1" si="0"/>
        <v>スクリプト引数の数 取得グループアカウント変更</v>
      </c>
      <c r="M42" s="2" t="str">
        <f t="shared" ca="1" si="1"/>
        <v/>
      </c>
      <c r="N42" s="2" t="str">
        <f t="shared" ca="1" si="2"/>
        <v/>
      </c>
      <c r="O42" s="2" t="str">
        <f t="shared" ca="1" si="5"/>
        <v/>
      </c>
      <c r="P42" s="2" t="str">
        <f t="shared" ca="1" si="6"/>
        <v/>
      </c>
    </row>
    <row r="43" spans="1:16">
      <c r="A43">
        <f t="shared" si="7"/>
        <v>40</v>
      </c>
      <c r="B43" t="str">
        <f ca="1">IFERROR(VLOOKUP($A43,'vbs,vba'!$G:$H,2,FALSE),"")</f>
        <v>置換</v>
      </c>
      <c r="C43" t="str">
        <f ca="1">IFERROR(VLOOKUP($A43,python!$I:$J,2,FALSE),"")</f>
        <v/>
      </c>
      <c r="D43" t="str">
        <f ca="1">IFERROR(VLOOKUP($A43,bat!$F:$G,2,FALSE),"")</f>
        <v/>
      </c>
      <c r="E43" t="str">
        <f ca="1">IFERROR(VLOOKUP($A43,shell!$F:$G,2,FALSE),"")</f>
        <v>グループアカウント削除</v>
      </c>
      <c r="F43" t="str">
        <f t="shared" ca="1" si="3"/>
        <v>置換グループアカウント削除</v>
      </c>
      <c r="G43">
        <f ca="1">IF($F43="","",COUNTIF($F$3:$F43,$F43))</f>
        <v>1</v>
      </c>
      <c r="H43">
        <f ca="1">IF(OR(G43&gt;1,G43=""),"",COUNTIF($G$3:$G43,1))</f>
        <v>40</v>
      </c>
      <c r="I43" t="str">
        <f t="shared" ca="1" si="4"/>
        <v>置換グループアカウント削除</v>
      </c>
      <c r="K43">
        <f t="shared" si="8"/>
        <v>40</v>
      </c>
      <c r="L43" t="str">
        <f t="shared" ca="1" si="0"/>
        <v>置換グループアカウント削除</v>
      </c>
      <c r="M43" s="2" t="str">
        <f t="shared" ca="1" si="1"/>
        <v/>
      </c>
      <c r="N43" s="2" t="str">
        <f t="shared" ca="1" si="2"/>
        <v/>
      </c>
      <c r="O43" s="2" t="str">
        <f t="shared" ca="1" si="5"/>
        <v/>
      </c>
      <c r="P43" s="2" t="str">
        <f t="shared" ca="1" si="6"/>
        <v/>
      </c>
    </row>
    <row r="44" spans="1:16">
      <c r="A44">
        <f t="shared" si="7"/>
        <v>41</v>
      </c>
      <c r="B44" t="str">
        <f ca="1">IFERROR(VLOOKUP($A44,'vbs,vba'!$G:$H,2,FALSE),"")</f>
        <v>文字列検索（前方）</v>
      </c>
      <c r="C44" t="str">
        <f ca="1">IFERROR(VLOOKUP($A44,python!$I:$J,2,FALSE),"")</f>
        <v/>
      </c>
      <c r="D44" t="str">
        <f ca="1">IFERROR(VLOOKUP($A44,bat!$F:$G,2,FALSE),"")</f>
        <v/>
      </c>
      <c r="E44" t="str">
        <f ca="1">IFERROR(VLOOKUP($A44,shell!$F:$G,2,FALSE),"")</f>
        <v>所属グループ表示</v>
      </c>
      <c r="F44" t="str">
        <f t="shared" ca="1" si="3"/>
        <v>文字列検索（前方）所属グループ表示</v>
      </c>
      <c r="G44">
        <f ca="1">IF($F44="","",COUNTIF($F$3:$F44,$F44))</f>
        <v>1</v>
      </c>
      <c r="H44">
        <f ca="1">IF(OR(G44&gt;1,G44=""),"",COUNTIF($G$3:$G44,1))</f>
        <v>41</v>
      </c>
      <c r="I44" t="str">
        <f t="shared" ca="1" si="4"/>
        <v>文字列検索（前方）所属グループ表示</v>
      </c>
      <c r="K44">
        <f t="shared" si="8"/>
        <v>41</v>
      </c>
      <c r="L44" t="str">
        <f t="shared" ca="1" si="0"/>
        <v>文字列検索（前方）所属グループ表示</v>
      </c>
      <c r="M44" s="2" t="str">
        <f t="shared" ca="1" si="1"/>
        <v/>
      </c>
      <c r="N44" s="2" t="str">
        <f t="shared" ca="1" si="2"/>
        <v/>
      </c>
      <c r="O44" s="2" t="str">
        <f t="shared" ca="1" si="5"/>
        <v/>
      </c>
      <c r="P44" s="2" t="str">
        <f t="shared" ca="1" si="6"/>
        <v/>
      </c>
    </row>
    <row r="45" spans="1:16">
      <c r="A45">
        <f t="shared" si="7"/>
        <v>42</v>
      </c>
      <c r="B45" t="str">
        <f ca="1">IFERROR(VLOOKUP($A45,'vbs,vba'!$G:$H,2,FALSE),"")</f>
        <v>文字列検索（後方）</v>
      </c>
      <c r="C45" t="str">
        <f ca="1">IFERROR(VLOOKUP($A45,python!$I:$J,2,FALSE),"")</f>
        <v/>
      </c>
      <c r="D45" t="str">
        <f ca="1">IFERROR(VLOOKUP($A45,bat!$F:$G,2,FALSE),"")</f>
        <v/>
      </c>
      <c r="E45" t="str">
        <f ca="1">IFERROR(VLOOKUP($A45,shell!$F:$G,2,FALSE),"")</f>
        <v>ログインパスワード変更</v>
      </c>
      <c r="F45" t="str">
        <f t="shared" ca="1" si="3"/>
        <v>文字列検索（後方）ログインパスワード変更</v>
      </c>
      <c r="G45">
        <f ca="1">IF($F45="","",COUNTIF($F$3:$F45,$F45))</f>
        <v>1</v>
      </c>
      <c r="H45">
        <f ca="1">IF(OR(G45&gt;1,G45=""),"",COUNTIF($G$3:$G45,1))</f>
        <v>42</v>
      </c>
      <c r="I45" t="str">
        <f t="shared" ca="1" si="4"/>
        <v>文字列検索（後方）ログインパスワード変更</v>
      </c>
      <c r="K45">
        <f t="shared" si="8"/>
        <v>42</v>
      </c>
      <c r="L45" t="str">
        <f t="shared" ca="1" si="0"/>
        <v>文字列検索（後方）ログインパスワード変更</v>
      </c>
      <c r="M45" s="2" t="str">
        <f t="shared" ca="1" si="1"/>
        <v/>
      </c>
      <c r="N45" s="2" t="str">
        <f t="shared" ca="1" si="2"/>
        <v/>
      </c>
      <c r="O45" s="2" t="str">
        <f t="shared" ca="1" si="5"/>
        <v/>
      </c>
      <c r="P45" s="2" t="str">
        <f t="shared" ca="1" si="6"/>
        <v/>
      </c>
    </row>
    <row r="46" spans="1:16">
      <c r="A46">
        <f t="shared" si="7"/>
        <v>43</v>
      </c>
      <c r="B46" t="str">
        <f ca="1">IFERROR(VLOOKUP($A46,'vbs,vba'!$G:$H,2,FALSE),"")</f>
        <v>文字列 長さ（文字数）</v>
      </c>
      <c r="C46" t="str">
        <f ca="1">IFERROR(VLOOKUP($A46,python!$I:$J,2,FALSE),"")</f>
        <v/>
      </c>
      <c r="D46" t="str">
        <f ca="1">IFERROR(VLOOKUP($A46,bat!$F:$G,2,FALSE),"")</f>
        <v/>
      </c>
      <c r="E46" t="str">
        <f ca="1">IFERROR(VLOOKUP($A46,shell!$F:$G,2,FALSE),"")</f>
        <v>ログインシェル変更</v>
      </c>
      <c r="F46" t="str">
        <f t="shared" ca="1" si="3"/>
        <v>文字列 長さ（文字数）ログインシェル変更</v>
      </c>
      <c r="G46">
        <f ca="1">IF($F46="","",COUNTIF($F$3:$F46,$F46))</f>
        <v>1</v>
      </c>
      <c r="H46">
        <f ca="1">IF(OR(G46&gt;1,G46=""),"",COUNTIF($G$3:$G46,1))</f>
        <v>43</v>
      </c>
      <c r="I46" t="str">
        <f t="shared" ca="1" si="4"/>
        <v>文字列 長さ（文字数）ログインシェル変更</v>
      </c>
      <c r="K46">
        <f t="shared" si="8"/>
        <v>43</v>
      </c>
      <c r="L46" t="str">
        <f t="shared" ca="1" si="0"/>
        <v>文字列 長さ（文字数）ログインシェル変更</v>
      </c>
      <c r="M46" s="2" t="str">
        <f t="shared" ca="1" si="1"/>
        <v/>
      </c>
      <c r="N46" s="2" t="str">
        <f t="shared" ca="1" si="2"/>
        <v/>
      </c>
      <c r="O46" s="2" t="str">
        <f t="shared" ca="1" si="5"/>
        <v/>
      </c>
      <c r="P46" s="2" t="str">
        <f t="shared" ca="1" si="6"/>
        <v/>
      </c>
    </row>
    <row r="47" spans="1:16">
      <c r="A47">
        <f t="shared" si="7"/>
        <v>44</v>
      </c>
      <c r="B47" t="str">
        <f ca="1">IFERROR(VLOOKUP($A47,'vbs,vba'!$G:$H,2,FALSE),"")</f>
        <v>文字列 長さ（バイト数）</v>
      </c>
      <c r="C47" t="str">
        <f ca="1">IFERROR(VLOOKUP($A47,python!$I:$J,2,FALSE),"")</f>
        <v/>
      </c>
      <c r="D47" t="str">
        <f ca="1">IFERROR(VLOOKUP($A47,bat!$F:$G,2,FALSE),"")</f>
        <v/>
      </c>
      <c r="E47" t="str">
        <f ca="1">IFERROR(VLOOKUP($A47,shell!$F:$G,2,FALSE),"")</f>
        <v>環境変数表示</v>
      </c>
      <c r="F47" t="str">
        <f t="shared" ca="1" si="3"/>
        <v>文字列 長さ（バイト数）環境変数表示</v>
      </c>
      <c r="G47">
        <f ca="1">IF($F47="","",COUNTIF($F$3:$F47,$F47))</f>
        <v>1</v>
      </c>
      <c r="H47">
        <f ca="1">IF(OR(G47&gt;1,G47=""),"",COUNTIF($G$3:$G47,1))</f>
        <v>44</v>
      </c>
      <c r="I47" t="str">
        <f t="shared" ca="1" si="4"/>
        <v>文字列 長さ（バイト数）環境変数表示</v>
      </c>
      <c r="K47">
        <f t="shared" si="8"/>
        <v>44</v>
      </c>
      <c r="L47" t="str">
        <f t="shared" ca="1" si="0"/>
        <v>文字列 長さ（バイト数）環境変数表示</v>
      </c>
      <c r="M47" s="2" t="str">
        <f t="shared" ca="1" si="1"/>
        <v/>
      </c>
      <c r="N47" s="2" t="str">
        <f t="shared" ca="1" si="2"/>
        <v/>
      </c>
      <c r="O47" s="2" t="str">
        <f t="shared" ca="1" si="5"/>
        <v/>
      </c>
      <c r="P47" s="2" t="str">
        <f t="shared" ca="1" si="6"/>
        <v/>
      </c>
    </row>
    <row r="48" spans="1:16">
      <c r="A48">
        <f t="shared" si="7"/>
        <v>45</v>
      </c>
      <c r="B48" t="str">
        <f ca="1">IFERROR(VLOOKUP($A48,'vbs,vba'!$G:$H,2,FALSE),"")</f>
        <v>文字列結合</v>
      </c>
      <c r="C48" t="str">
        <f ca="1">IFERROR(VLOOKUP($A48,python!$I:$J,2,FALSE),"")</f>
        <v/>
      </c>
      <c r="D48" t="str">
        <f ca="1">IFERROR(VLOOKUP($A48,bat!$F:$G,2,FALSE),"")</f>
        <v/>
      </c>
      <c r="E48" t="str">
        <f ca="1">IFERROR(VLOOKUP($A48,shell!$F:$G,2,FALSE),"")</f>
        <v>環境変数設定(csh系用)</v>
      </c>
      <c r="F48" t="str">
        <f t="shared" ca="1" si="3"/>
        <v>文字列結合環境変数設定(csh系用)</v>
      </c>
      <c r="G48">
        <f ca="1">IF($F48="","",COUNTIF($F$3:$F48,$F48))</f>
        <v>1</v>
      </c>
      <c r="H48">
        <f ca="1">IF(OR(G48&gt;1,G48=""),"",COUNTIF($G$3:$G48,1))</f>
        <v>45</v>
      </c>
      <c r="I48" t="str">
        <f t="shared" ca="1" si="4"/>
        <v>文字列結合環境変数設定(csh系用)</v>
      </c>
      <c r="K48">
        <f t="shared" si="8"/>
        <v>45</v>
      </c>
      <c r="L48" t="str">
        <f t="shared" ca="1" si="0"/>
        <v>文字列結合環境変数設定(csh系用)</v>
      </c>
      <c r="M48" s="2" t="str">
        <f t="shared" ca="1" si="1"/>
        <v/>
      </c>
      <c r="N48" s="2" t="str">
        <f t="shared" ca="1" si="2"/>
        <v/>
      </c>
      <c r="O48" s="2" t="str">
        <f t="shared" ca="1" si="5"/>
        <v/>
      </c>
      <c r="P48" s="2" t="str">
        <f t="shared" ca="1" si="6"/>
        <v/>
      </c>
    </row>
    <row r="49" spans="1:16">
      <c r="A49">
        <f t="shared" si="7"/>
        <v>46</v>
      </c>
      <c r="B49" t="str">
        <f ca="1">IFERROR(VLOOKUP($A49,'vbs,vba'!$G:$H,2,FALSE),"")</f>
        <v>文字列抽出 左</v>
      </c>
      <c r="C49" t="str">
        <f ca="1">IFERROR(VLOOKUP($A49,python!$I:$J,2,FALSE),"")</f>
        <v/>
      </c>
      <c r="D49" t="str">
        <f ca="1">IFERROR(VLOOKUP($A49,bat!$F:$G,2,FALSE),"")</f>
        <v/>
      </c>
      <c r="E49" t="str">
        <f ca="1">IFERROR(VLOOKUP($A49,shell!$F:$G,2,FALSE),"")</f>
        <v>環境変数設定(sh系用)</v>
      </c>
      <c r="F49" t="str">
        <f t="shared" ca="1" si="3"/>
        <v>文字列抽出 左環境変数設定(sh系用)</v>
      </c>
      <c r="G49">
        <f ca="1">IF($F49="","",COUNTIF($F$3:$F49,$F49))</f>
        <v>1</v>
      </c>
      <c r="H49">
        <f ca="1">IF(OR(G49&gt;1,G49=""),"",COUNTIF($G$3:$G49,1))</f>
        <v>46</v>
      </c>
      <c r="I49" t="str">
        <f t="shared" ca="1" si="4"/>
        <v>文字列抽出 左環境変数設定(sh系用)</v>
      </c>
      <c r="K49">
        <f t="shared" si="8"/>
        <v>46</v>
      </c>
      <c r="L49" t="str">
        <f t="shared" ca="1" si="0"/>
        <v>文字列抽出 左環境変数設定(sh系用)</v>
      </c>
      <c r="M49" s="2" t="str">
        <f t="shared" ca="1" si="1"/>
        <v/>
      </c>
      <c r="N49" s="2" t="str">
        <f t="shared" ca="1" si="2"/>
        <v/>
      </c>
      <c r="O49" s="2" t="str">
        <f t="shared" ca="1" si="5"/>
        <v/>
      </c>
      <c r="P49" s="2" t="str">
        <f t="shared" ca="1" si="6"/>
        <v/>
      </c>
    </row>
    <row r="50" spans="1:16">
      <c r="A50">
        <f t="shared" si="7"/>
        <v>47</v>
      </c>
      <c r="B50" t="str">
        <f ca="1">IFERROR(VLOOKUP($A50,'vbs,vba'!$G:$H,2,FALSE),"")</f>
        <v>文字列抽出 中</v>
      </c>
      <c r="C50" t="str">
        <f ca="1">IFERROR(VLOOKUP($A50,python!$I:$J,2,FALSE),"")</f>
        <v/>
      </c>
      <c r="D50" t="str">
        <f ca="1">IFERROR(VLOOKUP($A50,bat!$F:$G,2,FALSE),"")</f>
        <v/>
      </c>
      <c r="E50" t="str">
        <f ca="1">IFERROR(VLOOKUP($A50,shell!$F:$G,2,FALSE),"")</f>
        <v>環境変数変更(一時的)</v>
      </c>
      <c r="F50" t="str">
        <f t="shared" ca="1" si="3"/>
        <v>文字列抽出 中環境変数変更(一時的)</v>
      </c>
      <c r="G50">
        <f ca="1">IF($F50="","",COUNTIF($F$3:$F50,$F50))</f>
        <v>1</v>
      </c>
      <c r="H50">
        <f ca="1">IF(OR(G50&gt;1,G50=""),"",COUNTIF($G$3:$G50,1))</f>
        <v>47</v>
      </c>
      <c r="I50" t="str">
        <f t="shared" ca="1" si="4"/>
        <v>文字列抽出 中環境変数変更(一時的)</v>
      </c>
      <c r="K50">
        <f t="shared" si="8"/>
        <v>47</v>
      </c>
      <c r="L50" t="str">
        <f t="shared" ca="1" si="0"/>
        <v>文字列抽出 中環境変数変更(一時的)</v>
      </c>
      <c r="M50" s="2" t="str">
        <f t="shared" ca="1" si="1"/>
        <v/>
      </c>
      <c r="N50" s="2" t="str">
        <f t="shared" ca="1" si="2"/>
        <v/>
      </c>
      <c r="O50" s="2" t="str">
        <f t="shared" ca="1" si="5"/>
        <v/>
      </c>
      <c r="P50" s="2" t="str">
        <f t="shared" ca="1" si="6"/>
        <v/>
      </c>
    </row>
    <row r="51" spans="1:16">
      <c r="A51">
        <f t="shared" si="7"/>
        <v>48</v>
      </c>
      <c r="B51" t="str">
        <f ca="1">IFERROR(VLOOKUP($A51,'vbs,vba'!$G:$H,2,FALSE),"")</f>
        <v>文字列抽出 右</v>
      </c>
      <c r="C51" t="str">
        <f ca="1">IFERROR(VLOOKUP($A51,python!$I:$J,2,FALSE),"")</f>
        <v/>
      </c>
      <c r="D51" t="str">
        <f ca="1">IFERROR(VLOOKUP($A51,bat!$F:$G,2,FALSE),"")</f>
        <v/>
      </c>
      <c r="E51" t="str">
        <f ca="1">IFERROR(VLOOKUP($A51,shell!$F:$G,2,FALSE),"")</f>
        <v>環境変数表示</v>
      </c>
      <c r="F51" t="str">
        <f t="shared" ca="1" si="3"/>
        <v>文字列抽出 右環境変数表示</v>
      </c>
      <c r="G51">
        <f ca="1">IF($F51="","",COUNTIF($F$3:$F51,$F51))</f>
        <v>1</v>
      </c>
      <c r="H51">
        <f ca="1">IF(OR(G51&gt;1,G51=""),"",COUNTIF($G$3:$G51,1))</f>
        <v>48</v>
      </c>
      <c r="I51" t="str">
        <f t="shared" ca="1" si="4"/>
        <v>文字列抽出 右環境変数表示</v>
      </c>
      <c r="K51">
        <f t="shared" si="8"/>
        <v>48</v>
      </c>
      <c r="L51" t="str">
        <f t="shared" ca="1" si="0"/>
        <v>文字列抽出 右環境変数表示</v>
      </c>
      <c r="M51" s="2" t="str">
        <f t="shared" ca="1" si="1"/>
        <v/>
      </c>
      <c r="N51" s="2" t="str">
        <f t="shared" ca="1" si="2"/>
        <v/>
      </c>
      <c r="O51" s="2" t="str">
        <f t="shared" ca="1" si="5"/>
        <v/>
      </c>
      <c r="P51" s="2" t="str">
        <f t="shared" ca="1" si="6"/>
        <v/>
      </c>
    </row>
    <row r="52" spans="1:16">
      <c r="A52">
        <f t="shared" si="7"/>
        <v>49</v>
      </c>
      <c r="B52" t="str">
        <f ca="1">IFERROR(VLOOKUP($A52,'vbs,vba'!$G:$H,2,FALSE),"")</f>
        <v>文字列長 取得１</v>
      </c>
      <c r="C52" t="str">
        <f ca="1">IFERROR(VLOOKUP($A52,python!$I:$J,2,FALSE),"")</f>
        <v/>
      </c>
      <c r="D52" t="str">
        <f ca="1">IFERROR(VLOOKUP($A52,bat!$F:$G,2,FALSE),"")</f>
        <v/>
      </c>
      <c r="E52" t="str">
        <f ca="1">IFERROR(VLOOKUP($A52,shell!$F:$G,2,FALSE),"")</f>
        <v>環境変数設定(複数行)</v>
      </c>
      <c r="F52" t="str">
        <f t="shared" ca="1" si="3"/>
        <v>文字列長 取得１環境変数設定(複数行)</v>
      </c>
      <c r="G52">
        <f ca="1">IF($F52="","",COUNTIF($F$3:$F52,$F52))</f>
        <v>1</v>
      </c>
      <c r="H52">
        <f ca="1">IF(OR(G52&gt;1,G52=""),"",COUNTIF($G$3:$G52,1))</f>
        <v>49</v>
      </c>
      <c r="I52" t="str">
        <f t="shared" ca="1" si="4"/>
        <v>文字列長 取得１環境変数設定(複数行)</v>
      </c>
      <c r="K52">
        <f t="shared" si="8"/>
        <v>49</v>
      </c>
      <c r="L52" t="str">
        <f t="shared" ca="1" si="0"/>
        <v>文字列長 取得１環境変数設定(複数行)</v>
      </c>
      <c r="M52" s="2" t="str">
        <f t="shared" ca="1" si="1"/>
        <v/>
      </c>
      <c r="N52" s="2" t="str">
        <f t="shared" ca="1" si="2"/>
        <v/>
      </c>
      <c r="O52" s="2" t="str">
        <f t="shared" ca="1" si="5"/>
        <v/>
      </c>
      <c r="P52" s="2" t="str">
        <f t="shared" ca="1" si="6"/>
        <v/>
      </c>
    </row>
    <row r="53" spans="1:16">
      <c r="A53">
        <f t="shared" si="7"/>
        <v>50</v>
      </c>
      <c r="B53" t="str">
        <f ca="1">IFERROR(VLOOKUP($A53,'vbs,vba'!$G:$H,2,FALSE),"")</f>
        <v>文字列長 取得２</v>
      </c>
      <c r="C53" t="str">
        <f ca="1">IFERROR(VLOOKUP($A53,python!$I:$J,2,FALSE),"")</f>
        <v/>
      </c>
      <c r="D53" t="str">
        <f ca="1">IFERROR(VLOOKUP($A53,bat!$F:$G,2,FALSE),"")</f>
        <v/>
      </c>
      <c r="E53" t="str">
        <f ca="1">IFERROR(VLOOKUP($A53,shell!$F:$G,2,FALSE),"")</f>
        <v>マウント</v>
      </c>
      <c r="F53" t="str">
        <f t="shared" ca="1" si="3"/>
        <v>文字列長 取得２マウント</v>
      </c>
      <c r="G53">
        <f ca="1">IF($F53="","",COUNTIF($F$3:$F53,$F53))</f>
        <v>1</v>
      </c>
      <c r="H53">
        <f ca="1">IF(OR(G53&gt;1,G53=""),"",COUNTIF($G$3:$G53,1))</f>
        <v>50</v>
      </c>
      <c r="I53" t="str">
        <f t="shared" ca="1" si="4"/>
        <v>文字列長 取得２マウント</v>
      </c>
      <c r="K53">
        <f t="shared" si="8"/>
        <v>50</v>
      </c>
      <c r="L53" t="str">
        <f t="shared" ca="1" si="0"/>
        <v>文字列長 取得２マウント</v>
      </c>
      <c r="M53" s="2" t="str">
        <f t="shared" ca="1" si="1"/>
        <v/>
      </c>
      <c r="N53" s="2" t="str">
        <f t="shared" ca="1" si="2"/>
        <v/>
      </c>
      <c r="O53" s="2" t="str">
        <f t="shared" ca="1" si="5"/>
        <v/>
      </c>
      <c r="P53" s="2" t="str">
        <f t="shared" ca="1" si="6"/>
        <v/>
      </c>
    </row>
    <row r="54" spans="1:16">
      <c r="A54">
        <f t="shared" si="7"/>
        <v>51</v>
      </c>
      <c r="B54" t="str">
        <f ca="1">IFERROR(VLOOKUP($A54,'vbs,vba'!$G:$H,2,FALSE),"")</f>
        <v>文字列長 取得３</v>
      </c>
      <c r="C54" t="str">
        <f ca="1">IFERROR(VLOOKUP($A54,python!$I:$J,2,FALSE),"")</f>
        <v/>
      </c>
      <c r="D54" t="str">
        <f ca="1">IFERROR(VLOOKUP($A54,bat!$F:$G,2,FALSE),"")</f>
        <v/>
      </c>
      <c r="E54" t="str">
        <f ca="1">IFERROR(VLOOKUP($A54,shell!$F:$G,2,FALSE),"")</f>
        <v>アンマウント</v>
      </c>
      <c r="F54" t="str">
        <f t="shared" ca="1" si="3"/>
        <v>文字列長 取得３アンマウント</v>
      </c>
      <c r="G54">
        <f ca="1">IF($F54="","",COUNTIF($F$3:$F54,$F54))</f>
        <v>1</v>
      </c>
      <c r="H54">
        <f ca="1">IF(OR(G54&gt;1,G54=""),"",COUNTIF($G$3:$G54,1))</f>
        <v>51</v>
      </c>
      <c r="I54" t="str">
        <f t="shared" ca="1" si="4"/>
        <v>文字列長 取得３アンマウント</v>
      </c>
      <c r="K54">
        <f t="shared" si="8"/>
        <v>51</v>
      </c>
      <c r="L54" t="str">
        <f t="shared" ca="1" si="0"/>
        <v>文字列長 取得３アンマウント</v>
      </c>
      <c r="M54" s="2" t="str">
        <f t="shared" ca="1" si="1"/>
        <v/>
      </c>
      <c r="N54" s="2" t="str">
        <f t="shared" ca="1" si="2"/>
        <v/>
      </c>
      <c r="O54" s="2" t="str">
        <f t="shared" ca="1" si="5"/>
        <v/>
      </c>
      <c r="P54" s="2" t="str">
        <f t="shared" ca="1" si="6"/>
        <v/>
      </c>
    </row>
    <row r="55" spans="1:16">
      <c r="A55">
        <f t="shared" si="7"/>
        <v>52</v>
      </c>
      <c r="B55" t="str">
        <f ca="1">IFERROR(VLOOKUP($A55,'vbs,vba'!$G:$H,2,FALSE),"")</f>
        <v>文字列⇒ASCII 変換</v>
      </c>
      <c r="C55" t="str">
        <f ca="1">IFERROR(VLOOKUP($A55,python!$I:$J,2,FALSE),"")</f>
        <v/>
      </c>
      <c r="D55" t="str">
        <f ca="1">IFERROR(VLOOKUP($A55,bat!$F:$G,2,FALSE),"")</f>
        <v/>
      </c>
      <c r="E55" t="str">
        <f ca="1">IFERROR(VLOOKUP($A55,shell!$F:$G,2,FALSE),"")</f>
        <v>マウント状況確認</v>
      </c>
      <c r="F55" t="str">
        <f t="shared" ca="1" si="3"/>
        <v>文字列⇒ASCII 変換マウント状況確認</v>
      </c>
      <c r="G55">
        <f ca="1">IF($F55="","",COUNTIF($F$3:$F55,$F55))</f>
        <v>1</v>
      </c>
      <c r="H55">
        <f ca="1">IF(OR(G55&gt;1,G55=""),"",COUNTIF($G$3:$G55,1))</f>
        <v>52</v>
      </c>
      <c r="I55" t="str">
        <f t="shared" ca="1" si="4"/>
        <v>文字列⇒ASCII 変換マウント状況確認</v>
      </c>
      <c r="K55">
        <f t="shared" si="8"/>
        <v>52</v>
      </c>
      <c r="L55" t="str">
        <f t="shared" ca="1" si="0"/>
        <v>文字列⇒ASCII 変換マウント状況確認</v>
      </c>
      <c r="M55" s="2" t="str">
        <f t="shared" ca="1" si="1"/>
        <v/>
      </c>
      <c r="N55" s="2" t="str">
        <f t="shared" ca="1" si="2"/>
        <v/>
      </c>
      <c r="O55" s="2" t="str">
        <f t="shared" ca="1" si="5"/>
        <v/>
      </c>
      <c r="P55" s="2" t="str">
        <f t="shared" ca="1" si="6"/>
        <v/>
      </c>
    </row>
    <row r="56" spans="1:16">
      <c r="A56">
        <f t="shared" si="7"/>
        <v>53</v>
      </c>
      <c r="B56" t="str">
        <f ca="1">IFERROR(VLOOKUP($A56,'vbs,vba'!$G:$H,2,FALSE),"")</f>
        <v>文字列の数値判定</v>
      </c>
      <c r="C56" t="str">
        <f ca="1">IFERROR(VLOOKUP($A56,python!$I:$J,2,FALSE),"")</f>
        <v/>
      </c>
      <c r="D56" t="str">
        <f ca="1">IFERROR(VLOOKUP($A56,bat!$F:$G,2,FALSE),"")</f>
        <v/>
      </c>
      <c r="E56" t="str">
        <f ca="1">IFERROR(VLOOKUP($A56,shell!$F:$G,2,FALSE),"")</f>
        <v>デバイス一覧表示</v>
      </c>
      <c r="F56" t="str">
        <f t="shared" ca="1" si="3"/>
        <v>文字列の数値判定デバイス一覧表示</v>
      </c>
      <c r="G56">
        <f ca="1">IF($F56="","",COUNTIF($F$3:$F56,$F56))</f>
        <v>1</v>
      </c>
      <c r="H56">
        <f ca="1">IF(OR(G56&gt;1,G56=""),"",COUNTIF($G$3:$G56,1))</f>
        <v>53</v>
      </c>
      <c r="I56" t="str">
        <f t="shared" ca="1" si="4"/>
        <v>文字列の数値判定デバイス一覧表示</v>
      </c>
      <c r="K56">
        <f t="shared" si="8"/>
        <v>53</v>
      </c>
      <c r="L56" t="str">
        <f t="shared" ca="1" si="0"/>
        <v>文字列の数値判定デバイス一覧表示</v>
      </c>
      <c r="M56" s="2" t="str">
        <f t="shared" ca="1" si="1"/>
        <v/>
      </c>
      <c r="N56" s="2" t="str">
        <f t="shared" ca="1" si="2"/>
        <v/>
      </c>
      <c r="O56" s="2" t="str">
        <f t="shared" ca="1" si="5"/>
        <v/>
      </c>
      <c r="P56" s="2" t="str">
        <f t="shared" ca="1" si="6"/>
        <v/>
      </c>
    </row>
    <row r="57" spans="1:16">
      <c r="A57">
        <f t="shared" si="7"/>
        <v>54</v>
      </c>
      <c r="B57" t="str">
        <f ca="1">IFERROR(VLOOKUP($A57,'vbs,vba'!$G:$H,2,FALSE),"")</f>
        <v>ASCII⇒文字列 変換</v>
      </c>
      <c r="C57" t="str">
        <f ca="1">IFERROR(VLOOKUP($A57,python!$I:$J,2,FALSE),"")</f>
        <v/>
      </c>
      <c r="D57" t="str">
        <f ca="1">IFERROR(VLOOKUP($A57,bat!$F:$G,2,FALSE),"")</f>
        <v/>
      </c>
      <c r="E57" t="str">
        <f ca="1">IFERROR(VLOOKUP($A57,shell!$F:$G,2,FALSE),"")</f>
        <v>時刻(システムクロック)表示</v>
      </c>
      <c r="F57" t="str">
        <f t="shared" ca="1" si="3"/>
        <v>ASCII⇒文字列 変換時刻(システムクロック)表示</v>
      </c>
      <c r="G57">
        <f ca="1">IF($F57="","",COUNTIF($F$3:$F57,$F57))</f>
        <v>1</v>
      </c>
      <c r="H57">
        <f ca="1">IF(OR(G57&gt;1,G57=""),"",COUNTIF($G$3:$G57,1))</f>
        <v>54</v>
      </c>
      <c r="I57" t="str">
        <f t="shared" ca="1" si="4"/>
        <v>ASCII⇒文字列 変換時刻(システムクロック)表示</v>
      </c>
      <c r="K57">
        <f t="shared" si="8"/>
        <v>54</v>
      </c>
      <c r="L57" t="str">
        <f t="shared" ca="1" si="0"/>
        <v>ASCII⇒文字列 変換時刻(システムクロック)表示</v>
      </c>
      <c r="M57" s="2" t="str">
        <f t="shared" ca="1" si="1"/>
        <v/>
      </c>
      <c r="N57" s="2" t="str">
        <f t="shared" ca="1" si="2"/>
        <v/>
      </c>
      <c r="O57" s="2" t="str">
        <f t="shared" ca="1" si="5"/>
        <v/>
      </c>
      <c r="P57" s="2" t="str">
        <f t="shared" ca="1" si="6"/>
        <v/>
      </c>
    </row>
    <row r="58" spans="1:16">
      <c r="A58">
        <f t="shared" si="7"/>
        <v>55</v>
      </c>
      <c r="B58" t="str">
        <f ca="1">IFERROR(VLOOKUP($A58,'vbs,vba'!$G:$H,2,FALSE),"")</f>
        <v>文字列繰り返し</v>
      </c>
      <c r="C58" t="str">
        <f ca="1">IFERROR(VLOOKUP($A58,python!$I:$J,2,FALSE),"")</f>
        <v/>
      </c>
      <c r="D58" t="str">
        <f ca="1">IFERROR(VLOOKUP($A58,bat!$F:$G,2,FALSE),"")</f>
        <v/>
      </c>
      <c r="E58" t="str">
        <f ca="1">IFERROR(VLOOKUP($A58,shell!$F:$G,2,FALSE),"")</f>
        <v>時刻(システムクロック)変更</v>
      </c>
      <c r="F58" t="str">
        <f t="shared" ca="1" si="3"/>
        <v>文字列繰り返し時刻(システムクロック)変更</v>
      </c>
      <c r="G58">
        <f ca="1">IF($F58="","",COUNTIF($F$3:$F58,$F58))</f>
        <v>1</v>
      </c>
      <c r="H58">
        <f ca="1">IF(OR(G58&gt;1,G58=""),"",COUNTIF($G$3:$G58,1))</f>
        <v>55</v>
      </c>
      <c r="I58" t="str">
        <f t="shared" ca="1" si="4"/>
        <v>文字列繰り返し時刻(システムクロック)変更</v>
      </c>
      <c r="K58">
        <f t="shared" si="8"/>
        <v>55</v>
      </c>
      <c r="L58" t="str">
        <f t="shared" ca="1" si="0"/>
        <v>文字列繰り返し時刻(システムクロック)変更</v>
      </c>
      <c r="M58" s="2" t="str">
        <f t="shared" ca="1" si="1"/>
        <v/>
      </c>
      <c r="N58" s="2" t="str">
        <f t="shared" ca="1" si="2"/>
        <v/>
      </c>
      <c r="O58" s="2" t="str">
        <f t="shared" ca="1" si="5"/>
        <v/>
      </c>
      <c r="P58" s="2" t="str">
        <f t="shared" ca="1" si="6"/>
        <v/>
      </c>
    </row>
    <row r="59" spans="1:16">
      <c r="A59">
        <f t="shared" si="7"/>
        <v>56</v>
      </c>
      <c r="B59" t="str">
        <f ca="1">IFERROR(VLOOKUP($A59,'vbs,vba'!$G:$H,2,FALSE),"")</f>
        <v>大文字化</v>
      </c>
      <c r="C59" t="str">
        <f ca="1">IFERROR(VLOOKUP($A59,python!$I:$J,2,FALSE),"")</f>
        <v/>
      </c>
      <c r="D59" t="str">
        <f ca="1">IFERROR(VLOOKUP($A59,bat!$F:$G,2,FALSE),"")</f>
        <v/>
      </c>
      <c r="E59" t="str">
        <f ca="1">IFERROR(VLOOKUP($A59,shell!$F:$G,2,FALSE),"")</f>
        <v>時刻(ハードウェアクロック)変更</v>
      </c>
      <c r="F59" t="str">
        <f t="shared" ca="1" si="3"/>
        <v>大文字化時刻(ハードウェアクロック)変更</v>
      </c>
      <c r="G59">
        <f ca="1">IF($F59="","",COUNTIF($F$3:$F59,$F59))</f>
        <v>1</v>
      </c>
      <c r="H59">
        <f ca="1">IF(OR(G59&gt;1,G59=""),"",COUNTIF($G$3:$G59,1))</f>
        <v>56</v>
      </c>
      <c r="I59" t="str">
        <f t="shared" ca="1" si="4"/>
        <v>大文字化時刻(ハードウェアクロック)変更</v>
      </c>
      <c r="K59">
        <f t="shared" si="8"/>
        <v>56</v>
      </c>
      <c r="L59" t="str">
        <f t="shared" ca="1" si="0"/>
        <v>大文字化時刻(ハードウェアクロック)変更</v>
      </c>
      <c r="M59" s="2" t="str">
        <f t="shared" ca="1" si="1"/>
        <v/>
      </c>
      <c r="N59" s="2" t="str">
        <f t="shared" ca="1" si="2"/>
        <v/>
      </c>
      <c r="O59" s="2" t="str">
        <f t="shared" ca="1" si="5"/>
        <v/>
      </c>
      <c r="P59" s="2" t="str">
        <f t="shared" ca="1" si="6"/>
        <v/>
      </c>
    </row>
    <row r="60" spans="1:16">
      <c r="A60">
        <f t="shared" si="7"/>
        <v>57</v>
      </c>
      <c r="B60" t="str">
        <f ca="1">IFERROR(VLOOKUP($A60,'vbs,vba'!$G:$H,2,FALSE),"")</f>
        <v>小文字化</v>
      </c>
      <c r="C60" t="str">
        <f ca="1">IFERROR(VLOOKUP($A60,python!$I:$J,2,FALSE),"")</f>
        <v/>
      </c>
      <c r="D60" t="str">
        <f ca="1">IFERROR(VLOOKUP($A60,bat!$F:$G,2,FALSE),"")</f>
        <v/>
      </c>
      <c r="E60" t="str">
        <f ca="1">IFERROR(VLOOKUP($A60,shell!$F:$G,2,FALSE),"")</f>
        <v>プロセッサ数表示</v>
      </c>
      <c r="F60" t="str">
        <f t="shared" ca="1" si="3"/>
        <v>小文字化プロセッサ数表示</v>
      </c>
      <c r="G60">
        <f ca="1">IF($F60="","",COUNTIF($F$3:$F60,$F60))</f>
        <v>1</v>
      </c>
      <c r="H60">
        <f ca="1">IF(OR(G60&gt;1,G60=""),"",COUNTIF($G$3:$G60,1))</f>
        <v>57</v>
      </c>
      <c r="I60" t="str">
        <f t="shared" ca="1" si="4"/>
        <v>小文字化プロセッサ数表示</v>
      </c>
      <c r="K60">
        <f t="shared" si="8"/>
        <v>57</v>
      </c>
      <c r="L60" t="str">
        <f t="shared" ca="1" si="0"/>
        <v>小文字化プロセッサ数表示</v>
      </c>
      <c r="M60" s="2" t="str">
        <f t="shared" ca="1" si="1"/>
        <v/>
      </c>
      <c r="N60" s="2" t="str">
        <f t="shared" ca="1" si="2"/>
        <v/>
      </c>
      <c r="O60" s="2" t="str">
        <f t="shared" ca="1" si="5"/>
        <v/>
      </c>
      <c r="P60" s="2" t="str">
        <f t="shared" ca="1" si="6"/>
        <v/>
      </c>
    </row>
    <row r="61" spans="1:16">
      <c r="A61">
        <f t="shared" si="7"/>
        <v>58</v>
      </c>
      <c r="B61" t="str">
        <f ca="1">IFERROR(VLOOKUP($A61,'vbs,vba'!$G:$H,2,FALSE),"")</f>
        <v>配列再定義</v>
      </c>
      <c r="C61" t="str">
        <f ca="1">IFERROR(VLOOKUP($A61,python!$I:$J,2,FALSE),"")</f>
        <v/>
      </c>
      <c r="D61" t="str">
        <f ca="1">IFERROR(VLOOKUP($A61,bat!$F:$G,2,FALSE),"")</f>
        <v/>
      </c>
      <c r="E61" t="str">
        <f ca="1">IFERROR(VLOOKUP($A61,shell!$F:$G,2,FALSE),"")</f>
        <v>システム情報表示</v>
      </c>
      <c r="F61" t="str">
        <f t="shared" ca="1" si="3"/>
        <v>配列再定義システム情報表示</v>
      </c>
      <c r="G61">
        <f ca="1">IF($F61="","",COUNTIF($F$3:$F61,$F61))</f>
        <v>1</v>
      </c>
      <c r="H61">
        <f ca="1">IF(OR(G61&gt;1,G61=""),"",COUNTIF($G$3:$G61,1))</f>
        <v>58</v>
      </c>
      <c r="I61" t="str">
        <f t="shared" ca="1" si="4"/>
        <v>配列再定義システム情報表示</v>
      </c>
      <c r="K61">
        <f t="shared" si="8"/>
        <v>58</v>
      </c>
      <c r="L61" t="str">
        <f t="shared" ca="1" si="0"/>
        <v>配列再定義システム情報表示</v>
      </c>
      <c r="M61" s="2" t="str">
        <f t="shared" ca="1" si="1"/>
        <v/>
      </c>
      <c r="N61" s="2" t="str">
        <f t="shared" ca="1" si="2"/>
        <v/>
      </c>
      <c r="O61" s="2" t="str">
        <f t="shared" ca="1" si="5"/>
        <v/>
      </c>
      <c r="P61" s="2" t="str">
        <f t="shared" ca="1" si="6"/>
        <v/>
      </c>
    </row>
    <row r="62" spans="1:16">
      <c r="A62">
        <f t="shared" si="7"/>
        <v>59</v>
      </c>
      <c r="B62" t="str">
        <f ca="1">IFERROR(VLOOKUP($A62,'vbs,vba'!$G:$H,2,FALSE),"")</f>
        <v>配列最大要素数</v>
      </c>
      <c r="C62" t="str">
        <f ca="1">IFERROR(VLOOKUP($A62,python!$I:$J,2,FALSE),"")</f>
        <v/>
      </c>
      <c r="D62" t="str">
        <f ca="1">IFERROR(VLOOKUP($A62,bat!$F:$G,2,FALSE),"")</f>
        <v/>
      </c>
      <c r="E62" t="str">
        <f ca="1">IFERROR(VLOOKUP($A62,shell!$F:$G,2,FALSE),"")</f>
        <v>ハードウェア名表示</v>
      </c>
      <c r="F62" t="str">
        <f t="shared" ca="1" si="3"/>
        <v>配列最大要素数ハードウェア名表示</v>
      </c>
      <c r="G62">
        <f ca="1">IF($F62="","",COUNTIF($F$3:$F62,$F62))</f>
        <v>1</v>
      </c>
      <c r="H62">
        <f ca="1">IF(OR(G62&gt;1,G62=""),"",COUNTIF($G$3:$G62,1))</f>
        <v>59</v>
      </c>
      <c r="I62" t="str">
        <f t="shared" ca="1" si="4"/>
        <v>配列最大要素数ハードウェア名表示</v>
      </c>
      <c r="K62">
        <f t="shared" si="8"/>
        <v>59</v>
      </c>
      <c r="L62" t="str">
        <f t="shared" ca="1" si="0"/>
        <v>配列最大要素数ハードウェア名表示</v>
      </c>
      <c r="M62" s="2" t="str">
        <f t="shared" ca="1" si="1"/>
        <v/>
      </c>
      <c r="N62" s="2" t="str">
        <f t="shared" ca="1" si="2"/>
        <v/>
      </c>
      <c r="O62" s="2" t="str">
        <f t="shared" ca="1" si="5"/>
        <v/>
      </c>
      <c r="P62" s="2" t="str">
        <f t="shared" ca="1" si="6"/>
        <v/>
      </c>
    </row>
    <row r="63" spans="1:16">
      <c r="A63">
        <f t="shared" si="7"/>
        <v>60</v>
      </c>
      <c r="B63" t="str">
        <f ca="1">IFERROR(VLOOKUP($A63,'vbs,vba'!$G:$H,2,FALSE),"")</f>
        <v>要素数０（未初期化）/要素数１配列判定</v>
      </c>
      <c r="C63" t="str">
        <f ca="1">IFERROR(VLOOKUP($A63,python!$I:$J,2,FALSE),"")</f>
        <v/>
      </c>
      <c r="D63" t="str">
        <f ca="1">IFERROR(VLOOKUP($A63,bat!$F:$G,2,FALSE),"")</f>
        <v/>
      </c>
      <c r="E63" t="str">
        <f ca="1">IFERROR(VLOOKUP($A63,shell!$F:$G,2,FALSE),"")</f>
        <v>ホスト名表示</v>
      </c>
      <c r="F63" t="str">
        <f t="shared" ca="1" si="3"/>
        <v>要素数０（未初期化）/要素数１配列判定ホスト名表示</v>
      </c>
      <c r="G63">
        <f ca="1">IF($F63="","",COUNTIF($F$3:$F63,$F63))</f>
        <v>1</v>
      </c>
      <c r="H63">
        <f ca="1">IF(OR(G63&gt;1,G63=""),"",COUNTIF($G$3:$G63,1))</f>
        <v>60</v>
      </c>
      <c r="I63" t="str">
        <f t="shared" ca="1" si="4"/>
        <v>要素数０（未初期化）/要素数１配列判定ホスト名表示</v>
      </c>
      <c r="K63">
        <f t="shared" si="8"/>
        <v>60</v>
      </c>
      <c r="L63" t="str">
        <f t="shared" ca="1" si="0"/>
        <v>要素数０（未初期化）/要素数１配列判定ホスト名表示</v>
      </c>
      <c r="M63" s="2" t="str">
        <f t="shared" ca="1" si="1"/>
        <v/>
      </c>
      <c r="N63" s="2" t="str">
        <f t="shared" ca="1" si="2"/>
        <v/>
      </c>
      <c r="O63" s="2" t="str">
        <f t="shared" ca="1" si="5"/>
        <v/>
      </c>
      <c r="P63" s="2" t="str">
        <f t="shared" ca="1" si="6"/>
        <v/>
      </c>
    </row>
    <row r="64" spans="1:16">
      <c r="A64">
        <f t="shared" si="7"/>
        <v>61</v>
      </c>
      <c r="B64" t="str">
        <f ca="1">IFERROR(VLOOKUP($A64,'vbs,vba'!$G:$H,2,FALSE),"")</f>
        <v>配列 結合</v>
      </c>
      <c r="C64" t="str">
        <f ca="1">IFERROR(VLOOKUP($A64,python!$I:$J,2,FALSE),"")</f>
        <v/>
      </c>
      <c r="D64" t="str">
        <f ca="1">IFERROR(VLOOKUP($A64,bat!$F:$G,2,FALSE),"")</f>
        <v/>
      </c>
      <c r="E64" t="str">
        <f ca="1">IFERROR(VLOOKUP($A64,shell!$F:$G,2,FALSE),"")</f>
        <v>ホスト識別子表示(16進数)</v>
      </c>
      <c r="F64" t="str">
        <f t="shared" ca="1" si="3"/>
        <v>配列 結合ホスト識別子表示(16進数)</v>
      </c>
      <c r="G64">
        <f ca="1">IF($F64="","",COUNTIF($F$3:$F64,$F64))</f>
        <v>1</v>
      </c>
      <c r="H64">
        <f ca="1">IF(OR(G64&gt;1,G64=""),"",COUNTIF($G$3:$G64,1))</f>
        <v>61</v>
      </c>
      <c r="I64" t="str">
        <f t="shared" ca="1" si="4"/>
        <v>配列 結合ホスト識別子表示(16進数)</v>
      </c>
      <c r="K64">
        <f t="shared" si="8"/>
        <v>61</v>
      </c>
      <c r="L64" t="str">
        <f t="shared" ca="1" si="0"/>
        <v>配列 結合ホスト識別子表示(16進数)</v>
      </c>
      <c r="M64" s="2" t="str">
        <f t="shared" ca="1" si="1"/>
        <v/>
      </c>
      <c r="N64" s="2" t="str">
        <f t="shared" ca="1" si="2"/>
        <v/>
      </c>
      <c r="O64" s="2" t="str">
        <f t="shared" ca="1" si="5"/>
        <v/>
      </c>
      <c r="P64" s="2" t="str">
        <f t="shared" ca="1" si="6"/>
        <v/>
      </c>
    </row>
    <row r="65" spans="1:16">
      <c r="A65">
        <f t="shared" si="7"/>
        <v>62</v>
      </c>
      <c r="B65" t="str">
        <f ca="1">IFERROR(VLOOKUP($A65,'vbs,vba'!$G:$H,2,FALSE),"")</f>
        <v>配列 分割</v>
      </c>
      <c r="C65" t="str">
        <f ca="1">IFERROR(VLOOKUP($A65,python!$I:$J,2,FALSE),"")</f>
        <v/>
      </c>
      <c r="D65" t="str">
        <f ca="1">IFERROR(VLOOKUP($A65,bat!$F:$G,2,FALSE),"")</f>
        <v/>
      </c>
      <c r="E65" t="str">
        <f ca="1">IFERROR(VLOOKUP($A65,shell!$F:$G,2,FALSE),"")</f>
        <v>システム起動時間等表示</v>
      </c>
      <c r="F65" t="str">
        <f t="shared" ca="1" si="3"/>
        <v>配列 分割システム起動時間等表示</v>
      </c>
      <c r="G65">
        <f ca="1">IF($F65="","",COUNTIF($F$3:$F65,$F65))</f>
        <v>1</v>
      </c>
      <c r="H65">
        <f ca="1">IF(OR(G65&gt;1,G65=""),"",COUNTIF($G$3:$G65,1))</f>
        <v>62</v>
      </c>
      <c r="I65" t="str">
        <f t="shared" ca="1" si="4"/>
        <v>配列 分割システム起動時間等表示</v>
      </c>
      <c r="K65">
        <f t="shared" si="8"/>
        <v>62</v>
      </c>
      <c r="L65" t="str">
        <f t="shared" ca="1" si="0"/>
        <v>配列 分割システム起動時間等表示</v>
      </c>
      <c r="M65" s="2" t="str">
        <f t="shared" ca="1" si="1"/>
        <v/>
      </c>
      <c r="N65" s="2" t="str">
        <f t="shared" ca="1" si="2"/>
        <v/>
      </c>
      <c r="O65" s="2" t="str">
        <f t="shared" ca="1" si="5"/>
        <v/>
      </c>
      <c r="P65" s="2" t="str">
        <f t="shared" ca="1" si="6"/>
        <v/>
      </c>
    </row>
    <row r="66" spans="1:16">
      <c r="A66">
        <f t="shared" si="7"/>
        <v>63</v>
      </c>
      <c r="B66" t="str">
        <f ca="1">IFERROR(VLOOKUP($A66,'vbs,vba'!$G:$H,2,FALSE),"")</f>
        <v>型取得（文字列）</v>
      </c>
      <c r="C66" t="str">
        <f ca="1">IFERROR(VLOOKUP($A66,python!$I:$J,2,FALSE),"")</f>
        <v/>
      </c>
      <c r="D66" t="str">
        <f ca="1">IFERROR(VLOOKUP($A66,bat!$F:$G,2,FALSE),"")</f>
        <v/>
      </c>
      <c r="E66" t="str">
        <f ca="1">IFERROR(VLOOKUP($A66,shell!$F:$G,2,FALSE),"")</f>
        <v>名前付きパイプ作成</v>
      </c>
      <c r="F66" t="str">
        <f t="shared" ca="1" si="3"/>
        <v>型取得（文字列）名前付きパイプ作成</v>
      </c>
      <c r="G66">
        <f ca="1">IF($F66="","",COUNTIF($F$3:$F66,$F66))</f>
        <v>1</v>
      </c>
      <c r="H66">
        <f ca="1">IF(OR(G66&gt;1,G66=""),"",COUNTIF($G$3:$G66,1))</f>
        <v>63</v>
      </c>
      <c r="I66" t="str">
        <f t="shared" ca="1" si="4"/>
        <v>型取得（文字列）名前付きパイプ作成</v>
      </c>
      <c r="K66">
        <f t="shared" si="8"/>
        <v>63</v>
      </c>
      <c r="L66" t="str">
        <f t="shared" ca="1" si="0"/>
        <v>型取得（文字列）名前付きパイプ作成</v>
      </c>
      <c r="M66" s="2" t="str">
        <f t="shared" ca="1" si="1"/>
        <v/>
      </c>
      <c r="N66" s="2" t="str">
        <f t="shared" ca="1" si="2"/>
        <v/>
      </c>
      <c r="O66" s="2" t="str">
        <f t="shared" ca="1" si="5"/>
        <v/>
      </c>
      <c r="P66" s="2" t="str">
        <f t="shared" ca="1" si="6"/>
        <v/>
      </c>
    </row>
    <row r="67" spans="1:16">
      <c r="A67">
        <f t="shared" si="7"/>
        <v>64</v>
      </c>
      <c r="B67" t="str">
        <f ca="1">IFERROR(VLOOKUP($A67,'vbs,vba'!$G:$H,2,FALSE),"")</f>
        <v>型取得（値）</v>
      </c>
      <c r="C67" t="str">
        <f ca="1">IFERROR(VLOOKUP($A67,python!$I:$J,2,FALSE),"")</f>
        <v/>
      </c>
      <c r="D67" t="str">
        <f ca="1">IFERROR(VLOOKUP($A67,bat!$F:$G,2,FALSE),"")</f>
        <v/>
      </c>
      <c r="E67" t="str">
        <f ca="1">IFERROR(VLOOKUP($A67,shell!$F:$G,2,FALSE),"")</f>
        <v>特殊ファイル作成</v>
      </c>
      <c r="F67" t="str">
        <f t="shared" ca="1" si="3"/>
        <v>型取得（値）特殊ファイル作成</v>
      </c>
      <c r="G67">
        <f ca="1">IF($F67="","",COUNTIF($F$3:$F67,$F67))</f>
        <v>1</v>
      </c>
      <c r="H67">
        <f ca="1">IF(OR(G67&gt;1,G67=""),"",COUNTIF($G$3:$G67,1))</f>
        <v>64</v>
      </c>
      <c r="I67" t="str">
        <f t="shared" ca="1" si="4"/>
        <v>型取得（値）特殊ファイル作成</v>
      </c>
      <c r="K67">
        <f t="shared" si="8"/>
        <v>64</v>
      </c>
      <c r="L67" t="str">
        <f t="shared" ca="1" si="0"/>
        <v>型取得（値）特殊ファイル作成</v>
      </c>
      <c r="M67" s="2" t="str">
        <f t="shared" ca="1" si="1"/>
        <v/>
      </c>
      <c r="N67" s="2" t="str">
        <f t="shared" ca="1" si="2"/>
        <v/>
      </c>
      <c r="O67" s="2" t="str">
        <f t="shared" ca="1" si="5"/>
        <v/>
      </c>
      <c r="P67" s="2" t="str">
        <f t="shared" ca="1" si="6"/>
        <v/>
      </c>
    </row>
    <row r="68" spans="1:16">
      <c r="A68">
        <f t="shared" si="7"/>
        <v>65</v>
      </c>
      <c r="B68" t="str">
        <f ca="1">IFERROR(VLOOKUP($A68,'vbs,vba'!$G:$H,2,FALSE),"")</f>
        <v>10⇒16進数変換</v>
      </c>
      <c r="C68" t="str">
        <f ca="1">IFERROR(VLOOKUP($A68,python!$I:$J,2,FALSE),"")</f>
        <v/>
      </c>
      <c r="D68" t="str">
        <f ca="1">IFERROR(VLOOKUP($A68,bat!$F:$G,2,FALSE),"")</f>
        <v/>
      </c>
      <c r="E68" t="str">
        <f ca="1">IFERROR(VLOOKUP($A68,shell!$F:$G,2,FALSE),"")</f>
        <v>マニュアル確認</v>
      </c>
      <c r="F68" t="str">
        <f t="shared" ca="1" si="3"/>
        <v>10⇒16進数変換マニュアル確認</v>
      </c>
      <c r="G68">
        <f ca="1">IF($F68="","",COUNTIF($F$3:$F68,$F68))</f>
        <v>1</v>
      </c>
      <c r="H68">
        <f ca="1">IF(OR(G68&gt;1,G68=""),"",COUNTIF($G$3:$G68,1))</f>
        <v>65</v>
      </c>
      <c r="I68" t="str">
        <f t="shared" ca="1" si="4"/>
        <v>10⇒16進数変換マニュアル確認</v>
      </c>
      <c r="K68">
        <f t="shared" si="8"/>
        <v>65</v>
      </c>
      <c r="L68" t="str">
        <f t="shared" ref="L68:L131" ca="1" si="9">IFERROR(VLOOKUP($K68,$H:$I,2,FALSE),"")</f>
        <v>10⇒16進数変換マニュアル確認</v>
      </c>
      <c r="M68" s="2" t="str">
        <f t="shared" ref="M68:M131" ca="1" si="10">IF($L68="","",IF(COUNTIF(B$3:B$1004,$L68)&gt;0,"○",""))</f>
        <v/>
      </c>
      <c r="N68" s="2" t="str">
        <f t="shared" ref="N68:N131" ca="1" si="11">IF($L68="","",IF(COUNTIF(C$3:C$1004,$L68)&gt;0,"○",""))</f>
        <v/>
      </c>
      <c r="O68" s="2" t="str">
        <f t="shared" ca="1" si="5"/>
        <v/>
      </c>
      <c r="P68" s="2" t="str">
        <f t="shared" ca="1" si="6"/>
        <v/>
      </c>
    </row>
    <row r="69" spans="1:16">
      <c r="A69">
        <f t="shared" si="7"/>
        <v>66</v>
      </c>
      <c r="B69" t="str">
        <f ca="1">IFERROR(VLOOKUP($A69,'vbs,vba'!$G:$H,2,FALSE),"")</f>
        <v>16⇒10進数変換</v>
      </c>
      <c r="C69" t="str">
        <f ca="1">IFERROR(VLOOKUP($A69,python!$I:$J,2,FALSE),"")</f>
        <v/>
      </c>
      <c r="D69" t="str">
        <f ca="1">IFERROR(VLOOKUP($A69,bat!$F:$G,2,FALSE),"")</f>
        <v/>
      </c>
      <c r="E69" t="str">
        <f ca="1">IFERROR(VLOOKUP($A69,shell!$F:$G,2,FALSE),"")</f>
        <v>カレンダー表示</v>
      </c>
      <c r="F69" t="str">
        <f t="shared" ref="F69:F132" ca="1" si="12">B69&amp;C69&amp;D69&amp;E69</f>
        <v>16⇒10進数変換カレンダー表示</v>
      </c>
      <c r="G69">
        <f ca="1">IF($F69="","",COUNTIF($F$3:$F69,$F69))</f>
        <v>1</v>
      </c>
      <c r="H69">
        <f ca="1">IF(OR(G69&gt;1,G69=""),"",COUNTIF($G$3:$G69,1))</f>
        <v>66</v>
      </c>
      <c r="I69" t="str">
        <f t="shared" ref="I69:I132" ca="1" si="13">F69</f>
        <v>16⇒10進数変換カレンダー表示</v>
      </c>
      <c r="K69">
        <f t="shared" si="8"/>
        <v>66</v>
      </c>
      <c r="L69" t="str">
        <f t="shared" ca="1" si="9"/>
        <v>16⇒10進数変換カレンダー表示</v>
      </c>
      <c r="M69" s="2" t="str">
        <f t="shared" ca="1" si="10"/>
        <v/>
      </c>
      <c r="N69" s="2" t="str">
        <f t="shared" ca="1" si="11"/>
        <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符号つき16進数表現</v>
      </c>
      <c r="C70" t="str">
        <f ca="1">IFERROR(VLOOKUP($A70,python!$I:$J,2,FALSE),"")</f>
        <v/>
      </c>
      <c r="D70" t="str">
        <f ca="1">IFERROR(VLOOKUP($A70,bat!$F:$G,2,FALSE),"")</f>
        <v/>
      </c>
      <c r="E70" t="str">
        <f ca="1">IFERROR(VLOOKUP($A70,shell!$F:$G,2,FALSE),"")</f>
        <v>特定ルートディレクトリでコマンド実行</v>
      </c>
      <c r="F70" t="str">
        <f t="shared" ca="1" si="12"/>
        <v>符号つき16進数表現特定ルートディレクトリでコマンド実行</v>
      </c>
      <c r="G70">
        <f ca="1">IF($F70="","",COUNTIF($F$3:$F70,$F70))</f>
        <v>1</v>
      </c>
      <c r="H70">
        <f ca="1">IF(OR(G70&gt;1,G70=""),"",COUNTIF($G$3:$G70,1))</f>
        <v>67</v>
      </c>
      <c r="I70" t="str">
        <f t="shared" ca="1" si="13"/>
        <v>符号つき16進数表現特定ルートディレクトリでコマンド実行</v>
      </c>
      <c r="K70">
        <f t="shared" ref="K70:K133" si="17">K69+1</f>
        <v>67</v>
      </c>
      <c r="L70" t="str">
        <f t="shared" ca="1" si="9"/>
        <v>符号つき16進数表現特定ルートディレクトリでコマンド実行</v>
      </c>
      <c r="M70" s="2" t="str">
        <f t="shared" ca="1" si="10"/>
        <v/>
      </c>
      <c r="N70" s="2" t="str">
        <f t="shared" ca="1" si="11"/>
        <v/>
      </c>
      <c r="O70" s="2" t="str">
        <f t="shared" ca="1" si="14"/>
        <v/>
      </c>
      <c r="P70" s="2" t="str">
        <f t="shared" ca="1" si="15"/>
        <v/>
      </c>
    </row>
    <row r="71" spans="1:16">
      <c r="A71">
        <f t="shared" si="16"/>
        <v>68</v>
      </c>
      <c r="B71" t="str">
        <f ca="1">IFERROR(VLOOKUP($A71,'vbs,vba'!$G:$H,2,FALSE),"")</f>
        <v>符号なし16進数表現</v>
      </c>
      <c r="C71" t="str">
        <f ca="1">IFERROR(VLOOKUP($A71,python!$I:$J,2,FALSE),"")</f>
        <v/>
      </c>
      <c r="D71" t="str">
        <f ca="1">IFERROR(VLOOKUP($A71,bat!$F:$G,2,FALSE),"")</f>
        <v/>
      </c>
      <c r="E71" t="str">
        <f ca="1">IFERROR(VLOOKUP($A71,shell!$F:$G,2,FALSE),"")</f>
        <v>バッファリングモード変更＆コマンド実行</v>
      </c>
      <c r="F71" t="str">
        <f t="shared" ca="1" si="12"/>
        <v>符号なし16進数表現バッファリングモード変更＆コマンド実行</v>
      </c>
      <c r="G71">
        <f ca="1">IF($F71="","",COUNTIF($F$3:$F71,$F71))</f>
        <v>1</v>
      </c>
      <c r="H71">
        <f ca="1">IF(OR(G71&gt;1,G71=""),"",COUNTIF($G$3:$G71,1))</f>
        <v>68</v>
      </c>
      <c r="I71" t="str">
        <f t="shared" ca="1" si="13"/>
        <v>符号なし16進数表現バッファリングモード変更＆コマンド実行</v>
      </c>
      <c r="K71">
        <f t="shared" si="17"/>
        <v>68</v>
      </c>
      <c r="L71" t="str">
        <f t="shared" ca="1" si="9"/>
        <v>符号なし16進数表現バッファリングモード変更＆コマンド実行</v>
      </c>
      <c r="M71" s="2" t="str">
        <f t="shared" ca="1" si="10"/>
        <v/>
      </c>
      <c r="N71" s="2" t="str">
        <f t="shared" ca="1" si="11"/>
        <v/>
      </c>
      <c r="O71" s="2" t="str">
        <f t="shared" ca="1" si="14"/>
        <v/>
      </c>
      <c r="P71" s="2" t="str">
        <f t="shared" ca="1" si="15"/>
        <v/>
      </c>
    </row>
    <row r="72" spans="1:16">
      <c r="A72">
        <f t="shared" si="16"/>
        <v>69</v>
      </c>
      <c r="B72" t="str">
        <f ca="1">IFERROR(VLOOKUP($A72,'vbs,vba'!$G:$H,2,FALSE),"")</f>
        <v>数値⇒文字列 変換</v>
      </c>
      <c r="C72" t="str">
        <f ca="1">IFERROR(VLOOKUP($A72,python!$I:$J,2,FALSE),"")</f>
        <v/>
      </c>
      <c r="D72" t="str">
        <f ca="1">IFERROR(VLOOKUP($A72,bat!$F:$G,2,FALSE),"")</f>
        <v/>
      </c>
      <c r="E72" t="str">
        <f ca="1">IFERROR(VLOOKUP($A72,shell!$F:$G,2,FALSE),"")</f>
        <v>素因数分解</v>
      </c>
      <c r="F72" t="str">
        <f t="shared" ca="1" si="12"/>
        <v>数値⇒文字列 変換素因数分解</v>
      </c>
      <c r="G72">
        <f ca="1">IF($F72="","",COUNTIF($F$3:$F72,$F72))</f>
        <v>1</v>
      </c>
      <c r="H72">
        <f ca="1">IF(OR(G72&gt;1,G72=""),"",COUNTIF($G$3:$G72,1))</f>
        <v>69</v>
      </c>
      <c r="I72" t="str">
        <f t="shared" ca="1" si="13"/>
        <v>数値⇒文字列 変換素因数分解</v>
      </c>
      <c r="K72">
        <f t="shared" si="17"/>
        <v>69</v>
      </c>
      <c r="L72" t="str">
        <f t="shared" ca="1" si="9"/>
        <v>数値⇒文字列 変換素因数分解</v>
      </c>
      <c r="M72" s="2" t="str">
        <f t="shared" ca="1" si="10"/>
        <v/>
      </c>
      <c r="N72" s="2" t="str">
        <f t="shared" ca="1" si="11"/>
        <v/>
      </c>
      <c r="O72" s="2" t="str">
        <f t="shared" ca="1" si="14"/>
        <v/>
      </c>
      <c r="P72" s="2" t="str">
        <f t="shared" ca="1" si="15"/>
        <v/>
      </c>
    </row>
    <row r="73" spans="1:16">
      <c r="A73">
        <f t="shared" si="16"/>
        <v>70</v>
      </c>
      <c r="B73" t="str">
        <f ca="1">IFERROR(VLOOKUP($A73,'vbs,vba'!$G:$H,2,FALSE),"")</f>
        <v>文字列⇒数値 変換①</v>
      </c>
      <c r="C73" t="str">
        <f ca="1">IFERROR(VLOOKUP($A73,python!$I:$J,2,FALSE),"")</f>
        <v/>
      </c>
      <c r="D73" t="str">
        <f ca="1">IFERROR(VLOOKUP($A73,bat!$F:$G,2,FALSE),"")</f>
        <v/>
      </c>
      <c r="E73" t="str">
        <f ca="1">IFERROR(VLOOKUP($A73,shell!$F:$G,2,FALSE),"")</f>
        <v>簡易電卓</v>
      </c>
      <c r="F73" t="str">
        <f t="shared" ca="1" si="12"/>
        <v>文字列⇒数値 変換①簡易電卓</v>
      </c>
      <c r="G73">
        <f ca="1">IF($F73="","",COUNTIF($F$3:$F73,$F73))</f>
        <v>1</v>
      </c>
      <c r="H73">
        <f ca="1">IF(OR(G73&gt;1,G73=""),"",COUNTIF($G$3:$G73,1))</f>
        <v>70</v>
      </c>
      <c r="I73" t="str">
        <f t="shared" ca="1" si="13"/>
        <v>文字列⇒数値 変換①簡易電卓</v>
      </c>
      <c r="K73">
        <f t="shared" si="17"/>
        <v>70</v>
      </c>
      <c r="L73" t="str">
        <f t="shared" ca="1" si="9"/>
        <v>文字列⇒数値 変換①簡易電卓</v>
      </c>
      <c r="M73" s="2" t="str">
        <f t="shared" ca="1" si="10"/>
        <v/>
      </c>
      <c r="N73" s="2" t="str">
        <f t="shared" ca="1" si="11"/>
        <v/>
      </c>
      <c r="O73" s="2" t="str">
        <f t="shared" ca="1" si="14"/>
        <v/>
      </c>
      <c r="P73" s="2" t="str">
        <f t="shared" ca="1" si="15"/>
        <v/>
      </c>
    </row>
    <row r="74" spans="1:16">
      <c r="A74">
        <f t="shared" si="16"/>
        <v>71</v>
      </c>
      <c r="B74" t="str">
        <f ca="1">IFERROR(VLOOKUP($A74,'vbs,vba'!$G:$H,2,FALSE),"")</f>
        <v>文字列⇒数値 変換②</v>
      </c>
      <c r="C74" t="str">
        <f ca="1">IFERROR(VLOOKUP($A74,python!$I:$J,2,FALSE),"")</f>
        <v/>
      </c>
      <c r="D74" t="str">
        <f ca="1">IFERROR(VLOOKUP($A74,bat!$F:$G,2,FALSE),"")</f>
        <v/>
      </c>
      <c r="E74" t="str">
        <f ca="1">IFERROR(VLOOKUP($A74,shell!$F:$G,2,FALSE),"")</f>
        <v>コマンド結果をクリップボードにコピー</v>
      </c>
      <c r="F74" t="str">
        <f t="shared" ca="1" si="12"/>
        <v>文字列⇒数値 変換②コマンド結果をクリップボードにコピー</v>
      </c>
      <c r="G74">
        <f ca="1">IF($F74="","",COUNTIF($F$3:$F74,$F74))</f>
        <v>1</v>
      </c>
      <c r="H74">
        <f ca="1">IF(OR(G74&gt;1,G74=""),"",COUNTIF($G$3:$G74,1))</f>
        <v>71</v>
      </c>
      <c r="I74" t="str">
        <f t="shared" ca="1" si="13"/>
        <v>文字列⇒数値 変換②コマンド結果をクリップボードにコピー</v>
      </c>
      <c r="K74">
        <f t="shared" si="17"/>
        <v>71</v>
      </c>
      <c r="L74" t="str">
        <f t="shared" ca="1" si="9"/>
        <v>文字列⇒数値 変換②コマンド結果をクリップボードにコピー</v>
      </c>
      <c r="M74" s="2" t="str">
        <f t="shared" ca="1" si="10"/>
        <v/>
      </c>
      <c r="N74" s="2" t="str">
        <f t="shared" ca="1" si="11"/>
        <v/>
      </c>
      <c r="O74" s="2" t="str">
        <f t="shared" ca="1" si="14"/>
        <v/>
      </c>
      <c r="P74" s="2" t="str">
        <f t="shared" ca="1" si="15"/>
        <v/>
      </c>
    </row>
    <row r="75" spans="1:16">
      <c r="A75">
        <f t="shared" si="16"/>
        <v>72</v>
      </c>
      <c r="B75" t="str">
        <f ca="1">IFERROR(VLOOKUP($A75,'vbs,vba'!$G:$H,2,FALSE),"")</f>
        <v>改行</v>
      </c>
      <c r="C75" t="str">
        <f ca="1">IFERROR(VLOOKUP($A75,python!$I:$J,2,FALSE),"")</f>
        <v/>
      </c>
      <c r="D75" t="str">
        <f ca="1">IFERROR(VLOOKUP($A75,bat!$F:$G,2,FALSE),"")</f>
        <v/>
      </c>
      <c r="E75" t="str">
        <f ca="1">IFERROR(VLOOKUP($A75,shell!$F:$G,2,FALSE),"")</f>
        <v>プロセス実行優先度変更後コマンド実行</v>
      </c>
      <c r="F75" t="str">
        <f t="shared" ca="1" si="12"/>
        <v>改行プロセス実行優先度変更後コマンド実行</v>
      </c>
      <c r="G75">
        <f ca="1">IF($F75="","",COUNTIF($F$3:$F75,$F75))</f>
        <v>1</v>
      </c>
      <c r="H75">
        <f ca="1">IF(OR(G75&gt;1,G75=""),"",COUNTIF($G$3:$G75,1))</f>
        <v>72</v>
      </c>
      <c r="I75" t="str">
        <f t="shared" ca="1" si="13"/>
        <v>改行プロセス実行優先度変更後コマンド実行</v>
      </c>
      <c r="K75">
        <f t="shared" si="17"/>
        <v>72</v>
      </c>
      <c r="L75" t="str">
        <f t="shared" ca="1" si="9"/>
        <v>改行プロセス実行優先度変更後コマンド実行</v>
      </c>
      <c r="M75" s="2" t="str">
        <f t="shared" ca="1" si="10"/>
        <v/>
      </c>
      <c r="N75" s="2" t="str">
        <f t="shared" ca="1" si="11"/>
        <v/>
      </c>
      <c r="O75" s="2" t="str">
        <f t="shared" ca="1" si="14"/>
        <v/>
      </c>
      <c r="P75" s="2" t="str">
        <f t="shared" ca="1" si="15"/>
        <v/>
      </c>
    </row>
    <row r="76" spans="1:16">
      <c r="A76">
        <f t="shared" si="16"/>
        <v>73</v>
      </c>
      <c r="B76" t="str">
        <f ca="1">IFERROR(VLOOKUP($A76,'vbs,vba'!$G:$H,2,FALSE),"")</f>
        <v>少数 正数 切り捨て①</v>
      </c>
      <c r="C76" t="str">
        <f ca="1">IFERROR(VLOOKUP($A76,python!$I:$J,2,FALSE),"")</f>
        <v/>
      </c>
      <c r="D76" t="str">
        <f ca="1">IFERROR(VLOOKUP($A76,bat!$F:$G,2,FALSE),"")</f>
        <v/>
      </c>
      <c r="E76" t="str">
        <f ca="1">IFERROR(VLOOKUP($A76,shell!$F:$G,2,FALSE),"")</f>
        <v>ログアウト後継続コマンド実行</v>
      </c>
      <c r="F76" t="str">
        <f t="shared" ca="1" si="12"/>
        <v>少数 正数 切り捨て①ログアウト後継続コマンド実行</v>
      </c>
      <c r="G76">
        <f ca="1">IF($F76="","",COUNTIF($F$3:$F76,$F76))</f>
        <v>1</v>
      </c>
      <c r="H76">
        <f ca="1">IF(OR(G76&gt;1,G76=""),"",COUNTIF($G$3:$G76,1))</f>
        <v>73</v>
      </c>
      <c r="I76" t="str">
        <f t="shared" ca="1" si="13"/>
        <v>少数 正数 切り捨て①ログアウト後継続コマンド実行</v>
      </c>
      <c r="K76">
        <f t="shared" si="17"/>
        <v>73</v>
      </c>
      <c r="L76" t="str">
        <f t="shared" ca="1" si="9"/>
        <v>少数 正数 切り捨て①ログアウト後継続コマンド実行</v>
      </c>
      <c r="M76" s="2" t="str">
        <f t="shared" ca="1" si="10"/>
        <v/>
      </c>
      <c r="N76" s="2" t="str">
        <f t="shared" ca="1" si="11"/>
        <v/>
      </c>
      <c r="O76" s="2" t="str">
        <f t="shared" ca="1" si="14"/>
        <v/>
      </c>
      <c r="P76" s="2" t="str">
        <f t="shared" ca="1" si="15"/>
        <v/>
      </c>
    </row>
    <row r="77" spans="1:16">
      <c r="A77">
        <f t="shared" si="16"/>
        <v>74</v>
      </c>
      <c r="B77" t="str">
        <f ca="1">IFERROR(VLOOKUP($A77,'vbs,vba'!$G:$H,2,FALSE),"")</f>
        <v>少数 正数 切り捨て②</v>
      </c>
      <c r="C77" t="str">
        <f ca="1">IFERROR(VLOOKUP($A77,python!$I:$J,2,FALSE),"")</f>
        <v/>
      </c>
      <c r="D77" t="str">
        <f ca="1">IFERROR(VLOOKUP($A77,bat!$F:$G,2,FALSE),"")</f>
        <v/>
      </c>
      <c r="E77" t="str">
        <f ca="1">IFERROR(VLOOKUP($A77,shell!$F:$G,2,FALSE),"")</f>
        <v>スクリプト自動実行＠at</v>
      </c>
      <c r="F77" t="str">
        <f t="shared" ca="1" si="12"/>
        <v>少数 正数 切り捨て②スクリプト自動実行＠at</v>
      </c>
      <c r="G77">
        <f ca="1">IF($F77="","",COUNTIF($F$3:$F77,$F77))</f>
        <v>1</v>
      </c>
      <c r="H77">
        <f ca="1">IF(OR(G77&gt;1,G77=""),"",COUNTIF($G$3:$G77,1))</f>
        <v>74</v>
      </c>
      <c r="I77" t="str">
        <f t="shared" ca="1" si="13"/>
        <v>少数 正数 切り捨て②スクリプト自動実行＠at</v>
      </c>
      <c r="K77">
        <f t="shared" si="17"/>
        <v>74</v>
      </c>
      <c r="L77" t="str">
        <f t="shared" ca="1" si="9"/>
        <v>少数 正数 切り捨て②スクリプト自動実行＠at</v>
      </c>
      <c r="M77" s="2" t="str">
        <f t="shared" ca="1" si="10"/>
        <v/>
      </c>
      <c r="N77" s="2" t="str">
        <f t="shared" ca="1" si="11"/>
        <v/>
      </c>
      <c r="O77" s="2" t="str">
        <f t="shared" ca="1" si="14"/>
        <v/>
      </c>
      <c r="P77" s="2" t="str">
        <f t="shared" ca="1" si="15"/>
        <v/>
      </c>
    </row>
    <row r="78" spans="1:16">
      <c r="A78">
        <f t="shared" si="16"/>
        <v>75</v>
      </c>
      <c r="B78" t="str">
        <f ca="1">IFERROR(VLOOKUP($A78,'vbs,vba'!$G:$H,2,FALSE),"")</f>
        <v>少数 負数 切り捨て①</v>
      </c>
      <c r="C78" t="str">
        <f ca="1">IFERROR(VLOOKUP($A78,python!$I:$J,2,FALSE),"")</f>
        <v/>
      </c>
      <c r="D78" t="str">
        <f ca="1">IFERROR(VLOOKUP($A78,bat!$F:$G,2,FALSE),"")</f>
        <v/>
      </c>
      <c r="E78" t="str">
        <f ca="1">IFERROR(VLOOKUP($A78,shell!$F:$G,2,FALSE),"")</f>
        <v>スクリプト自動実行＠cron 設定</v>
      </c>
      <c r="F78" t="str">
        <f t="shared" ca="1" si="12"/>
        <v>少数 負数 切り捨て①スクリプト自動実行＠cron 設定</v>
      </c>
      <c r="G78">
        <f ca="1">IF($F78="","",COUNTIF($F$3:$F78,$F78))</f>
        <v>1</v>
      </c>
      <c r="H78">
        <f ca="1">IF(OR(G78&gt;1,G78=""),"",COUNTIF($G$3:$G78,1))</f>
        <v>75</v>
      </c>
      <c r="I78" t="str">
        <f t="shared" ca="1" si="13"/>
        <v>少数 負数 切り捨て①スクリプト自動実行＠cron 設定</v>
      </c>
      <c r="K78">
        <f t="shared" si="17"/>
        <v>75</v>
      </c>
      <c r="L78" t="str">
        <f t="shared" ca="1" si="9"/>
        <v>少数 負数 切り捨て①スクリプト自動実行＠cron 設定</v>
      </c>
      <c r="M78" s="2" t="str">
        <f t="shared" ca="1" si="10"/>
        <v/>
      </c>
      <c r="N78" s="2" t="str">
        <f t="shared" ca="1" si="11"/>
        <v/>
      </c>
      <c r="O78" s="2" t="str">
        <f t="shared" ca="1" si="14"/>
        <v/>
      </c>
      <c r="P78" s="2" t="str">
        <f t="shared" ca="1" si="15"/>
        <v/>
      </c>
    </row>
    <row r="79" spans="1:16">
      <c r="A79">
        <f t="shared" si="16"/>
        <v>76</v>
      </c>
      <c r="B79" t="str">
        <f ca="1">IFERROR(VLOOKUP($A79,'vbs,vba'!$G:$H,2,FALSE),"")</f>
        <v>少数 負数 切り捨て②</v>
      </c>
      <c r="C79" t="str">
        <f ca="1">IFERROR(VLOOKUP($A79,python!$I:$J,2,FALSE),"")</f>
        <v/>
      </c>
      <c r="D79" t="str">
        <f ca="1">IFERROR(VLOOKUP($A79,bat!$F:$G,2,FALSE),"")</f>
        <v/>
      </c>
      <c r="E79" t="str">
        <f ca="1">IFERROR(VLOOKUP($A79,shell!$F:$G,2,FALSE),"")</f>
        <v>スクリプト自動実行＠cron 設定情報表示</v>
      </c>
      <c r="F79" t="str">
        <f t="shared" ca="1" si="12"/>
        <v>少数 負数 切り捨て②スクリプト自動実行＠cron 設定情報表示</v>
      </c>
      <c r="G79">
        <f ca="1">IF($F79="","",COUNTIF($F$3:$F79,$F79))</f>
        <v>1</v>
      </c>
      <c r="H79">
        <f ca="1">IF(OR(G79&gt;1,G79=""),"",COUNTIF($G$3:$G79,1))</f>
        <v>76</v>
      </c>
      <c r="I79" t="str">
        <f t="shared" ca="1" si="13"/>
        <v>少数 負数 切り捨て②スクリプト自動実行＠cron 設定情報表示</v>
      </c>
      <c r="K79">
        <f t="shared" si="17"/>
        <v>76</v>
      </c>
      <c r="L79" t="str">
        <f t="shared" ca="1" si="9"/>
        <v>少数 負数 切り捨て②スクリプト自動実行＠cron 設定情報表示</v>
      </c>
      <c r="M79" s="2" t="str">
        <f t="shared" ca="1" si="10"/>
        <v/>
      </c>
      <c r="N79" s="2" t="str">
        <f t="shared" ca="1" si="11"/>
        <v/>
      </c>
      <c r="O79" s="2" t="str">
        <f t="shared" ca="1" si="14"/>
        <v/>
      </c>
      <c r="P79" s="2" t="str">
        <f t="shared" ca="1" si="15"/>
        <v/>
      </c>
    </row>
    <row r="80" spans="1:16">
      <c r="A80">
        <f t="shared" si="16"/>
        <v>77</v>
      </c>
      <c r="B80" t="str">
        <f ca="1">IFERROR(VLOOKUP($A80,'vbs,vba'!$G:$H,2,FALSE),"")</f>
        <v>少数 正数 四捨五入（第一位）</v>
      </c>
      <c r="C80" t="str">
        <f ca="1">IFERROR(VLOOKUP($A80,python!$I:$J,2,FALSE),"")</f>
        <v/>
      </c>
      <c r="D80" t="str">
        <f ca="1">IFERROR(VLOOKUP($A80,bat!$F:$G,2,FALSE),"")</f>
        <v/>
      </c>
      <c r="E80" t="str">
        <f ca="1">IFERROR(VLOOKUP($A80,shell!$F:$G,2,FALSE),"")</f>
        <v>スクリプト自動実行＠cron 設定削除</v>
      </c>
      <c r="F80" t="str">
        <f t="shared" ca="1" si="12"/>
        <v>少数 正数 四捨五入（第一位）スクリプト自動実行＠cron 設定削除</v>
      </c>
      <c r="G80">
        <f ca="1">IF($F80="","",COUNTIF($F$3:$F80,$F80))</f>
        <v>1</v>
      </c>
      <c r="H80">
        <f ca="1">IF(OR(G80&gt;1,G80=""),"",COUNTIF($G$3:$G80,1))</f>
        <v>77</v>
      </c>
      <c r="I80" t="str">
        <f t="shared" ca="1" si="13"/>
        <v>少数 正数 四捨五入（第一位）スクリプト自動実行＠cron 設定削除</v>
      </c>
      <c r="K80">
        <f t="shared" si="17"/>
        <v>77</v>
      </c>
      <c r="L80" t="str">
        <f t="shared" ca="1" si="9"/>
        <v>少数 正数 四捨五入（第一位）スクリプト自動実行＠cron 設定削除</v>
      </c>
      <c r="M80" s="2" t="str">
        <f t="shared" ca="1" si="10"/>
        <v/>
      </c>
      <c r="N80" s="2" t="str">
        <f t="shared" ca="1" si="11"/>
        <v/>
      </c>
      <c r="O80" s="2" t="str">
        <f t="shared" ca="1" si="14"/>
        <v/>
      </c>
      <c r="P80" s="2" t="str">
        <f t="shared" ca="1" si="15"/>
        <v/>
      </c>
    </row>
    <row r="81" spans="1:16">
      <c r="A81">
        <f t="shared" si="16"/>
        <v>78</v>
      </c>
      <c r="B81" t="str">
        <f ca="1">IFERROR(VLOOKUP($A81,'vbs,vba'!$G:$H,2,FALSE),"")</f>
        <v>少数 正数 四捨五入（第二位）</v>
      </c>
      <c r="C81" t="str">
        <f ca="1">IFERROR(VLOOKUP($A81,python!$I:$J,2,FALSE),"")</f>
        <v/>
      </c>
      <c r="D81" t="str">
        <f ca="1">IFERROR(VLOOKUP($A81,bat!$F:$G,2,FALSE),"")</f>
        <v/>
      </c>
      <c r="E81" t="str">
        <f ca="1">IFERROR(VLOOKUP($A81,shell!$F:$G,2,FALSE),"")</f>
        <v>vim(垂直分割)</v>
      </c>
      <c r="F81" t="str">
        <f t="shared" ca="1" si="12"/>
        <v>少数 正数 四捨五入（第二位）vim(垂直分割)</v>
      </c>
      <c r="G81">
        <f ca="1">IF($F81="","",COUNTIF($F$3:$F81,$F81))</f>
        <v>1</v>
      </c>
      <c r="H81">
        <f ca="1">IF(OR(G81&gt;1,G81=""),"",COUNTIF($G$3:$G81,1))</f>
        <v>78</v>
      </c>
      <c r="I81" t="str">
        <f t="shared" ca="1" si="13"/>
        <v>少数 正数 四捨五入（第二位）vim(垂直分割)</v>
      </c>
      <c r="K81">
        <f t="shared" si="17"/>
        <v>78</v>
      </c>
      <c r="L81" t="str">
        <f t="shared" ca="1" si="9"/>
        <v>少数 正数 四捨五入（第二位）vim(垂直分割)</v>
      </c>
      <c r="M81" s="2" t="str">
        <f t="shared" ca="1" si="10"/>
        <v/>
      </c>
      <c r="N81" s="2" t="str">
        <f t="shared" ca="1" si="11"/>
        <v/>
      </c>
      <c r="O81" s="2" t="str">
        <f t="shared" ca="1" si="14"/>
        <v/>
      </c>
      <c r="P81" s="2" t="str">
        <f t="shared" ca="1" si="15"/>
        <v/>
      </c>
    </row>
    <row r="82" spans="1:16">
      <c r="A82">
        <f t="shared" si="16"/>
        <v>79</v>
      </c>
      <c r="B82" t="str">
        <f ca="1">IFERROR(VLOOKUP($A82,'vbs,vba'!$G:$H,2,FALSE),"")</f>
        <v>少数 正数 四捨五入（第三位）</v>
      </c>
      <c r="C82" t="str">
        <f ca="1">IFERROR(VLOOKUP($A82,python!$I:$J,2,FALSE),"")</f>
        <v/>
      </c>
      <c r="D82" t="str">
        <f ca="1">IFERROR(VLOOKUP($A82,bat!$F:$G,2,FALSE),"")</f>
        <v/>
      </c>
      <c r="E82" t="str">
        <f ca="1">IFERROR(VLOOKUP($A82,shell!$F:$G,2,FALSE),"")</f>
        <v>排他ロック</v>
      </c>
      <c r="F82" t="str">
        <f t="shared" ca="1" si="12"/>
        <v>少数 正数 四捨五入（第三位）排他ロック</v>
      </c>
      <c r="G82">
        <f ca="1">IF($F82="","",COUNTIF($F$3:$F82,$F82))</f>
        <v>1</v>
      </c>
      <c r="H82">
        <f ca="1">IF(OR(G82&gt;1,G82=""),"",COUNTIF($G$3:$G82,1))</f>
        <v>79</v>
      </c>
      <c r="I82" t="str">
        <f t="shared" ca="1" si="13"/>
        <v>少数 正数 四捨五入（第三位）排他ロック</v>
      </c>
      <c r="K82">
        <f t="shared" si="17"/>
        <v>79</v>
      </c>
      <c r="L82" t="str">
        <f t="shared" ca="1" si="9"/>
        <v>少数 正数 四捨五入（第三位）排他ロック</v>
      </c>
      <c r="M82" s="2" t="str">
        <f t="shared" ca="1" si="10"/>
        <v/>
      </c>
      <c r="N82" s="2" t="str">
        <f t="shared" ca="1" si="11"/>
        <v/>
      </c>
      <c r="O82" s="2" t="str">
        <f t="shared" ca="1" si="14"/>
        <v/>
      </c>
      <c r="P82" s="2" t="str">
        <f t="shared" ca="1" si="15"/>
        <v/>
      </c>
    </row>
    <row r="83" spans="1:16">
      <c r="A83">
        <f t="shared" si="16"/>
        <v>80</v>
      </c>
      <c r="B83" t="str">
        <f ca="1">IFERROR(VLOOKUP($A83,'vbs,vba'!$G:$H,2,FALSE),"")</f>
        <v>少数 負数 四捨五入（第一位）</v>
      </c>
      <c r="C83" t="str">
        <f ca="1">IFERROR(VLOOKUP($A83,python!$I:$J,2,FALSE),"")</f>
        <v/>
      </c>
      <c r="D83" t="str">
        <f ca="1">IFERROR(VLOOKUP($A83,bat!$F:$G,2,FALSE),"")</f>
        <v/>
      </c>
      <c r="E83" t="str">
        <f ca="1">IFERROR(VLOOKUP($A83,shell!$F:$G,2,FALSE),"")</f>
        <v>共有ロック</v>
      </c>
      <c r="F83" t="str">
        <f t="shared" ca="1" si="12"/>
        <v>少数 負数 四捨五入（第一位）共有ロック</v>
      </c>
      <c r="G83">
        <f ca="1">IF($F83="","",COUNTIF($F$3:$F83,$F83))</f>
        <v>1</v>
      </c>
      <c r="H83">
        <f ca="1">IF(OR(G83&gt;1,G83=""),"",COUNTIF($G$3:$G83,1))</f>
        <v>80</v>
      </c>
      <c r="I83" t="str">
        <f t="shared" ca="1" si="13"/>
        <v>少数 負数 四捨五入（第一位）共有ロック</v>
      </c>
      <c r="K83">
        <f t="shared" si="17"/>
        <v>80</v>
      </c>
      <c r="L83" t="str">
        <f t="shared" ca="1" si="9"/>
        <v>少数 負数 四捨五入（第一位）共有ロック</v>
      </c>
      <c r="M83" s="2" t="str">
        <f t="shared" ca="1" si="10"/>
        <v/>
      </c>
      <c r="N83" s="2" t="str">
        <f t="shared" ca="1" si="11"/>
        <v/>
      </c>
      <c r="O83" s="2" t="str">
        <f t="shared" ca="1" si="14"/>
        <v/>
      </c>
      <c r="P83" s="2" t="str">
        <f t="shared" ca="1" si="15"/>
        <v/>
      </c>
    </row>
    <row r="84" spans="1:16">
      <c r="A84">
        <f t="shared" si="16"/>
        <v>81</v>
      </c>
      <c r="B84" t="str">
        <f ca="1">IFERROR(VLOOKUP($A84,'vbs,vba'!$G:$H,2,FALSE),"")</f>
        <v>少数 負数 四捨五入（第二位）</v>
      </c>
      <c r="C84" t="str">
        <f ca="1">IFERROR(VLOOKUP($A84,python!$I:$J,2,FALSE),"")</f>
        <v/>
      </c>
      <c r="D84" t="str">
        <f ca="1">IFERROR(VLOOKUP($A84,bat!$F:$G,2,FALSE),"")</f>
        <v/>
      </c>
      <c r="E84" t="str">
        <f ca="1">IFERROR(VLOOKUP($A84,shell!$F:$G,2,FALSE),"")</f>
        <v>コマンドバージョン切替え 切替え対象バージョン追加</v>
      </c>
      <c r="F84" t="str">
        <f t="shared" ca="1" si="12"/>
        <v>少数 負数 四捨五入（第二位）コマンドバージョン切替え 切替え対象バージョン追加</v>
      </c>
      <c r="G84">
        <f ca="1">IF($F84="","",COUNTIF($F$3:$F84,$F84))</f>
        <v>1</v>
      </c>
      <c r="H84">
        <f ca="1">IF(OR(G84&gt;1,G84=""),"",COUNTIF($G$3:$G84,1))</f>
        <v>81</v>
      </c>
      <c r="I84" t="str">
        <f t="shared" ca="1" si="13"/>
        <v>少数 負数 四捨五入（第二位）コマンドバージョン切替え 切替え対象バージョン追加</v>
      </c>
      <c r="K84">
        <f t="shared" si="17"/>
        <v>81</v>
      </c>
      <c r="L84" t="str">
        <f t="shared" ca="1" si="9"/>
        <v>少数 負数 四捨五入（第二位）コマンドバージョン切替え 切替え対象バージョン追加</v>
      </c>
      <c r="M84" s="2" t="str">
        <f t="shared" ca="1" si="10"/>
        <v/>
      </c>
      <c r="N84" s="2" t="str">
        <f t="shared" ca="1" si="11"/>
        <v/>
      </c>
      <c r="O84" s="2" t="str">
        <f t="shared" ca="1" si="14"/>
        <v/>
      </c>
      <c r="P84" s="2" t="str">
        <f t="shared" ca="1" si="15"/>
        <v/>
      </c>
    </row>
    <row r="85" spans="1:16">
      <c r="A85">
        <f t="shared" si="16"/>
        <v>82</v>
      </c>
      <c r="B85" t="str">
        <f ca="1">IFERROR(VLOOKUP($A85,'vbs,vba'!$G:$H,2,FALSE),"")</f>
        <v>少数 負数 四捨五入（第三位）</v>
      </c>
      <c r="C85" t="str">
        <f ca="1">IFERROR(VLOOKUP($A85,python!$I:$J,2,FALSE),"")</f>
        <v/>
      </c>
      <c r="D85" t="str">
        <f ca="1">IFERROR(VLOOKUP($A85,bat!$F:$G,2,FALSE),"")</f>
        <v/>
      </c>
      <c r="E85" t="str">
        <f ca="1">IFERROR(VLOOKUP($A85,shell!$F:$G,2,FALSE),"")</f>
        <v>コマンドバージョン切替え 切替え実行（手動）</v>
      </c>
      <c r="F85" t="str">
        <f t="shared" ca="1" si="12"/>
        <v>少数 負数 四捨五入（第三位）コマンドバージョン切替え 切替え実行（手動）</v>
      </c>
      <c r="G85">
        <f ca="1">IF($F85="","",COUNTIF($F$3:$F85,$F85))</f>
        <v>1</v>
      </c>
      <c r="H85">
        <f ca="1">IF(OR(G85&gt;1,G85=""),"",COUNTIF($G$3:$G85,1))</f>
        <v>82</v>
      </c>
      <c r="I85" t="str">
        <f t="shared" ca="1" si="13"/>
        <v>少数 負数 四捨五入（第三位）コマンドバージョン切替え 切替え実行（手動）</v>
      </c>
      <c r="K85">
        <f t="shared" si="17"/>
        <v>82</v>
      </c>
      <c r="L85" t="str">
        <f t="shared" ca="1" si="9"/>
        <v>少数 負数 四捨五入（第三位）コマンドバージョン切替え 切替え実行（手動）</v>
      </c>
      <c r="M85" s="2" t="str">
        <f t="shared" ca="1" si="10"/>
        <v/>
      </c>
      <c r="N85" s="2" t="str">
        <f t="shared" ca="1" si="11"/>
        <v/>
      </c>
      <c r="O85" s="2" t="str">
        <f t="shared" ca="1" si="14"/>
        <v/>
      </c>
      <c r="P85" s="2" t="str">
        <f t="shared" ca="1" si="15"/>
        <v/>
      </c>
    </row>
    <row r="86" spans="1:16">
      <c r="A86">
        <f t="shared" si="16"/>
        <v>83</v>
      </c>
      <c r="B86" t="str">
        <f ca="1">IFERROR(VLOOKUP($A86,'vbs,vba'!$G:$H,2,FALSE),"")</f>
        <v>少数 正数 切り上げ（第一位）</v>
      </c>
      <c r="C86" t="str">
        <f ca="1">IFERROR(VLOOKUP($A86,python!$I:$J,2,FALSE),"")</f>
        <v/>
      </c>
      <c r="D86" t="str">
        <f ca="1">IFERROR(VLOOKUP($A86,bat!$F:$G,2,FALSE),"")</f>
        <v/>
      </c>
      <c r="E86" t="str">
        <f ca="1">IFERROR(VLOOKUP($A86,shell!$F:$G,2,FALSE),"")</f>
        <v>コマンドバージョン切替え 切替え実行（自動）</v>
      </c>
      <c r="F86" t="str">
        <f t="shared" ca="1" si="12"/>
        <v>少数 正数 切り上げ（第一位）コマンドバージョン切替え 切替え実行（自動）</v>
      </c>
      <c r="G86">
        <f ca="1">IF($F86="","",COUNTIF($F$3:$F86,$F86))</f>
        <v>1</v>
      </c>
      <c r="H86">
        <f ca="1">IF(OR(G86&gt;1,G86=""),"",COUNTIF($G$3:$G86,1))</f>
        <v>83</v>
      </c>
      <c r="I86" t="str">
        <f t="shared" ca="1" si="13"/>
        <v>少数 正数 切り上げ（第一位）コマンドバージョン切替え 切替え実行（自動）</v>
      </c>
      <c r="K86">
        <f t="shared" si="17"/>
        <v>83</v>
      </c>
      <c r="L86" t="str">
        <f t="shared" ca="1" si="9"/>
        <v>少数 正数 切り上げ（第一位）コマンドバージョン切替え 切替え実行（自動）</v>
      </c>
      <c r="M86" s="2" t="str">
        <f t="shared" ca="1" si="10"/>
        <v/>
      </c>
      <c r="N86" s="2" t="str">
        <f t="shared" ca="1" si="11"/>
        <v/>
      </c>
      <c r="O86" s="2" t="str">
        <f t="shared" ca="1" si="14"/>
        <v/>
      </c>
      <c r="P86" s="2" t="str">
        <f t="shared" ca="1" si="15"/>
        <v/>
      </c>
    </row>
    <row r="87" spans="1:16">
      <c r="A87">
        <f t="shared" si="16"/>
        <v>84</v>
      </c>
      <c r="B87" t="str">
        <f ca="1">IFERROR(VLOOKUP($A87,'vbs,vba'!$G:$H,2,FALSE),"")</f>
        <v>少数 正数 切り上げ（第二位）</v>
      </c>
      <c r="C87" t="str">
        <f ca="1">IFERROR(VLOOKUP($A87,python!$I:$J,2,FALSE),"")</f>
        <v/>
      </c>
      <c r="D87" t="str">
        <f ca="1">IFERROR(VLOOKUP($A87,bat!$F:$G,2,FALSE),"")</f>
        <v/>
      </c>
      <c r="E87" t="str">
        <f ca="1">IFERROR(VLOOKUP($A87,shell!$F:$G,2,FALSE),"")</f>
        <v>コマンドバージョン切替え 切替え対象バージョン確認</v>
      </c>
      <c r="F87" t="str">
        <f t="shared" ca="1" si="12"/>
        <v>少数 正数 切り上げ（第二位）コマンドバージョン切替え 切替え対象バージョン確認</v>
      </c>
      <c r="G87">
        <f ca="1">IF($F87="","",COUNTIF($F$3:$F87,$F87))</f>
        <v>1</v>
      </c>
      <c r="H87">
        <f ca="1">IF(OR(G87&gt;1,G87=""),"",COUNTIF($G$3:$G87,1))</f>
        <v>84</v>
      </c>
      <c r="I87" t="str">
        <f t="shared" ca="1" si="13"/>
        <v>少数 正数 切り上げ（第二位）コマンドバージョン切替え 切替え対象バージョン確認</v>
      </c>
      <c r="K87">
        <f t="shared" si="17"/>
        <v>84</v>
      </c>
      <c r="L87" t="str">
        <f t="shared" ca="1" si="9"/>
        <v>少数 正数 切り上げ（第二位）コマンドバージョン切替え 切替え対象バージョン確認</v>
      </c>
      <c r="M87" s="2" t="str">
        <f t="shared" ca="1" si="10"/>
        <v/>
      </c>
      <c r="N87" s="2" t="str">
        <f t="shared" ca="1" si="11"/>
        <v/>
      </c>
      <c r="O87" s="2" t="str">
        <f t="shared" ca="1" si="14"/>
        <v/>
      </c>
      <c r="P87" s="2" t="str">
        <f t="shared" ca="1" si="15"/>
        <v/>
      </c>
    </row>
    <row r="88" spans="1:16">
      <c r="A88">
        <f t="shared" si="16"/>
        <v>85</v>
      </c>
      <c r="B88" t="str">
        <f ca="1">IFERROR(VLOOKUP($A88,'vbs,vba'!$G:$H,2,FALSE),"")</f>
        <v>少数 負数 切り上げ（第一位）</v>
      </c>
      <c r="C88" t="str">
        <f ca="1">IFERROR(VLOOKUP($A88,python!$I:$J,2,FALSE),"")</f>
        <v/>
      </c>
      <c r="D88" t="str">
        <f ca="1">IFERROR(VLOOKUP($A88,bat!$F:$G,2,FALSE),"")</f>
        <v/>
      </c>
      <c r="E88" t="str">
        <f ca="1">IFERROR(VLOOKUP($A88,shell!$F:$G,2,FALSE),"")</f>
        <v>SCP転送(ファイル)</v>
      </c>
      <c r="F88" t="str">
        <f t="shared" ca="1" si="12"/>
        <v>少数 負数 切り上げ（第一位）SCP転送(ファイル)</v>
      </c>
      <c r="G88">
        <f ca="1">IF($F88="","",COUNTIF($F$3:$F88,$F88))</f>
        <v>1</v>
      </c>
      <c r="H88">
        <f ca="1">IF(OR(G88&gt;1,G88=""),"",COUNTIF($G$3:$G88,1))</f>
        <v>85</v>
      </c>
      <c r="I88" t="str">
        <f t="shared" ca="1" si="13"/>
        <v>少数 負数 切り上げ（第一位）SCP転送(ファイル)</v>
      </c>
      <c r="K88">
        <f t="shared" si="17"/>
        <v>85</v>
      </c>
      <c r="L88" t="str">
        <f t="shared" ca="1" si="9"/>
        <v>少数 負数 切り上げ（第一位）SCP転送(ファイル)</v>
      </c>
      <c r="M88" s="2" t="str">
        <f t="shared" ca="1" si="10"/>
        <v/>
      </c>
      <c r="N88" s="2" t="str">
        <f t="shared" ca="1" si="11"/>
        <v/>
      </c>
      <c r="O88" s="2" t="str">
        <f t="shared" ca="1" si="14"/>
        <v/>
      </c>
      <c r="P88" s="2" t="str">
        <f t="shared" ca="1" si="15"/>
        <v/>
      </c>
    </row>
    <row r="89" spans="1:16">
      <c r="A89">
        <f t="shared" si="16"/>
        <v>86</v>
      </c>
      <c r="B89" t="str">
        <f ca="1">IFERROR(VLOOKUP($A89,'vbs,vba'!$G:$H,2,FALSE),"")</f>
        <v>少数 負数 切り上げ（第二位）</v>
      </c>
      <c r="C89" t="str">
        <f ca="1">IFERROR(VLOOKUP($A89,python!$I:$J,2,FALSE),"")</f>
        <v/>
      </c>
      <c r="D89" t="str">
        <f ca="1">IFERROR(VLOOKUP($A89,bat!$F:$G,2,FALSE),"")</f>
        <v/>
      </c>
      <c r="E89" t="str">
        <f ca="1">IFERROR(VLOOKUP($A89,shell!$F:$G,2,FALSE),"")</f>
        <v>SCP転送(フォルダ)</v>
      </c>
      <c r="F89" t="str">
        <f t="shared" ca="1" si="12"/>
        <v>少数 負数 切り上げ（第二位）SCP転送(フォルダ)</v>
      </c>
      <c r="G89">
        <f ca="1">IF($F89="","",COUNTIF($F$3:$F89,$F89))</f>
        <v>1</v>
      </c>
      <c r="H89">
        <f ca="1">IF(OR(G89&gt;1,G89=""),"",COUNTIF($G$3:$G89,1))</f>
        <v>86</v>
      </c>
      <c r="I89" t="str">
        <f t="shared" ca="1" si="13"/>
        <v>少数 負数 切り上げ（第二位）SCP転送(フォルダ)</v>
      </c>
      <c r="K89">
        <f t="shared" si="17"/>
        <v>86</v>
      </c>
      <c r="L89" t="str">
        <f t="shared" ca="1" si="9"/>
        <v>少数 負数 切り上げ（第二位）SCP転送(フォルダ)</v>
      </c>
      <c r="M89" s="2" t="str">
        <f t="shared" ca="1" si="10"/>
        <v/>
      </c>
      <c r="N89" s="2" t="str">
        <f t="shared" ca="1" si="11"/>
        <v/>
      </c>
      <c r="O89" s="2" t="str">
        <f t="shared" ca="1" si="14"/>
        <v/>
      </c>
      <c r="P89" s="2" t="str">
        <f t="shared" ca="1" si="15"/>
        <v/>
      </c>
    </row>
    <row r="90" spans="1:16">
      <c r="A90">
        <f t="shared" si="16"/>
        <v>87</v>
      </c>
      <c r="B90" t="str">
        <f ca="1">IFERROR(VLOOKUP($A90,'vbs,vba'!$G:$H,2,FALSE),"")</f>
        <v>少数 正数 切り下げ（第一位）</v>
      </c>
      <c r="C90" t="str">
        <f ca="1">IFERROR(VLOOKUP($A90,python!$I:$J,2,FALSE),"")</f>
        <v/>
      </c>
      <c r="D90" t="str">
        <f ca="1">IFERROR(VLOOKUP($A90,bat!$F:$G,2,FALSE),"")</f>
        <v/>
      </c>
      <c r="E90" t="str">
        <f ca="1">IFERROR(VLOOKUP($A90,shell!$F:$G,2,FALSE),"")</f>
        <v>SCP転送(パスワード自動入力)</v>
      </c>
      <c r="F90" t="str">
        <f t="shared" ca="1" si="12"/>
        <v>少数 正数 切り下げ（第一位）SCP転送(パスワード自動入力)</v>
      </c>
      <c r="G90">
        <f ca="1">IF($F90="","",COUNTIF($F$3:$F90,$F90))</f>
        <v>1</v>
      </c>
      <c r="H90">
        <f ca="1">IF(OR(G90&gt;1,G90=""),"",COUNTIF($G$3:$G90,1))</f>
        <v>87</v>
      </c>
      <c r="I90" t="str">
        <f t="shared" ca="1" si="13"/>
        <v>少数 正数 切り下げ（第一位）SCP転送(パスワード自動入力)</v>
      </c>
      <c r="K90">
        <f t="shared" si="17"/>
        <v>87</v>
      </c>
      <c r="L90" t="str">
        <f t="shared" ca="1" si="9"/>
        <v>少数 正数 切り下げ（第一位）SCP転送(パスワード自動入力)</v>
      </c>
      <c r="M90" s="2" t="str">
        <f t="shared" ca="1" si="10"/>
        <v/>
      </c>
      <c r="N90" s="2" t="str">
        <f t="shared" ca="1" si="11"/>
        <v/>
      </c>
      <c r="O90" s="2" t="str">
        <f t="shared" ca="1" si="14"/>
        <v/>
      </c>
      <c r="P90" s="2" t="str">
        <f t="shared" ca="1" si="15"/>
        <v/>
      </c>
    </row>
    <row r="91" spans="1:16">
      <c r="A91">
        <f t="shared" si="16"/>
        <v>88</v>
      </c>
      <c r="B91" t="str">
        <f ca="1">IFERROR(VLOOKUP($A91,'vbs,vba'!$G:$H,2,FALSE),"")</f>
        <v>少数 正数 切り下げ（第二位）</v>
      </c>
      <c r="C91" t="str">
        <f ca="1">IFERROR(VLOOKUP($A91,python!$I:$J,2,FALSE),"")</f>
        <v/>
      </c>
      <c r="D91" t="str">
        <f ca="1">IFERROR(VLOOKUP($A91,bat!$F:$G,2,FALSE),"")</f>
        <v/>
      </c>
      <c r="E91" t="str">
        <f ca="1">IFERROR(VLOOKUP($A91,shell!$F:$G,2,FALSE),"")</f>
        <v>URLコンテンツ取得(Client for URL)</v>
      </c>
      <c r="F91" t="str">
        <f t="shared" ca="1" si="12"/>
        <v>少数 正数 切り下げ（第二位）URLコンテンツ取得(Client for URL)</v>
      </c>
      <c r="G91">
        <f ca="1">IF($F91="","",COUNTIF($F$3:$F91,$F91))</f>
        <v>1</v>
      </c>
      <c r="H91">
        <f ca="1">IF(OR(G91&gt;1,G91=""),"",COUNTIF($G$3:$G91,1))</f>
        <v>88</v>
      </c>
      <c r="I91" t="str">
        <f t="shared" ca="1" si="13"/>
        <v>少数 正数 切り下げ（第二位）URLコンテンツ取得(Client for URL)</v>
      </c>
      <c r="K91">
        <f t="shared" si="17"/>
        <v>88</v>
      </c>
      <c r="L91" t="str">
        <f t="shared" ca="1" si="9"/>
        <v>少数 正数 切り下げ（第二位）URLコンテンツ取得(Client for URL)</v>
      </c>
      <c r="M91" s="2" t="str">
        <f t="shared" ca="1" si="10"/>
        <v/>
      </c>
      <c r="N91" s="2" t="str">
        <f t="shared" ca="1" si="11"/>
        <v/>
      </c>
      <c r="O91" s="2" t="str">
        <f t="shared" ca="1" si="14"/>
        <v/>
      </c>
      <c r="P91" s="2" t="str">
        <f t="shared" ca="1" si="15"/>
        <v/>
      </c>
    </row>
    <row r="92" spans="1:16">
      <c r="A92">
        <f t="shared" si="16"/>
        <v>89</v>
      </c>
      <c r="B92" t="str">
        <f ca="1">IFERROR(VLOOKUP($A92,'vbs,vba'!$G:$H,2,FALSE),"")</f>
        <v>少数 負数 切り下げ（第一位）</v>
      </c>
      <c r="C92" t="str">
        <f ca="1">IFERROR(VLOOKUP($A92,python!$I:$J,2,FALSE),"")</f>
        <v/>
      </c>
      <c r="D92" t="str">
        <f ca="1">IFERROR(VLOOKUP($A92,bat!$F:$G,2,FALSE),"")</f>
        <v/>
      </c>
      <c r="E92" t="str">
        <f ca="1">IFERROR(VLOOKUP($A92,shell!$F:$G,2,FALSE),"")</f>
        <v>URLコンテンツ取得(ファイルダウンロード)</v>
      </c>
      <c r="F92" t="str">
        <f t="shared" ca="1" si="12"/>
        <v>少数 負数 切り下げ（第一位）URLコンテンツ取得(ファイルダウンロード)</v>
      </c>
      <c r="G92">
        <f ca="1">IF($F92="","",COUNTIF($F$3:$F92,$F92))</f>
        <v>1</v>
      </c>
      <c r="H92">
        <f ca="1">IF(OR(G92&gt;1,G92=""),"",COUNTIF($G$3:$G92,1))</f>
        <v>89</v>
      </c>
      <c r="I92" t="str">
        <f t="shared" ca="1" si="13"/>
        <v>少数 負数 切り下げ（第一位）URLコンテンツ取得(ファイルダウンロード)</v>
      </c>
      <c r="K92">
        <f t="shared" si="17"/>
        <v>89</v>
      </c>
      <c r="L92" t="str">
        <f t="shared" ca="1" si="9"/>
        <v>少数 負数 切り下げ（第一位）URLコンテンツ取得(ファイルダウンロード)</v>
      </c>
      <c r="M92" s="2" t="str">
        <f t="shared" ca="1" si="10"/>
        <v/>
      </c>
      <c r="N92" s="2" t="str">
        <f t="shared" ca="1" si="11"/>
        <v/>
      </c>
      <c r="O92" s="2" t="str">
        <f t="shared" ca="1" si="14"/>
        <v/>
      </c>
      <c r="P92" s="2" t="str">
        <f t="shared" ca="1" si="15"/>
        <v/>
      </c>
    </row>
    <row r="93" spans="1:16">
      <c r="A93">
        <f t="shared" si="16"/>
        <v>90</v>
      </c>
      <c r="B93" t="str">
        <f ca="1">IFERROR(VLOOKUP($A93,'vbs,vba'!$G:$H,2,FALSE),"")</f>
        <v>少数 負数 切り下げ（第二位）</v>
      </c>
      <c r="C93" t="str">
        <f ca="1">IFERROR(VLOOKUP($A93,python!$I:$J,2,FALSE),"")</f>
        <v/>
      </c>
      <c r="D93" t="str">
        <f ca="1">IFERROR(VLOOKUP($A93,bat!$F:$G,2,FALSE),"")</f>
        <v/>
      </c>
      <c r="E93" t="str">
        <f ca="1">IFERROR(VLOOKUP($A93,shell!$F:$G,2,FALSE),"")</f>
        <v>TCP/IPアドレス情報表示</v>
      </c>
      <c r="F93" t="str">
        <f t="shared" ca="1" si="12"/>
        <v>少数 負数 切り下げ（第二位）TCP/IPアドレス情報表示</v>
      </c>
      <c r="G93">
        <f ca="1">IF($F93="","",COUNTIF($F$3:$F93,$F93))</f>
        <v>1</v>
      </c>
      <c r="H93">
        <f ca="1">IF(OR(G93&gt;1,G93=""),"",COUNTIF($G$3:$G93,1))</f>
        <v>90</v>
      </c>
      <c r="I93" t="str">
        <f t="shared" ca="1" si="13"/>
        <v>少数 負数 切り下げ（第二位）TCP/IPアドレス情報表示</v>
      </c>
      <c r="K93">
        <f t="shared" si="17"/>
        <v>90</v>
      </c>
      <c r="L93" t="str">
        <f t="shared" ca="1" si="9"/>
        <v>少数 負数 切り下げ（第二位）TCP/IPアドレス情報表示</v>
      </c>
      <c r="M93" s="2" t="str">
        <f t="shared" ca="1" si="10"/>
        <v/>
      </c>
      <c r="N93" s="2" t="str">
        <f t="shared" ca="1" si="11"/>
        <v/>
      </c>
      <c r="O93" s="2" t="str">
        <f t="shared" ca="1" si="14"/>
        <v/>
      </c>
      <c r="P93" s="2" t="str">
        <f t="shared" ca="1" si="15"/>
        <v/>
      </c>
    </row>
    <row r="94" spans="1:16">
      <c r="A94">
        <f t="shared" si="16"/>
        <v>91</v>
      </c>
      <c r="B94" t="str">
        <f ca="1">IFERROR(VLOOKUP($A94,'vbs,vba'!$G:$H,2,FALSE),"")</f>
        <v>文字列表示形式(日付)</v>
      </c>
      <c r="C94" t="str">
        <f ca="1">IFERROR(VLOOKUP($A94,python!$I:$J,2,FALSE),"")</f>
        <v/>
      </c>
      <c r="D94" t="str">
        <f ca="1">IFERROR(VLOOKUP($A94,bat!$F:$G,2,FALSE),"")</f>
        <v/>
      </c>
      <c r="E94" t="str">
        <f ca="1">IFERROR(VLOOKUP($A94,shell!$F:$G,2,FALSE),"")</f>
        <v>TCP/IPアドレス情報表示(MACアドレス取得)</v>
      </c>
      <c r="F94" t="str">
        <f t="shared" ca="1" si="12"/>
        <v>文字列表示形式(日付)TCP/IPアドレス情報表示(MACアドレス取得)</v>
      </c>
      <c r="G94">
        <f ca="1">IF($F94="","",COUNTIF($F$3:$F94,$F94))</f>
        <v>1</v>
      </c>
      <c r="H94">
        <f ca="1">IF(OR(G94&gt;1,G94=""),"",COUNTIF($G$3:$G94,1))</f>
        <v>91</v>
      </c>
      <c r="I94" t="str">
        <f t="shared" ca="1" si="13"/>
        <v>文字列表示形式(日付)TCP/IPアドレス情報表示(MACアドレス取得)</v>
      </c>
      <c r="K94">
        <f t="shared" si="17"/>
        <v>91</v>
      </c>
      <c r="L94" t="str">
        <f t="shared" ca="1" si="9"/>
        <v>文字列表示形式(日付)TCP/IPアドレス情報表示(MACアドレス取得)</v>
      </c>
      <c r="M94" s="2" t="str">
        <f t="shared" ca="1" si="10"/>
        <v/>
      </c>
      <c r="N94" s="2" t="str">
        <f t="shared" ca="1" si="11"/>
        <v/>
      </c>
      <c r="O94" s="2" t="str">
        <f t="shared" ca="1" si="14"/>
        <v/>
      </c>
      <c r="P94" s="2" t="str">
        <f t="shared" ca="1" si="15"/>
        <v/>
      </c>
    </row>
    <row r="95" spans="1:16">
      <c r="A95">
        <f t="shared" si="16"/>
        <v>92</v>
      </c>
      <c r="B95" t="str">
        <f ca="1">IFERROR(VLOOKUP($A95,'vbs,vba'!$G:$H,2,FALSE),"")</f>
        <v>文字列表示形式(数値)</v>
      </c>
      <c r="C95" t="str">
        <f ca="1">IFERROR(VLOOKUP($A95,python!$I:$J,2,FALSE),"")</f>
        <v/>
      </c>
      <c r="D95" t="str">
        <f ca="1">IFERROR(VLOOKUP($A95,bat!$F:$G,2,FALSE),"")</f>
        <v/>
      </c>
      <c r="E95" t="str">
        <f ca="1">IFERROR(VLOOKUP($A95,shell!$F:$G,2,FALSE),"")</f>
        <v>TCP/IPアドレス情報表示(IPアドレス取得)</v>
      </c>
      <c r="F95" t="str">
        <f t="shared" ca="1" si="12"/>
        <v>文字列表示形式(数値)TCP/IPアドレス情報表示(IPアドレス取得)</v>
      </c>
      <c r="G95">
        <f ca="1">IF($F95="","",COUNTIF($F$3:$F95,$F95))</f>
        <v>1</v>
      </c>
      <c r="H95">
        <f ca="1">IF(OR(G95&gt;1,G95=""),"",COUNTIF($G$3:$G95,1))</f>
        <v>92</v>
      </c>
      <c r="I95" t="str">
        <f t="shared" ca="1" si="13"/>
        <v>文字列表示形式(数値)TCP/IPアドレス情報表示(IPアドレス取得)</v>
      </c>
      <c r="K95">
        <f t="shared" si="17"/>
        <v>92</v>
      </c>
      <c r="L95" t="str">
        <f t="shared" ca="1" si="9"/>
        <v>文字列表示形式(数値)TCP/IPアドレス情報表示(IPアドレス取得)</v>
      </c>
      <c r="M95" s="2" t="str">
        <f t="shared" ca="1" si="10"/>
        <v/>
      </c>
      <c r="N95" s="2" t="str">
        <f t="shared" ca="1" si="11"/>
        <v/>
      </c>
      <c r="O95" s="2" t="str">
        <f t="shared" ca="1" si="14"/>
        <v/>
      </c>
      <c r="P95" s="2" t="str">
        <f t="shared" ca="1" si="15"/>
        <v/>
      </c>
    </row>
    <row r="96" spans="1:16">
      <c r="A96">
        <f t="shared" si="16"/>
        <v>93</v>
      </c>
      <c r="B96" t="str">
        <f ca="1">IFERROR(VLOOKUP($A96,'vbs,vba'!$G:$H,2,FALSE),"")</f>
        <v>文字列表示形式(割合)</v>
      </c>
      <c r="C96" t="str">
        <f ca="1">IFERROR(VLOOKUP($A96,python!$I:$J,2,FALSE),"")</f>
        <v/>
      </c>
      <c r="D96" t="str">
        <f ca="1">IFERROR(VLOOKUP($A96,bat!$F:$G,2,FALSE),"")</f>
        <v/>
      </c>
      <c r="E96" t="str">
        <f ca="1">IFERROR(VLOOKUP($A96,shell!$F:$G,2,FALSE),"")</f>
        <v>パケット送付</v>
      </c>
      <c r="F96" t="str">
        <f t="shared" ca="1" si="12"/>
        <v>文字列表示形式(割合)パケット送付</v>
      </c>
      <c r="G96">
        <f ca="1">IF($F96="","",COUNTIF($F$3:$F96,$F96))</f>
        <v>1</v>
      </c>
      <c r="H96">
        <f ca="1">IF(OR(G96&gt;1,G96=""),"",COUNTIF($G$3:$G96,1))</f>
        <v>93</v>
      </c>
      <c r="I96" t="str">
        <f t="shared" ca="1" si="13"/>
        <v>文字列表示形式(割合)パケット送付</v>
      </c>
      <c r="K96">
        <f t="shared" si="17"/>
        <v>93</v>
      </c>
      <c r="L96" t="str">
        <f t="shared" ca="1" si="9"/>
        <v>文字列表示形式(割合)パケット送付</v>
      </c>
      <c r="M96" s="2" t="str">
        <f t="shared" ca="1" si="10"/>
        <v/>
      </c>
      <c r="N96" s="2" t="str">
        <f t="shared" ca="1" si="11"/>
        <v/>
      </c>
      <c r="O96" s="2" t="str">
        <f t="shared" ca="1" si="14"/>
        <v/>
      </c>
      <c r="P96" s="2" t="str">
        <f t="shared" ca="1" si="15"/>
        <v/>
      </c>
    </row>
    <row r="97" spans="1:16">
      <c r="A97">
        <f t="shared" si="16"/>
        <v>94</v>
      </c>
      <c r="B97" t="str">
        <f ca="1">IFERROR(VLOOKUP($A97,'vbs,vba'!$G:$H,2,FALSE),"")</f>
        <v>文字列表示形式(通貨)</v>
      </c>
      <c r="C97" t="str">
        <f ca="1">IFERROR(VLOOKUP($A97,python!$I:$J,2,FALSE),"")</f>
        <v/>
      </c>
      <c r="D97" t="str">
        <f ca="1">IFERROR(VLOOKUP($A97,bat!$F:$G,2,FALSE),"")</f>
        <v/>
      </c>
      <c r="E97" t="str">
        <f ca="1">IFERROR(VLOOKUP($A97,shell!$F:$G,2,FALSE),"")</f>
        <v>ネットワーク切断</v>
      </c>
      <c r="F97" t="str">
        <f t="shared" ca="1" si="12"/>
        <v>文字列表示形式(通貨)ネットワーク切断</v>
      </c>
      <c r="G97">
        <f ca="1">IF($F97="","",COUNTIF($F$3:$F97,$F97))</f>
        <v>1</v>
      </c>
      <c r="H97">
        <f ca="1">IF(OR(G97&gt;1,G97=""),"",COUNTIF($G$3:$G97,1))</f>
        <v>94</v>
      </c>
      <c r="I97" t="str">
        <f t="shared" ca="1" si="13"/>
        <v>文字列表示形式(通貨)ネットワーク切断</v>
      </c>
      <c r="K97">
        <f t="shared" si="17"/>
        <v>94</v>
      </c>
      <c r="L97" t="str">
        <f t="shared" ca="1" si="9"/>
        <v>文字列表示形式(通貨)ネットワーク切断</v>
      </c>
      <c r="M97" s="2" t="str">
        <f t="shared" ca="1" si="10"/>
        <v/>
      </c>
      <c r="N97" s="2" t="str">
        <f t="shared" ca="1" si="11"/>
        <v/>
      </c>
      <c r="O97" s="2" t="str">
        <f t="shared" ca="1" si="14"/>
        <v/>
      </c>
      <c r="P97" s="2" t="str">
        <f t="shared" ca="1" si="15"/>
        <v/>
      </c>
    </row>
    <row r="98" spans="1:16">
      <c r="A98">
        <f t="shared" si="16"/>
        <v>95</v>
      </c>
      <c r="B98" t="str">
        <f ca="1">IFERROR(VLOOKUP($A98,'vbs,vba'!$G:$H,2,FALSE),"")</f>
        <v>エラー設定</v>
      </c>
      <c r="C98" t="str">
        <f ca="1">IFERROR(VLOOKUP($A98,python!$I:$J,2,FALSE),"")</f>
        <v/>
      </c>
      <c r="D98" t="str">
        <f ca="1">IFERROR(VLOOKUP($A98,bat!$F:$G,2,FALSE),"")</f>
        <v/>
      </c>
      <c r="E98" t="str">
        <f ca="1">IFERROR(VLOOKUP($A98,shell!$F:$G,2,FALSE),"")</f>
        <v>ネットワーク接続</v>
      </c>
      <c r="F98" t="str">
        <f t="shared" ca="1" si="12"/>
        <v>エラー設定ネットワーク接続</v>
      </c>
      <c r="G98">
        <f ca="1">IF($F98="","",COUNTIF($F$3:$F98,$F98))</f>
        <v>1</v>
      </c>
      <c r="H98">
        <f ca="1">IF(OR(G98&gt;1,G98=""),"",COUNTIF($G$3:$G98,1))</f>
        <v>95</v>
      </c>
      <c r="I98" t="str">
        <f t="shared" ca="1" si="13"/>
        <v>エラー設定ネットワーク接続</v>
      </c>
      <c r="K98">
        <f t="shared" si="17"/>
        <v>95</v>
      </c>
      <c r="L98" t="str">
        <f t="shared" ca="1" si="9"/>
        <v>エラー設定ネットワーク接続</v>
      </c>
      <c r="M98" s="2" t="str">
        <f t="shared" ca="1" si="10"/>
        <v/>
      </c>
      <c r="N98" s="2" t="str">
        <f t="shared" ca="1" si="11"/>
        <v/>
      </c>
      <c r="O98" s="2" t="str">
        <f t="shared" ca="1" si="14"/>
        <v/>
      </c>
      <c r="P98" s="2" t="str">
        <f t="shared" ca="1" si="15"/>
        <v/>
      </c>
    </row>
    <row r="99" spans="1:16">
      <c r="A99">
        <f t="shared" si="16"/>
        <v>96</v>
      </c>
      <c r="B99" t="str">
        <f ca="1">IFERROR(VLOOKUP($A99,'vbs,vba'!$G:$H,2,FALSE),"")</f>
        <v>エラー解除</v>
      </c>
      <c r="C99" t="str">
        <f ca="1">IFERROR(VLOOKUP($A99,python!$I:$J,2,FALSE),"")</f>
        <v/>
      </c>
      <c r="D99" t="str">
        <f ca="1">IFERROR(VLOOKUP($A99,bat!$F:$G,2,FALSE),"")</f>
        <v/>
      </c>
      <c r="E99" t="str">
        <f ca="1">IFERROR(VLOOKUP($A99,shell!$F:$G,2,FALSE),"")</f>
        <v>ネットワーク状況確認</v>
      </c>
      <c r="F99" t="str">
        <f t="shared" ca="1" si="12"/>
        <v>エラー解除ネットワーク状況確認</v>
      </c>
      <c r="G99">
        <f ca="1">IF($F99="","",COUNTIF($F$3:$F99,$F99))</f>
        <v>1</v>
      </c>
      <c r="H99">
        <f ca="1">IF(OR(G99&gt;1,G99=""),"",COUNTIF($G$3:$G99,1))</f>
        <v>96</v>
      </c>
      <c r="I99" t="str">
        <f t="shared" ca="1" si="13"/>
        <v>エラー解除ネットワーク状況確認</v>
      </c>
      <c r="K99">
        <f t="shared" si="17"/>
        <v>96</v>
      </c>
      <c r="L99" t="str">
        <f t="shared" ca="1" si="9"/>
        <v>エラー解除ネットワーク状況確認</v>
      </c>
      <c r="M99" s="2" t="str">
        <f t="shared" ca="1" si="10"/>
        <v/>
      </c>
      <c r="N99" s="2" t="str">
        <f t="shared" ca="1" si="11"/>
        <v/>
      </c>
      <c r="O99" s="2" t="str">
        <f t="shared" ca="1" si="14"/>
        <v/>
      </c>
      <c r="P99" s="2" t="str">
        <f t="shared" ca="1" si="15"/>
        <v/>
      </c>
    </row>
    <row r="100" spans="1:16">
      <c r="A100">
        <f t="shared" si="16"/>
        <v>97</v>
      </c>
      <c r="B100" t="str">
        <f ca="1">IFERROR(VLOOKUP($A100,'vbs,vba'!$G:$H,2,FALSE),"")</f>
        <v>エラー番号</v>
      </c>
      <c r="C100" t="str">
        <f ca="1">IFERROR(VLOOKUP($A100,python!$I:$J,2,FALSE),"")</f>
        <v/>
      </c>
      <c r="D100" t="str">
        <f ca="1">IFERROR(VLOOKUP($A100,bat!$F:$G,2,FALSE),"")</f>
        <v/>
      </c>
      <c r="E100" t="str">
        <f ca="1">IFERROR(VLOOKUP($A100,shell!$F:$G,2,FALSE),"")</f>
        <v>コンパイル実行</v>
      </c>
      <c r="F100" t="str">
        <f t="shared" ca="1" si="12"/>
        <v>エラー番号コンパイル実行</v>
      </c>
      <c r="G100">
        <f ca="1">IF($F100="","",COUNTIF($F$3:$F100,$F100))</f>
        <v>1</v>
      </c>
      <c r="H100">
        <f ca="1">IF(OR(G100&gt;1,G100=""),"",COUNTIF($G$3:$G100,1))</f>
        <v>97</v>
      </c>
      <c r="I100" t="str">
        <f t="shared" ca="1" si="13"/>
        <v>エラー番号コンパイル実行</v>
      </c>
      <c r="K100">
        <f t="shared" si="17"/>
        <v>97</v>
      </c>
      <c r="L100" t="str">
        <f t="shared" ca="1" si="9"/>
        <v>エラー番号コンパイル実行</v>
      </c>
      <c r="M100" s="2" t="str">
        <f t="shared" ca="1" si="10"/>
        <v/>
      </c>
      <c r="N100" s="2" t="str">
        <f t="shared" ca="1" si="11"/>
        <v/>
      </c>
      <c r="O100" s="2" t="str">
        <f t="shared" ca="1" si="14"/>
        <v/>
      </c>
      <c r="P100" s="2" t="str">
        <f t="shared" ca="1" si="15"/>
        <v/>
      </c>
    </row>
    <row r="101" spans="1:16">
      <c r="A101">
        <f t="shared" si="16"/>
        <v>98</v>
      </c>
      <c r="B101" t="str">
        <f ca="1">IFERROR(VLOOKUP($A101,'vbs,vba'!$G:$H,2,FALSE),"")</f>
        <v>エラー内容</v>
      </c>
      <c r="C101" t="str">
        <f ca="1">IFERROR(VLOOKUP($A101,python!$I:$J,2,FALSE),"")</f>
        <v/>
      </c>
      <c r="D101" t="str">
        <f ca="1">IFERROR(VLOOKUP($A101,bat!$F:$G,2,FALSE),"")</f>
        <v/>
      </c>
      <c r="E101" t="str">
        <f ca="1">IFERROR(VLOOKUP($A101,shell!$F:$G,2,FALSE),"")</f>
        <v>コンパイル実行(コンパイル＆アセンブルのみ)</v>
      </c>
      <c r="F101" t="str">
        <f t="shared" ca="1" si="12"/>
        <v>エラー内容コンパイル実行(コンパイル＆アセンブルのみ)</v>
      </c>
      <c r="G101">
        <f ca="1">IF($F101="","",COUNTIF($F$3:$F101,$F101))</f>
        <v>1</v>
      </c>
      <c r="H101">
        <f ca="1">IF(OR(G101&gt;1,G101=""),"",COUNTIF($G$3:$G101,1))</f>
        <v>98</v>
      </c>
      <c r="I101" t="str">
        <f t="shared" ca="1" si="13"/>
        <v>エラー内容コンパイル実行(コンパイル＆アセンブルのみ)</v>
      </c>
      <c r="K101">
        <f t="shared" si="17"/>
        <v>98</v>
      </c>
      <c r="L101" t="str">
        <f t="shared" ca="1" si="9"/>
        <v>エラー内容コンパイル実行(コンパイル＆アセンブルのみ)</v>
      </c>
      <c r="M101" s="2" t="str">
        <f t="shared" ca="1" si="10"/>
        <v/>
      </c>
      <c r="N101" s="2" t="str">
        <f t="shared" ca="1" si="11"/>
        <v/>
      </c>
      <c r="O101" s="2" t="str">
        <f t="shared" ca="1" si="14"/>
        <v/>
      </c>
      <c r="P101" s="2" t="str">
        <f t="shared" ca="1" si="15"/>
        <v/>
      </c>
    </row>
    <row r="102" spans="1:16">
      <c r="A102">
        <f t="shared" si="16"/>
        <v>99</v>
      </c>
      <c r="B102" t="str">
        <f ca="1">IFERROR(VLOOKUP($A102,'vbs,vba'!$G:$H,2,FALSE),"")</f>
        <v>エラーラベル</v>
      </c>
      <c r="C102" t="str">
        <f ca="1">IFERROR(VLOOKUP($A102,python!$I:$J,2,FALSE),"")</f>
        <v/>
      </c>
      <c r="D102" t="str">
        <f ca="1">IFERROR(VLOOKUP($A102,bat!$F:$G,2,FALSE),"")</f>
        <v/>
      </c>
      <c r="E102" t="str">
        <f ca="1">IFERROR(VLOOKUP($A102,shell!$F:$G,2,FALSE),"")</f>
        <v>make(デフォルトターゲット指定)</v>
      </c>
      <c r="F102" t="str">
        <f t="shared" ca="1" si="12"/>
        <v>エラーラベルmake(デフォルトターゲット指定)</v>
      </c>
      <c r="G102">
        <f ca="1">IF($F102="","",COUNTIF($F$3:$F102,$F102))</f>
        <v>1</v>
      </c>
      <c r="H102">
        <f ca="1">IF(OR(G102&gt;1,G102=""),"",COUNTIF($G$3:$G102,1))</f>
        <v>99</v>
      </c>
      <c r="I102" t="str">
        <f t="shared" ca="1" si="13"/>
        <v>エラーラベルmake(デフォルトターゲット指定)</v>
      </c>
      <c r="K102">
        <f t="shared" si="17"/>
        <v>99</v>
      </c>
      <c r="L102" t="str">
        <f t="shared" ca="1" si="9"/>
        <v>エラーラベルmake(デフォルトターゲット指定)</v>
      </c>
      <c r="M102" s="2" t="str">
        <f t="shared" ca="1" si="10"/>
        <v/>
      </c>
      <c r="N102" s="2" t="str">
        <f t="shared" ca="1" si="11"/>
        <v/>
      </c>
      <c r="O102" s="2" t="str">
        <f t="shared" ca="1" si="14"/>
        <v/>
      </c>
      <c r="P102" s="2" t="str">
        <f t="shared" ca="1" si="15"/>
        <v/>
      </c>
    </row>
    <row r="103" spans="1:16">
      <c r="A103">
        <f t="shared" si="16"/>
        <v>100</v>
      </c>
      <c r="B103" t="str">
        <f ca="1">IFERROR(VLOOKUP($A103,'vbs,vba'!$G:$H,2,FALSE),"")</f>
        <v>ラベル定義</v>
      </c>
      <c r="C103" t="str">
        <f ca="1">IFERROR(VLOOKUP($A103,python!$I:$J,2,FALSE),"")</f>
        <v/>
      </c>
      <c r="D103" t="str">
        <f ca="1">IFERROR(VLOOKUP($A103,bat!$F:$G,2,FALSE),"")</f>
        <v/>
      </c>
      <c r="E103" t="str">
        <f ca="1">IFERROR(VLOOKUP($A103,shell!$F:$G,2,FALSE),"")</f>
        <v>make(ターゲット指定)</v>
      </c>
      <c r="F103" t="str">
        <f t="shared" ca="1" si="12"/>
        <v>ラベル定義make(ターゲット指定)</v>
      </c>
      <c r="G103">
        <f ca="1">IF($F103="","",COUNTIF($F$3:$F103,$F103))</f>
        <v>1</v>
      </c>
      <c r="H103">
        <f ca="1">IF(OR(G103&gt;1,G103=""),"",COUNTIF($G$3:$G103,1))</f>
        <v>100</v>
      </c>
      <c r="I103" t="str">
        <f t="shared" ca="1" si="13"/>
        <v>ラベル定義make(ターゲット指定)</v>
      </c>
      <c r="K103">
        <f t="shared" si="17"/>
        <v>100</v>
      </c>
      <c r="L103" t="str">
        <f t="shared" ca="1" si="9"/>
        <v>ラベル定義make(ターゲット指定)</v>
      </c>
      <c r="M103" s="2" t="str">
        <f t="shared" ca="1" si="10"/>
        <v/>
      </c>
      <c r="N103" s="2" t="str">
        <f t="shared" ca="1" si="11"/>
        <v/>
      </c>
      <c r="O103" s="2" t="str">
        <f t="shared" ca="1" si="14"/>
        <v/>
      </c>
      <c r="P103" s="2" t="str">
        <f t="shared" ca="1" si="15"/>
        <v/>
      </c>
    </row>
    <row r="104" spans="1:16">
      <c r="A104">
        <f t="shared" si="16"/>
        <v>101</v>
      </c>
      <c r="B104" t="str">
        <f ca="1">IFERROR(VLOOKUP($A104,'vbs,vba'!$G:$H,2,FALSE),"")</f>
        <v>ＴＸＴ(簡略版) オープン</v>
      </c>
      <c r="C104" t="str">
        <f ca="1">IFERROR(VLOOKUP($A104,python!$I:$J,2,FALSE),"")</f>
        <v/>
      </c>
      <c r="D104" t="str">
        <f ca="1">IFERROR(VLOOKUP($A104,bat!$F:$G,2,FALSE),"")</f>
        <v/>
      </c>
      <c r="E104" t="str">
        <f ca="1">IFERROR(VLOOKUP($A104,shell!$F:$G,2,FALSE),"")</f>
        <v>make(メイクファイル指定)</v>
      </c>
      <c r="F104" t="str">
        <f t="shared" ca="1" si="12"/>
        <v>ＴＸＴ(簡略版) オープンmake(メイクファイル指定)</v>
      </c>
      <c r="G104">
        <f ca="1">IF($F104="","",COUNTIF($F$3:$F104,$F104))</f>
        <v>1</v>
      </c>
      <c r="H104">
        <f ca="1">IF(OR(G104&gt;1,G104=""),"",COUNTIF($G$3:$G104,1))</f>
        <v>101</v>
      </c>
      <c r="I104" t="str">
        <f t="shared" ca="1" si="13"/>
        <v>ＴＸＴ(簡略版) オープンmake(メイクファイル指定)</v>
      </c>
      <c r="K104">
        <f t="shared" si="17"/>
        <v>101</v>
      </c>
      <c r="L104" t="str">
        <f t="shared" ca="1" si="9"/>
        <v>ＴＸＴ(簡略版) オープンmake(メイクファイル指定)</v>
      </c>
      <c r="M104" s="2" t="str">
        <f t="shared" ca="1" si="10"/>
        <v/>
      </c>
      <c r="N104" s="2" t="str">
        <f t="shared" ca="1" si="11"/>
        <v/>
      </c>
      <c r="O104" s="2" t="str">
        <f t="shared" ca="1" si="14"/>
        <v/>
      </c>
      <c r="P104" s="2" t="str">
        <f t="shared" ca="1" si="15"/>
        <v/>
      </c>
    </row>
    <row r="105" spans="1:16">
      <c r="A105">
        <f t="shared" si="16"/>
        <v>102</v>
      </c>
      <c r="B105" t="str">
        <f ca="1">IFERROR(VLOOKUP($A105,'vbs,vba'!$G:$H,2,FALSE),"")</f>
        <v>ＴＸＴ(簡略版) 読込（一行ずつ）</v>
      </c>
      <c r="C105" t="str">
        <f ca="1">IFERROR(VLOOKUP($A105,python!$I:$J,2,FALSE),"")</f>
        <v/>
      </c>
      <c r="D105" t="str">
        <f ca="1">IFERROR(VLOOKUP($A105,bat!$F:$G,2,FALSE),"")</f>
        <v/>
      </c>
      <c r="E105" t="str">
        <f ca="1">IFERROR(VLOOKUP($A105,shell!$F:$G,2,FALSE),"")</f>
        <v>make(標準入力指定)</v>
      </c>
      <c r="F105" t="str">
        <f t="shared" ca="1" si="12"/>
        <v>ＴＸＴ(簡略版) 読込（一行ずつ）make(標準入力指定)</v>
      </c>
      <c r="G105">
        <f ca="1">IF($F105="","",COUNTIF($F$3:$F105,$F105))</f>
        <v>1</v>
      </c>
      <c r="H105">
        <f ca="1">IF(OR(G105&gt;1,G105=""),"",COUNTIF($G$3:$G105,1))</f>
        <v>102</v>
      </c>
      <c r="I105" t="str">
        <f t="shared" ca="1" si="13"/>
        <v>ＴＸＴ(簡略版) 読込（一行ずつ）make(標準入力指定)</v>
      </c>
      <c r="K105">
        <f t="shared" si="17"/>
        <v>102</v>
      </c>
      <c r="L105" t="str">
        <f t="shared" ca="1" si="9"/>
        <v>ＴＸＴ(簡略版) 読込（一行ずつ）make(標準入力指定)</v>
      </c>
      <c r="M105" s="2" t="str">
        <f t="shared" ca="1" si="10"/>
        <v/>
      </c>
      <c r="N105" s="2" t="str">
        <f t="shared" ca="1" si="11"/>
        <v/>
      </c>
      <c r="O105" s="2" t="str">
        <f t="shared" ca="1" si="14"/>
        <v/>
      </c>
      <c r="P105" s="2" t="str">
        <f t="shared" ca="1" si="15"/>
        <v/>
      </c>
    </row>
    <row r="106" spans="1:16">
      <c r="A106">
        <f t="shared" si="16"/>
        <v>103</v>
      </c>
      <c r="B106" t="str">
        <f ca="1">IFERROR(VLOOKUP($A106,'vbs,vba'!$G:$H,2,FALSE),"")</f>
        <v>ＴＸＴ(簡略版) 読込（一括）</v>
      </c>
      <c r="C106" t="str">
        <f ca="1">IFERROR(VLOOKUP($A106,python!$I:$J,2,FALSE),"")</f>
        <v/>
      </c>
      <c r="D106" t="str">
        <f ca="1">IFERROR(VLOOKUP($A106,bat!$F:$G,2,FALSE),"")</f>
        <v/>
      </c>
      <c r="E106" t="str">
        <f ca="1">IFERROR(VLOOKUP($A106,shell!$F:$G,2,FALSE),"")</f>
        <v>make(エラー無視)</v>
      </c>
      <c r="F106" t="str">
        <f t="shared" ca="1" si="12"/>
        <v>ＴＸＴ(簡略版) 読込（一括）make(エラー無視)</v>
      </c>
      <c r="G106">
        <f ca="1">IF($F106="","",COUNTIF($F$3:$F106,$F106))</f>
        <v>1</v>
      </c>
      <c r="H106">
        <f ca="1">IF(OR(G106&gt;1,G106=""),"",COUNTIF($G$3:$G106,1))</f>
        <v>103</v>
      </c>
      <c r="I106" t="str">
        <f t="shared" ca="1" si="13"/>
        <v>ＴＸＴ(簡略版) 読込（一括）make(エラー無視)</v>
      </c>
      <c r="K106">
        <f t="shared" si="17"/>
        <v>103</v>
      </c>
      <c r="L106" t="str">
        <f t="shared" ca="1" si="9"/>
        <v>ＴＸＴ(簡略版) 読込（一括）make(エラー無視)</v>
      </c>
      <c r="M106" s="2" t="str">
        <f t="shared" ca="1" si="10"/>
        <v/>
      </c>
      <c r="N106" s="2" t="str">
        <f t="shared" ca="1" si="11"/>
        <v/>
      </c>
      <c r="O106" s="2" t="str">
        <f t="shared" ca="1" si="14"/>
        <v/>
      </c>
      <c r="P106" s="2" t="str">
        <f t="shared" ca="1" si="15"/>
        <v/>
      </c>
    </row>
    <row r="107" spans="1:16">
      <c r="A107">
        <f t="shared" si="16"/>
        <v>104</v>
      </c>
      <c r="B107" t="str">
        <f ca="1">IFERROR(VLOOKUP($A107,'vbs,vba'!$G:$H,2,FALSE),"")</f>
        <v>ＴＸＴ(簡略版) 書込</v>
      </c>
      <c r="C107" t="str">
        <f ca="1">IFERROR(VLOOKUP($A107,python!$I:$J,2,FALSE),"")</f>
        <v/>
      </c>
      <c r="D107" t="str">
        <f ca="1">IFERROR(VLOOKUP($A107,bat!$F:$G,2,FALSE),"")</f>
        <v/>
      </c>
      <c r="E107" t="str">
        <f ca="1">IFERROR(VLOOKUP($A107,shell!$F:$G,2,FALSE),"")</f>
        <v>make(コマンド出力のみ)</v>
      </c>
      <c r="F107" t="str">
        <f t="shared" ca="1" si="12"/>
        <v>ＴＸＴ(簡略版) 書込make(コマンド出力のみ)</v>
      </c>
      <c r="G107">
        <f ca="1">IF($F107="","",COUNTIF($F$3:$F107,$F107))</f>
        <v>1</v>
      </c>
      <c r="H107">
        <f ca="1">IF(OR(G107&gt;1,G107=""),"",COUNTIF($G$3:$G107,1))</f>
        <v>104</v>
      </c>
      <c r="I107" t="str">
        <f t="shared" ca="1" si="13"/>
        <v>ＴＸＴ(簡略版) 書込make(コマンド出力のみ)</v>
      </c>
      <c r="K107">
        <f t="shared" si="17"/>
        <v>104</v>
      </c>
      <c r="L107" t="str">
        <f t="shared" ca="1" si="9"/>
        <v>ＴＸＴ(簡略版) 書込make(コマンド出力のみ)</v>
      </c>
      <c r="M107" s="2" t="str">
        <f t="shared" ca="1" si="10"/>
        <v/>
      </c>
      <c r="N107" s="2" t="str">
        <f t="shared" ca="1" si="11"/>
        <v/>
      </c>
      <c r="O107" s="2" t="str">
        <f t="shared" ca="1" si="14"/>
        <v/>
      </c>
      <c r="P107" s="2" t="str">
        <f t="shared" ca="1" si="15"/>
        <v/>
      </c>
    </row>
    <row r="108" spans="1:16">
      <c r="A108">
        <f t="shared" si="16"/>
        <v>105</v>
      </c>
      <c r="B108" t="str">
        <f ca="1">IFERROR(VLOOKUP($A108,'vbs,vba'!$G:$H,2,FALSE),"")</f>
        <v>ＴＸＴ(簡略版) クローズ</v>
      </c>
      <c r="C108" t="str">
        <f ca="1">IFERROR(VLOOKUP($A108,python!$I:$J,2,FALSE),"")</f>
        <v/>
      </c>
      <c r="D108" t="str">
        <f ca="1">IFERROR(VLOOKUP($A108,bat!$F:$G,2,FALSE),"")</f>
        <v/>
      </c>
      <c r="E108" t="str">
        <f ca="1">IFERROR(VLOOKUP($A108,shell!$F:$G,2,FALSE),"")</f>
        <v>シンボル情報表示</v>
      </c>
      <c r="F108" t="str">
        <f t="shared" ca="1" si="12"/>
        <v>ＴＸＴ(簡略版) クローズシンボル情報表示</v>
      </c>
      <c r="G108">
        <f ca="1">IF($F108="","",COUNTIF($F$3:$F108,$F108))</f>
        <v>1</v>
      </c>
      <c r="H108">
        <f ca="1">IF(OR(G108&gt;1,G108=""),"",COUNTIF($G$3:$G108,1))</f>
        <v>105</v>
      </c>
      <c r="I108" t="str">
        <f t="shared" ca="1" si="13"/>
        <v>ＴＸＴ(簡略版) クローズシンボル情報表示</v>
      </c>
      <c r="K108">
        <f t="shared" si="17"/>
        <v>105</v>
      </c>
      <c r="L108" t="str">
        <f t="shared" ca="1" si="9"/>
        <v>ＴＸＴ(簡略版) クローズシンボル情報表示</v>
      </c>
      <c r="M108" s="2" t="str">
        <f t="shared" ca="1" si="10"/>
        <v/>
      </c>
      <c r="N108" s="2" t="str">
        <f t="shared" ca="1" si="11"/>
        <v/>
      </c>
      <c r="O108" s="2" t="str">
        <f t="shared" ca="1" si="14"/>
        <v/>
      </c>
      <c r="P108" s="2" t="str">
        <f t="shared" ca="1" si="15"/>
        <v/>
      </c>
    </row>
    <row r="109" spans="1:16">
      <c r="A109">
        <f t="shared" si="16"/>
        <v>106</v>
      </c>
      <c r="B109" t="str">
        <f ca="1">IFERROR(VLOOKUP($A109,'vbs,vba'!$G:$H,2,FALSE),"")</f>
        <v>ＴＸＴ(詳細版) 定義</v>
      </c>
      <c r="C109" t="str">
        <f ca="1">IFERROR(VLOOKUP($A109,python!$I:$J,2,FALSE),"")</f>
        <v/>
      </c>
      <c r="D109" t="str">
        <f ca="1">IFERROR(VLOOKUP($A109,bat!$F:$G,2,FALSE),"")</f>
        <v/>
      </c>
      <c r="E109" t="str">
        <f ca="1">IFERROR(VLOOKUP($A109,shell!$F:$G,2,FALSE),"")</f>
        <v>アーカイブファイル作成</v>
      </c>
      <c r="F109" t="str">
        <f t="shared" ca="1" si="12"/>
        <v>ＴＸＴ(詳細版) 定義アーカイブファイル作成</v>
      </c>
      <c r="G109">
        <f ca="1">IF($F109="","",COUNTIF($F$3:$F109,$F109))</f>
        <v>1</v>
      </c>
      <c r="H109">
        <f ca="1">IF(OR(G109&gt;1,G109=""),"",COUNTIF($G$3:$G109,1))</f>
        <v>106</v>
      </c>
      <c r="I109" t="str">
        <f t="shared" ca="1" si="13"/>
        <v>ＴＸＴ(詳細版) 定義アーカイブファイル作成</v>
      </c>
      <c r="K109">
        <f t="shared" si="17"/>
        <v>106</v>
      </c>
      <c r="L109" t="str">
        <f t="shared" ca="1" si="9"/>
        <v>ＴＸＴ(詳細版) 定義アーカイブファイル作成</v>
      </c>
      <c r="M109" s="2" t="str">
        <f t="shared" ca="1" si="10"/>
        <v/>
      </c>
      <c r="N109" s="2" t="str">
        <f t="shared" ca="1" si="11"/>
        <v/>
      </c>
      <c r="O109" s="2" t="str">
        <f t="shared" ca="1" si="14"/>
        <v/>
      </c>
      <c r="P109" s="2" t="str">
        <f t="shared" ca="1" si="15"/>
        <v/>
      </c>
    </row>
    <row r="110" spans="1:16">
      <c r="A110">
        <f t="shared" si="16"/>
        <v>107</v>
      </c>
      <c r="B110" t="str">
        <f ca="1">IFERROR(VLOOKUP($A110,'vbs,vba'!$G:$H,2,FALSE),"")</f>
        <v>ＴＸＴ(詳細版) ファイル種別指定</v>
      </c>
      <c r="C110" t="str">
        <f ca="1">IFERROR(VLOOKUP($A110,python!$I:$J,2,FALSE),"")</f>
        <v/>
      </c>
      <c r="D110" t="str">
        <f ca="1">IFERROR(VLOOKUP($A110,bat!$F:$G,2,FALSE),"")</f>
        <v/>
      </c>
      <c r="E110" t="str">
        <f ca="1">IFERROR(VLOOKUP($A110,shell!$F:$G,2,FALSE),"")</f>
        <v>書庫インデックス作成</v>
      </c>
      <c r="F110" t="str">
        <f t="shared" ca="1" si="12"/>
        <v>ＴＸＴ(詳細版) ファイル種別指定書庫インデックス作成</v>
      </c>
      <c r="G110">
        <f ca="1">IF($F110="","",COUNTIF($F$3:$F110,$F110))</f>
        <v>1</v>
      </c>
      <c r="H110">
        <f ca="1">IF(OR(G110&gt;1,G110=""),"",COUNTIF($G$3:$G110,1))</f>
        <v>107</v>
      </c>
      <c r="I110" t="str">
        <f t="shared" ca="1" si="13"/>
        <v>ＴＸＴ(詳細版) ファイル種別指定書庫インデックス作成</v>
      </c>
      <c r="K110">
        <f t="shared" si="17"/>
        <v>107</v>
      </c>
      <c r="L110" t="str">
        <f t="shared" ca="1" si="9"/>
        <v>ＴＸＴ(詳細版) ファイル種別指定書庫インデックス作成</v>
      </c>
      <c r="M110" s="2" t="str">
        <f t="shared" ca="1" si="10"/>
        <v/>
      </c>
      <c r="N110" s="2" t="str">
        <f t="shared" ca="1" si="11"/>
        <v/>
      </c>
      <c r="O110" s="2" t="str">
        <f t="shared" ca="1" si="14"/>
        <v/>
      </c>
      <c r="P110" s="2" t="str">
        <f t="shared" ca="1" si="15"/>
        <v/>
      </c>
    </row>
    <row r="111" spans="1:16">
      <c r="A111">
        <f t="shared" si="16"/>
        <v>108</v>
      </c>
      <c r="B111" t="str">
        <f ca="1">IFERROR(VLOOKUP($A111,'vbs,vba'!$G:$H,2,FALSE),"")</f>
        <v>ＴＸＴ(詳細版) 文字コード指定</v>
      </c>
      <c r="C111" t="str">
        <f ca="1">IFERROR(VLOOKUP($A111,python!$I:$J,2,FALSE),"")</f>
        <v/>
      </c>
      <c r="D111" t="str">
        <f ca="1">IFERROR(VLOOKUP($A111,bat!$F:$G,2,FALSE),"")</f>
        <v/>
      </c>
      <c r="E111" t="str">
        <f ca="1">IFERROR(VLOOKUP($A111,shell!$F:$G,2,FALSE),"")</f>
        <v>ctags</v>
      </c>
      <c r="F111" t="str">
        <f t="shared" ca="1" si="12"/>
        <v>ＴＸＴ(詳細版) 文字コード指定ctags</v>
      </c>
      <c r="G111">
        <f ca="1">IF($F111="","",COUNTIF($F$3:$F111,$F111))</f>
        <v>1</v>
      </c>
      <c r="H111">
        <f ca="1">IF(OR(G111&gt;1,G111=""),"",COUNTIF($G$3:$G111,1))</f>
        <v>108</v>
      </c>
      <c r="I111" t="str">
        <f t="shared" ca="1" si="13"/>
        <v>ＴＸＴ(詳細版) 文字コード指定ctags</v>
      </c>
      <c r="K111">
        <f t="shared" si="17"/>
        <v>108</v>
      </c>
      <c r="L111" t="str">
        <f t="shared" ca="1" si="9"/>
        <v>ＴＸＴ(詳細版) 文字コード指定ctags</v>
      </c>
      <c r="M111" s="2" t="str">
        <f t="shared" ca="1" si="10"/>
        <v/>
      </c>
      <c r="N111" s="2" t="str">
        <f t="shared" ca="1" si="11"/>
        <v/>
      </c>
      <c r="O111" s="2" t="str">
        <f t="shared" ca="1" si="14"/>
        <v/>
      </c>
      <c r="P111" s="2" t="str">
        <f t="shared" ca="1" si="15"/>
        <v/>
      </c>
    </row>
    <row r="112" spans="1:16">
      <c r="A112">
        <f t="shared" si="16"/>
        <v>109</v>
      </c>
      <c r="B112" t="str">
        <f ca="1">IFERROR(VLOOKUP($A112,'vbs,vba'!$G:$H,2,FALSE),"")</f>
        <v>ＴＸＴ(詳細版) 改行コード指定</v>
      </c>
      <c r="C112" t="str">
        <f ca="1">IFERROR(VLOOKUP($A112,python!$I:$J,2,FALSE),"")</f>
        <v/>
      </c>
      <c r="D112" t="str">
        <f ca="1">IFERROR(VLOOKUP($A112,bat!$F:$G,2,FALSE),"")</f>
        <v/>
      </c>
      <c r="E112" t="str">
        <f ca="1">IFERROR(VLOOKUP($A112,shell!$F:$G,2,FALSE),"")</f>
        <v>gtags</v>
      </c>
      <c r="F112" t="str">
        <f t="shared" ca="1" si="12"/>
        <v>ＴＸＴ(詳細版) 改行コード指定gtags</v>
      </c>
      <c r="G112">
        <f ca="1">IF($F112="","",COUNTIF($F$3:$F112,$F112))</f>
        <v>1</v>
      </c>
      <c r="H112">
        <f ca="1">IF(OR(G112&gt;1,G112=""),"",COUNTIF($G$3:$G112,1))</f>
        <v>109</v>
      </c>
      <c r="I112" t="str">
        <f t="shared" ca="1" si="13"/>
        <v>ＴＸＴ(詳細版) 改行コード指定gtags</v>
      </c>
      <c r="K112">
        <f t="shared" si="17"/>
        <v>109</v>
      </c>
      <c r="L112" t="str">
        <f t="shared" ca="1" si="9"/>
        <v>ＴＸＴ(詳細版) 改行コード指定gtags</v>
      </c>
      <c r="M112" s="2" t="str">
        <f t="shared" ca="1" si="10"/>
        <v/>
      </c>
      <c r="N112" s="2" t="str">
        <f t="shared" ca="1" si="11"/>
        <v/>
      </c>
      <c r="O112" s="2" t="str">
        <f t="shared" ca="1" si="14"/>
        <v/>
      </c>
      <c r="P112" s="2" t="str">
        <f t="shared" ca="1" si="15"/>
        <v/>
      </c>
    </row>
    <row r="113" spans="1:16">
      <c r="A113">
        <f t="shared" si="16"/>
        <v>110</v>
      </c>
      <c r="B113" t="str">
        <f ca="1">IFERROR(VLOOKUP($A113,'vbs,vba'!$G:$H,2,FALSE),"")</f>
        <v>ＴＸＴ(詳細版) オープン(読込時用)</v>
      </c>
      <c r="C113" t="str">
        <f ca="1">IFERROR(VLOOKUP($A113,python!$I:$J,2,FALSE),"")</f>
        <v/>
      </c>
      <c r="D113" t="str">
        <f ca="1">IFERROR(VLOOKUP($A113,bat!$F:$G,2,FALSE),"")</f>
        <v/>
      </c>
      <c r="E113" t="str">
        <f ca="1">IFERROR(VLOOKUP($A113,shell!$F:$G,2,FALSE),"")</f>
        <v>引数パーサー</v>
      </c>
      <c r="F113" t="str">
        <f t="shared" ca="1" si="12"/>
        <v>ＴＸＴ(詳細版) オープン(読込時用)引数パーサー</v>
      </c>
      <c r="G113">
        <f ca="1">IF($F113="","",COUNTIF($F$3:$F113,$F113))</f>
        <v>1</v>
      </c>
      <c r="H113">
        <f ca="1">IF(OR(G113&gt;1,G113=""),"",COUNTIF($G$3:$G113,1))</f>
        <v>110</v>
      </c>
      <c r="I113" t="str">
        <f t="shared" ca="1" si="13"/>
        <v>ＴＸＴ(詳細版) オープン(読込時用)引数パーサー</v>
      </c>
      <c r="K113">
        <f t="shared" si="17"/>
        <v>110</v>
      </c>
      <c r="L113" t="str">
        <f t="shared" ca="1" si="9"/>
        <v>ＴＸＴ(詳細版) オープン(読込時用)引数パーサー</v>
      </c>
      <c r="M113" s="2" t="str">
        <f t="shared" ca="1" si="10"/>
        <v/>
      </c>
      <c r="N113" s="2" t="str">
        <f t="shared" ca="1" si="11"/>
        <v/>
      </c>
      <c r="O113" s="2" t="str">
        <f t="shared" ca="1" si="14"/>
        <v/>
      </c>
      <c r="P113" s="2" t="str">
        <f t="shared" ca="1" si="15"/>
        <v/>
      </c>
    </row>
    <row r="114" spans="1:16">
      <c r="A114">
        <f t="shared" si="16"/>
        <v>111</v>
      </c>
      <c r="B114" t="str">
        <f ca="1">IFERROR(VLOOKUP($A114,'vbs,vba'!$G:$H,2,FALSE),"")</f>
        <v>ＴＸＴ(詳細版) 読込（一行ずつ）</v>
      </c>
      <c r="C114" t="str">
        <f ca="1">IFERROR(VLOOKUP($A114,python!$I:$J,2,FALSE),"")</f>
        <v/>
      </c>
      <c r="D114" t="str">
        <f ca="1">IFERROR(VLOOKUP($A114,bat!$F:$G,2,FALSE),"")</f>
        <v/>
      </c>
      <c r="E114" t="str">
        <f ca="1">IFERROR(VLOOKUP($A114,shell!$F:$G,2,FALSE),"")</f>
        <v/>
      </c>
      <c r="F114" t="str">
        <f t="shared" ca="1" si="12"/>
        <v>ＴＸＴ(詳細版) 読込（一行ずつ）</v>
      </c>
      <c r="G114">
        <f ca="1">IF($F114="","",COUNTIF($F$3:$F114,$F114))</f>
        <v>1</v>
      </c>
      <c r="H114">
        <f ca="1">IF(OR(G114&gt;1,G114=""),"",COUNTIF($G$3:$G114,1))</f>
        <v>111</v>
      </c>
      <c r="I114" t="str">
        <f t="shared" ca="1" si="13"/>
        <v>ＴＸＴ(詳細版) 読込（一行ずつ）</v>
      </c>
      <c r="K114">
        <f t="shared" si="17"/>
        <v>111</v>
      </c>
      <c r="L114" t="str">
        <f t="shared" ca="1" si="9"/>
        <v>ＴＸＴ(詳細版) 読込（一行ずつ）</v>
      </c>
      <c r="M114" s="2" t="str">
        <f t="shared" ca="1" si="10"/>
        <v>○</v>
      </c>
      <c r="N114" s="2" t="str">
        <f t="shared" ca="1" si="11"/>
        <v/>
      </c>
      <c r="O114" s="2" t="str">
        <f t="shared" ca="1" si="14"/>
        <v/>
      </c>
      <c r="P114" s="2" t="str">
        <f t="shared" ca="1" si="15"/>
        <v/>
      </c>
    </row>
    <row r="115" spans="1:16">
      <c r="A115">
        <f t="shared" si="16"/>
        <v>112</v>
      </c>
      <c r="B115" t="str">
        <f ca="1">IFERROR(VLOOKUP($A115,'vbs,vba'!$G:$H,2,FALSE),"")</f>
        <v>ＴＸＴ(詳細版) 読込（一括）</v>
      </c>
      <c r="C115" t="str">
        <f ca="1">IFERROR(VLOOKUP($A115,python!$I:$J,2,FALSE),"")</f>
        <v/>
      </c>
      <c r="D115" t="str">
        <f ca="1">IFERROR(VLOOKUP($A115,bat!$F:$G,2,FALSE),"")</f>
        <v/>
      </c>
      <c r="E115" t="str">
        <f ca="1">IFERROR(VLOOKUP($A115,shell!$F:$G,2,FALSE),"")</f>
        <v/>
      </c>
      <c r="F115" t="str">
        <f t="shared" ca="1" si="12"/>
        <v>ＴＸＴ(詳細版) 読込（一括）</v>
      </c>
      <c r="G115">
        <f ca="1">IF($F115="","",COUNTIF($F$3:$F115,$F115))</f>
        <v>1</v>
      </c>
      <c r="H115">
        <f ca="1">IF(OR(G115&gt;1,G115=""),"",COUNTIF($G$3:$G115,1))</f>
        <v>112</v>
      </c>
      <c r="I115" t="str">
        <f t="shared" ca="1" si="13"/>
        <v>ＴＸＴ(詳細版) 読込（一括）</v>
      </c>
      <c r="K115">
        <f t="shared" si="17"/>
        <v>112</v>
      </c>
      <c r="L115" t="str">
        <f t="shared" ca="1" si="9"/>
        <v>ＴＸＴ(詳細版) 読込（一括）</v>
      </c>
      <c r="M115" s="2" t="str">
        <f t="shared" ca="1" si="10"/>
        <v>○</v>
      </c>
      <c r="N115" s="2" t="str">
        <f t="shared" ca="1" si="11"/>
        <v/>
      </c>
      <c r="O115" s="2" t="str">
        <f t="shared" ca="1" si="14"/>
        <v/>
      </c>
      <c r="P115" s="2" t="str">
        <f t="shared" ca="1" si="15"/>
        <v/>
      </c>
    </row>
    <row r="116" spans="1:16">
      <c r="A116">
        <f t="shared" si="16"/>
        <v>113</v>
      </c>
      <c r="B116" t="str">
        <f ca="1">IFERROR(VLOOKUP($A116,'vbs,vba'!$G:$H,2,FALSE),"")</f>
        <v>ＴＸＴ(詳細版) オープン(書込時用)</v>
      </c>
      <c r="C116" t="str">
        <f ca="1">IFERROR(VLOOKUP($A116,python!$I:$J,2,FALSE),"")</f>
        <v/>
      </c>
      <c r="D116" t="str">
        <f ca="1">IFERROR(VLOOKUP($A116,bat!$F:$G,2,FALSE),"")</f>
        <v/>
      </c>
      <c r="E116" t="str">
        <f ca="1">IFERROR(VLOOKUP($A116,shell!$F:$G,2,FALSE),"")</f>
        <v/>
      </c>
      <c r="F116" t="str">
        <f t="shared" ca="1" si="12"/>
        <v>ＴＸＴ(詳細版) オープン(書込時用)</v>
      </c>
      <c r="G116">
        <f ca="1">IF($F116="","",COUNTIF($F$3:$F116,$F116))</f>
        <v>1</v>
      </c>
      <c r="H116">
        <f ca="1">IF(OR(G116&gt;1,G116=""),"",COUNTIF($G$3:$G116,1))</f>
        <v>113</v>
      </c>
      <c r="I116" t="str">
        <f t="shared" ca="1" si="13"/>
        <v>ＴＸＴ(詳細版) オープン(書込時用)</v>
      </c>
      <c r="K116">
        <f t="shared" si="17"/>
        <v>113</v>
      </c>
      <c r="L116" t="str">
        <f t="shared" ca="1" si="9"/>
        <v>ＴＸＴ(詳細版) オープン(書込時用)</v>
      </c>
      <c r="M116" s="2" t="str">
        <f t="shared" ca="1" si="10"/>
        <v>○</v>
      </c>
      <c r="N116" s="2" t="str">
        <f t="shared" ca="1" si="11"/>
        <v/>
      </c>
      <c r="O116" s="2" t="str">
        <f t="shared" ca="1" si="14"/>
        <v/>
      </c>
      <c r="P116" s="2" t="str">
        <f t="shared" ca="1" si="15"/>
        <v/>
      </c>
    </row>
    <row r="117" spans="1:16">
      <c r="A117">
        <f t="shared" si="16"/>
        <v>114</v>
      </c>
      <c r="B117" t="str">
        <f ca="1">IFERROR(VLOOKUP($A117,'vbs,vba'!$G:$H,2,FALSE),"")</f>
        <v>ＴＸＴ(詳細版) 書込</v>
      </c>
      <c r="C117" t="str">
        <f ca="1">IFERROR(VLOOKUP($A117,python!$I:$J,2,FALSE),"")</f>
        <v/>
      </c>
      <c r="D117" t="str">
        <f ca="1">IFERROR(VLOOKUP($A117,bat!$F:$G,2,FALSE),"")</f>
        <v/>
      </c>
      <c r="E117" t="str">
        <f ca="1">IFERROR(VLOOKUP($A117,shell!$F:$G,2,FALSE),"")</f>
        <v/>
      </c>
      <c r="F117" t="str">
        <f t="shared" ca="1" si="12"/>
        <v>ＴＸＴ(詳細版) 書込</v>
      </c>
      <c r="G117">
        <f ca="1">IF($F117="","",COUNTIF($F$3:$F117,$F117))</f>
        <v>1</v>
      </c>
      <c r="H117">
        <f ca="1">IF(OR(G117&gt;1,G117=""),"",COUNTIF($G$3:$G117,1))</f>
        <v>114</v>
      </c>
      <c r="I117" t="str">
        <f t="shared" ca="1" si="13"/>
        <v>ＴＸＴ(詳細版) 書込</v>
      </c>
      <c r="K117">
        <f t="shared" si="17"/>
        <v>114</v>
      </c>
      <c r="L117" t="str">
        <f t="shared" ca="1" si="9"/>
        <v>ＴＸＴ(詳細版) 書込</v>
      </c>
      <c r="M117" s="2" t="str">
        <f t="shared" ca="1" si="10"/>
        <v>○</v>
      </c>
      <c r="N117" s="2" t="str">
        <f t="shared" ca="1" si="11"/>
        <v/>
      </c>
      <c r="O117" s="2" t="str">
        <f t="shared" ca="1" si="14"/>
        <v/>
      </c>
      <c r="P117" s="2" t="str">
        <f t="shared" ca="1" si="15"/>
        <v/>
      </c>
    </row>
    <row r="118" spans="1:16">
      <c r="A118">
        <f t="shared" si="16"/>
        <v>115</v>
      </c>
      <c r="B118" t="str">
        <f ca="1">IFERROR(VLOOKUP($A118,'vbs,vba'!$G:$H,2,FALSE),"")</f>
        <v>ＴＸＴ(詳細版) 保存(書込時用)</v>
      </c>
      <c r="C118" t="str">
        <f ca="1">IFERROR(VLOOKUP($A118,python!$I:$J,2,FALSE),"")</f>
        <v/>
      </c>
      <c r="D118" t="str">
        <f ca="1">IFERROR(VLOOKUP($A118,bat!$F:$G,2,FALSE),"")</f>
        <v/>
      </c>
      <c r="E118" t="str">
        <f ca="1">IFERROR(VLOOKUP($A118,shell!$F:$G,2,FALSE),"")</f>
        <v/>
      </c>
      <c r="F118" t="str">
        <f t="shared" ca="1" si="12"/>
        <v>ＴＸＴ(詳細版) 保存(書込時用)</v>
      </c>
      <c r="G118">
        <f ca="1">IF($F118="","",COUNTIF($F$3:$F118,$F118))</f>
        <v>1</v>
      </c>
      <c r="H118">
        <f ca="1">IF(OR(G118&gt;1,G118=""),"",COUNTIF($G$3:$G118,1))</f>
        <v>115</v>
      </c>
      <c r="I118" t="str">
        <f t="shared" ca="1" si="13"/>
        <v>ＴＸＴ(詳細版) 保存(書込時用)</v>
      </c>
      <c r="K118">
        <f t="shared" si="17"/>
        <v>115</v>
      </c>
      <c r="L118" t="str">
        <f t="shared" ca="1" si="9"/>
        <v>ＴＸＴ(詳細版) 保存(書込時用)</v>
      </c>
      <c r="M118" s="2" t="str">
        <f t="shared" ca="1" si="10"/>
        <v>○</v>
      </c>
      <c r="N118" s="2" t="str">
        <f t="shared" ca="1" si="11"/>
        <v/>
      </c>
      <c r="O118" s="2" t="str">
        <f t="shared" ca="1" si="14"/>
        <v/>
      </c>
      <c r="P118" s="2" t="str">
        <f t="shared" ca="1" si="15"/>
        <v/>
      </c>
    </row>
    <row r="119" spans="1:16">
      <c r="A119">
        <f t="shared" si="16"/>
        <v>116</v>
      </c>
      <c r="B119" t="str">
        <f ca="1">IFERROR(VLOOKUP($A119,'vbs,vba'!$G:$H,2,FALSE),"")</f>
        <v>ＴＸＴ(詳細版) クローズ</v>
      </c>
      <c r="C119" t="str">
        <f ca="1">IFERROR(VLOOKUP($A119,python!$I:$J,2,FALSE),"")</f>
        <v/>
      </c>
      <c r="D119" t="str">
        <f ca="1">IFERROR(VLOOKUP($A119,bat!$F:$G,2,FALSE),"")</f>
        <v/>
      </c>
      <c r="E119" t="str">
        <f ca="1">IFERROR(VLOOKUP($A119,shell!$F:$G,2,FALSE),"")</f>
        <v/>
      </c>
      <c r="F119" t="str">
        <f t="shared" ca="1" si="12"/>
        <v>ＴＸＴ(詳細版) クローズ</v>
      </c>
      <c r="G119">
        <f ca="1">IF($F119="","",COUNTIF($F$3:$F119,$F119))</f>
        <v>1</v>
      </c>
      <c r="H119">
        <f ca="1">IF(OR(G119&gt;1,G119=""),"",COUNTIF($G$3:$G119,1))</f>
        <v>116</v>
      </c>
      <c r="I119" t="str">
        <f t="shared" ca="1" si="13"/>
        <v>ＴＸＴ(詳細版) クローズ</v>
      </c>
      <c r="K119">
        <f t="shared" si="17"/>
        <v>116</v>
      </c>
      <c r="L119" t="str">
        <f t="shared" ca="1" si="9"/>
        <v>ＴＸＴ(詳細版) クローズ</v>
      </c>
      <c r="M119" s="2" t="str">
        <f t="shared" ca="1" si="10"/>
        <v>○</v>
      </c>
      <c r="N119" s="2" t="str">
        <f t="shared" ca="1" si="11"/>
        <v/>
      </c>
      <c r="O119" s="2" t="str">
        <f t="shared" ca="1" si="14"/>
        <v/>
      </c>
      <c r="P119" s="2" t="str">
        <f t="shared" ca="1" si="15"/>
        <v/>
      </c>
    </row>
    <row r="120" spans="1:16">
      <c r="A120">
        <f t="shared" si="16"/>
        <v>117</v>
      </c>
      <c r="B120" t="str">
        <f ca="1">IFERROR(VLOOKUP($A120,'vbs,vba'!$G:$H,2,FALSE),"")</f>
        <v>ＴＸＴ(詳細版) 保存＆クローズ（BOMなしUTF-8出力用）</v>
      </c>
      <c r="C120" t="str">
        <f ca="1">IFERROR(VLOOKUP($A120,python!$I:$J,2,FALSE),"")</f>
        <v/>
      </c>
      <c r="D120" t="str">
        <f ca="1">IFERROR(VLOOKUP($A120,bat!$F:$G,2,FALSE),"")</f>
        <v/>
      </c>
      <c r="E120" t="str">
        <f ca="1">IFERROR(VLOOKUP($A120,shell!$F:$G,2,FALSE),"")</f>
        <v/>
      </c>
      <c r="F120" t="str">
        <f t="shared" ca="1" si="12"/>
        <v>ＴＸＴ(詳細版) 保存＆クローズ（BOMなしUTF-8出力用）</v>
      </c>
      <c r="G120">
        <f ca="1">IF($F120="","",COUNTIF($F$3:$F120,$F120))</f>
        <v>1</v>
      </c>
      <c r="H120">
        <f ca="1">IF(OR(G120&gt;1,G120=""),"",COUNTIF($G$3:$G120,1))</f>
        <v>117</v>
      </c>
      <c r="I120" t="str">
        <f t="shared" ca="1" si="13"/>
        <v>ＴＸＴ(詳細版) 保存＆クローズ（BOMなしUTF-8出力用）</v>
      </c>
      <c r="K120">
        <f t="shared" si="17"/>
        <v>117</v>
      </c>
      <c r="L120" t="str">
        <f t="shared" ca="1" si="9"/>
        <v>ＴＸＴ(詳細版) 保存＆クローズ（BOMなしUTF-8出力用）</v>
      </c>
      <c r="M120" s="2" t="str">
        <f t="shared" ca="1" si="10"/>
        <v>○</v>
      </c>
      <c r="N120" s="2" t="str">
        <f t="shared" ca="1" si="11"/>
        <v/>
      </c>
      <c r="O120" s="2" t="str">
        <f t="shared" ca="1" si="14"/>
        <v/>
      </c>
      <c r="P120" s="2" t="str">
        <f t="shared" ca="1" si="15"/>
        <v/>
      </c>
    </row>
    <row r="121" spans="1:16">
      <c r="A121">
        <f t="shared" si="16"/>
        <v>118</v>
      </c>
      <c r="B121" t="str">
        <f ca="1">IFERROR(VLOOKUP($A121,'vbs,vba'!$G:$H,2,FALSE),"")</f>
        <v>ＸＬＳ オープン/クローズ</v>
      </c>
      <c r="C121" t="str">
        <f ca="1">IFERROR(VLOOKUP($A121,python!$I:$J,2,FALSE),"")</f>
        <v/>
      </c>
      <c r="D121" t="str">
        <f ca="1">IFERROR(VLOOKUP($A121,bat!$F:$G,2,FALSE),"")</f>
        <v/>
      </c>
      <c r="E121" t="str">
        <f ca="1">IFERROR(VLOOKUP($A121,shell!$F:$G,2,FALSE),"")</f>
        <v/>
      </c>
      <c r="F121" t="str">
        <f t="shared" ca="1" si="12"/>
        <v>ＸＬＳ オープン/クローズ</v>
      </c>
      <c r="G121">
        <f ca="1">IF($F121="","",COUNTIF($F$3:$F121,$F121))</f>
        <v>1</v>
      </c>
      <c r="H121">
        <f ca="1">IF(OR(G121&gt;1,G121=""),"",COUNTIF($G$3:$G121,1))</f>
        <v>118</v>
      </c>
      <c r="I121" t="str">
        <f t="shared" ca="1" si="13"/>
        <v>ＸＬＳ オープン/クローズ</v>
      </c>
      <c r="K121">
        <f t="shared" si="17"/>
        <v>118</v>
      </c>
      <c r="L121" t="str">
        <f t="shared" ca="1" si="9"/>
        <v>ＸＬＳ オープン/クローズ</v>
      </c>
      <c r="M121" s="2" t="str">
        <f t="shared" ca="1" si="10"/>
        <v>○</v>
      </c>
      <c r="N121" s="2" t="str">
        <f t="shared" ca="1" si="11"/>
        <v>○</v>
      </c>
      <c r="O121" s="2" t="str">
        <f t="shared" ca="1" si="14"/>
        <v/>
      </c>
      <c r="P121" s="2" t="str">
        <f t="shared" ca="1" si="15"/>
        <v/>
      </c>
    </row>
    <row r="122" spans="1:16">
      <c r="A122">
        <f t="shared" si="16"/>
        <v>119</v>
      </c>
      <c r="B122" t="str">
        <f ca="1">IFERROR(VLOOKUP($A122,'vbs,vba'!$G:$H,2,FALSE),"")</f>
        <v>現在時刻取得</v>
      </c>
      <c r="C122" t="str">
        <f ca="1">IFERROR(VLOOKUP($A122,python!$I:$J,2,FALSE),"")</f>
        <v/>
      </c>
      <c r="D122" t="str">
        <f ca="1">IFERROR(VLOOKUP($A122,bat!$F:$G,2,FALSE),"")</f>
        <v/>
      </c>
      <c r="E122" t="str">
        <f ca="1">IFERROR(VLOOKUP($A122,shell!$F:$G,2,FALSE),"")</f>
        <v/>
      </c>
      <c r="F122" t="str">
        <f t="shared" ca="1" si="12"/>
        <v>現在時刻取得</v>
      </c>
      <c r="G122">
        <f ca="1">IF($F122="","",COUNTIF($F$3:$F122,$F122))</f>
        <v>1</v>
      </c>
      <c r="H122">
        <f ca="1">IF(OR(G122&gt;1,G122=""),"",COUNTIF($G$3:$G122,1))</f>
        <v>119</v>
      </c>
      <c r="I122" t="str">
        <f t="shared" ca="1" si="13"/>
        <v>現在時刻取得</v>
      </c>
      <c r="K122">
        <f t="shared" si="17"/>
        <v>119</v>
      </c>
      <c r="L122" t="str">
        <f t="shared" ca="1" si="9"/>
        <v>現在時刻取得</v>
      </c>
      <c r="M122" s="2" t="str">
        <f t="shared" ca="1" si="10"/>
        <v>○</v>
      </c>
      <c r="N122" s="2" t="str">
        <f t="shared" ca="1" si="11"/>
        <v/>
      </c>
      <c r="O122" s="2" t="str">
        <f t="shared" ca="1" si="14"/>
        <v/>
      </c>
      <c r="P122" s="2" t="str">
        <f t="shared" ca="1" si="15"/>
        <v/>
      </c>
    </row>
    <row r="123" spans="1:16">
      <c r="A123">
        <f t="shared" si="16"/>
        <v>120</v>
      </c>
      <c r="B123" t="str">
        <f ca="1">IFERROR(VLOOKUP($A123,'vbs,vba'!$G:$H,2,FALSE),"")</f>
        <v>現在年月日取得</v>
      </c>
      <c r="C123" t="str">
        <f ca="1">IFERROR(VLOOKUP($A123,python!$I:$J,2,FALSE),"")</f>
        <v/>
      </c>
      <c r="D123" t="str">
        <f ca="1">IFERROR(VLOOKUP($A123,bat!$F:$G,2,FALSE),"")</f>
        <v/>
      </c>
      <c r="E123" t="str">
        <f ca="1">IFERROR(VLOOKUP($A123,shell!$F:$G,2,FALSE),"")</f>
        <v/>
      </c>
      <c r="F123" t="str">
        <f t="shared" ca="1" si="12"/>
        <v>現在年月日取得</v>
      </c>
      <c r="G123">
        <f ca="1">IF($F123="","",COUNTIF($F$3:$F123,$F123))</f>
        <v>1</v>
      </c>
      <c r="H123">
        <f ca="1">IF(OR(G123&gt;1,G123=""),"",COUNTIF($G$3:$G123,1))</f>
        <v>120</v>
      </c>
      <c r="I123" t="str">
        <f t="shared" ca="1" si="13"/>
        <v>現在年月日取得</v>
      </c>
      <c r="K123">
        <f t="shared" si="17"/>
        <v>120</v>
      </c>
      <c r="L123" t="str">
        <f t="shared" ca="1" si="9"/>
        <v>現在年月日取得</v>
      </c>
      <c r="M123" s="2" t="str">
        <f t="shared" ca="1" si="10"/>
        <v>○</v>
      </c>
      <c r="N123" s="2" t="str">
        <f t="shared" ca="1" si="11"/>
        <v/>
      </c>
      <c r="O123" s="2" t="str">
        <f t="shared" ca="1" si="14"/>
        <v/>
      </c>
      <c r="P123" s="2" t="str">
        <f t="shared" ca="1" si="15"/>
        <v/>
      </c>
    </row>
    <row r="124" spans="1:16">
      <c r="A124">
        <f t="shared" si="16"/>
        <v>121</v>
      </c>
      <c r="B124" t="str">
        <f ca="1">IFERROR(VLOOKUP($A124,'vbs,vba'!$G:$H,2,FALSE),"")</f>
        <v>0:00から現在までの経過時間（秒数）</v>
      </c>
      <c r="C124" t="str">
        <f ca="1">IFERROR(VLOOKUP($A124,python!$I:$J,2,FALSE),"")</f>
        <v/>
      </c>
      <c r="D124" t="str">
        <f ca="1">IFERROR(VLOOKUP($A124,bat!$F:$G,2,FALSE),"")</f>
        <v/>
      </c>
      <c r="E124" t="str">
        <f ca="1">IFERROR(VLOOKUP($A124,shell!$F:$G,2,FALSE),"")</f>
        <v/>
      </c>
      <c r="F124" t="str">
        <f t="shared" ca="1" si="12"/>
        <v>0:00から現在までの経過時間（秒数）</v>
      </c>
      <c r="G124">
        <f ca="1">IF($F124="","",COUNTIF($F$3:$F124,$F124))</f>
        <v>1</v>
      </c>
      <c r="H124">
        <f ca="1">IF(OR(G124&gt;1,G124=""),"",COUNTIF($G$3:$G124,1))</f>
        <v>121</v>
      </c>
      <c r="I124" t="str">
        <f t="shared" ca="1" si="13"/>
        <v>0:00から現在までの経過時間（秒数）</v>
      </c>
      <c r="K124">
        <f t="shared" si="17"/>
        <v>121</v>
      </c>
      <c r="L124" t="str">
        <f t="shared" ca="1" si="9"/>
        <v>0:00から現在までの経過時間（秒数）</v>
      </c>
      <c r="M124" s="2" t="str">
        <f t="shared" ca="1" si="10"/>
        <v>○</v>
      </c>
      <c r="N124" s="2" t="str">
        <f t="shared" ca="1" si="11"/>
        <v/>
      </c>
      <c r="O124" s="2" t="str">
        <f t="shared" ca="1" si="14"/>
        <v/>
      </c>
      <c r="P124" s="2" t="str">
        <f t="shared" ca="1" si="15"/>
        <v/>
      </c>
    </row>
    <row r="125" spans="1:16">
      <c r="A125">
        <f t="shared" si="16"/>
        <v>122</v>
      </c>
      <c r="B125" t="str">
        <f ca="1">IFERROR(VLOOKUP($A125,'vbs,vba'!$G:$H,2,FALSE),"")</f>
        <v>日付比較</v>
      </c>
      <c r="C125" t="str">
        <f ca="1">IFERROR(VLOOKUP($A125,python!$I:$J,2,FALSE),"")</f>
        <v/>
      </c>
      <c r="D125" t="str">
        <f ca="1">IFERROR(VLOOKUP($A125,bat!$F:$G,2,FALSE),"")</f>
        <v/>
      </c>
      <c r="E125" t="str">
        <f ca="1">IFERROR(VLOOKUP($A125,shell!$F:$G,2,FALSE),"")</f>
        <v/>
      </c>
      <c r="F125" t="str">
        <f t="shared" ca="1" si="12"/>
        <v>日付比較</v>
      </c>
      <c r="G125">
        <f ca="1">IF($F125="","",COUNTIF($F$3:$F125,$F125))</f>
        <v>1</v>
      </c>
      <c r="H125">
        <f ca="1">IF(OR(G125&gt;1,G125=""),"",COUNTIF($G$3:$G125,1))</f>
        <v>122</v>
      </c>
      <c r="I125" t="str">
        <f t="shared" ca="1" si="13"/>
        <v>日付比較</v>
      </c>
      <c r="K125">
        <f t="shared" si="17"/>
        <v>122</v>
      </c>
      <c r="L125" t="str">
        <f t="shared" ca="1" si="9"/>
        <v>日付比較</v>
      </c>
      <c r="M125" s="2" t="str">
        <f t="shared" ca="1" si="10"/>
        <v>○</v>
      </c>
      <c r="N125" s="2" t="str">
        <f t="shared" ca="1" si="11"/>
        <v>○</v>
      </c>
      <c r="O125" s="2" t="str">
        <f t="shared" ca="1" si="14"/>
        <v/>
      </c>
      <c r="P125" s="2" t="str">
        <f t="shared" ca="1" si="15"/>
        <v/>
      </c>
    </row>
    <row r="126" spans="1:16">
      <c r="A126">
        <f t="shared" si="16"/>
        <v>123</v>
      </c>
      <c r="B126" t="str">
        <f ca="1">IFERROR(VLOOKUP($A126,'vbs,vba'!$G:$H,2,FALSE),"")</f>
        <v>Wait処理</v>
      </c>
      <c r="C126" t="str">
        <f ca="1">IFERROR(VLOOKUP($A126,python!$I:$J,2,FALSE),"")</f>
        <v/>
      </c>
      <c r="D126" t="str">
        <f ca="1">IFERROR(VLOOKUP($A126,bat!$F:$G,2,FALSE),"")</f>
        <v/>
      </c>
      <c r="E126" t="str">
        <f ca="1">IFERROR(VLOOKUP($A126,shell!$F:$G,2,FALSE),"")</f>
        <v/>
      </c>
      <c r="F126" t="str">
        <f t="shared" ca="1" si="12"/>
        <v>Wait処理</v>
      </c>
      <c r="G126">
        <f ca="1">IF($F126="","",COUNTIF($F$3:$F126,$F126))</f>
        <v>1</v>
      </c>
      <c r="H126">
        <f ca="1">IF(OR(G126&gt;1,G126=""),"",COUNTIF($G$3:$G126,1))</f>
        <v>123</v>
      </c>
      <c r="I126" t="str">
        <f t="shared" ca="1" si="13"/>
        <v>Wait処理</v>
      </c>
      <c r="K126">
        <f t="shared" si="17"/>
        <v>123</v>
      </c>
      <c r="L126" t="str">
        <f t="shared" ca="1" si="9"/>
        <v>Wait処理</v>
      </c>
      <c r="M126" s="2" t="str">
        <f t="shared" ca="1" si="10"/>
        <v>○</v>
      </c>
      <c r="N126" s="2" t="str">
        <f t="shared" ca="1" si="11"/>
        <v/>
      </c>
      <c r="O126" s="2" t="str">
        <f t="shared" ca="1" si="14"/>
        <v/>
      </c>
      <c r="P126" s="2" t="str">
        <f t="shared" ca="1" si="15"/>
        <v/>
      </c>
    </row>
    <row r="127" spans="1:16">
      <c r="A127">
        <f t="shared" si="16"/>
        <v>124</v>
      </c>
      <c r="B127" t="str">
        <f ca="1">IFERROR(VLOOKUP($A127,'vbs,vba'!$G:$H,2,FALSE),"")</f>
        <v>オブジェクト定義</v>
      </c>
      <c r="C127" t="str">
        <f ca="1">IFERROR(VLOOKUP($A127,python!$I:$J,2,FALSE),"")</f>
        <v/>
      </c>
      <c r="D127" t="str">
        <f ca="1">IFERROR(VLOOKUP($A127,bat!$F:$G,2,FALSE),"")</f>
        <v/>
      </c>
      <c r="E127" t="str">
        <f ca="1">IFERROR(VLOOKUP($A127,shell!$F:$G,2,FALSE),"")</f>
        <v/>
      </c>
      <c r="F127" t="str">
        <f t="shared" ca="1" si="12"/>
        <v>オブジェクト定義</v>
      </c>
      <c r="G127">
        <f ca="1">IF($F127="","",COUNTIF($F$3:$F127,$F127))</f>
        <v>1</v>
      </c>
      <c r="H127">
        <f ca="1">IF(OR(G127&gt;1,G127=""),"",COUNTIF($G$3:$G127,1))</f>
        <v>124</v>
      </c>
      <c r="I127" t="str">
        <f t="shared" ca="1" si="13"/>
        <v>オブジェクト定義</v>
      </c>
      <c r="K127">
        <f t="shared" si="17"/>
        <v>124</v>
      </c>
      <c r="L127" t="str">
        <f t="shared" ca="1" si="9"/>
        <v>オブジェクト定義</v>
      </c>
      <c r="M127" s="2" t="str">
        <f t="shared" ca="1" si="10"/>
        <v>○</v>
      </c>
      <c r="N127" s="2" t="str">
        <f t="shared" ca="1" si="11"/>
        <v>○</v>
      </c>
      <c r="O127" s="2" t="str">
        <f t="shared" ca="1" si="14"/>
        <v/>
      </c>
      <c r="P127" s="2" t="str">
        <f t="shared" ca="1" si="15"/>
        <v/>
      </c>
    </row>
    <row r="128" spans="1:16">
      <c r="A128">
        <f t="shared" si="16"/>
        <v>125</v>
      </c>
      <c r="B128" t="str">
        <f ca="1">IFERROR(VLOOKUP($A128,'vbs,vba'!$G:$H,2,FALSE),"")</f>
        <v>追加</v>
      </c>
      <c r="C128" t="str">
        <f ca="1">IFERROR(VLOOKUP($A128,python!$I:$J,2,FALSE),"")</f>
        <v/>
      </c>
      <c r="D128" t="str">
        <f ca="1">IFERROR(VLOOKUP($A128,bat!$F:$G,2,FALSE),"")</f>
        <v/>
      </c>
      <c r="E128" t="str">
        <f ca="1">IFERROR(VLOOKUP($A128,shell!$F:$G,2,FALSE),"")</f>
        <v/>
      </c>
      <c r="F128" t="str">
        <f t="shared" ca="1" si="12"/>
        <v>追加</v>
      </c>
      <c r="G128">
        <f ca="1">IF($F128="","",COUNTIF($F$3:$F128,$F128))</f>
        <v>1</v>
      </c>
      <c r="H128">
        <f ca="1">IF(OR(G128&gt;1,G128=""),"",COUNTIF($G$3:$G128,1))</f>
        <v>125</v>
      </c>
      <c r="I128" t="str">
        <f t="shared" ca="1" si="13"/>
        <v>追加</v>
      </c>
      <c r="K128">
        <f t="shared" si="17"/>
        <v>125</v>
      </c>
      <c r="L128" t="str">
        <f t="shared" ca="1" si="9"/>
        <v>追加</v>
      </c>
      <c r="M128" s="2" t="str">
        <f t="shared" ca="1" si="10"/>
        <v>○</v>
      </c>
      <c r="N128" s="2" t="str">
        <f t="shared" ca="1" si="11"/>
        <v/>
      </c>
      <c r="O128" s="2" t="str">
        <f t="shared" ca="1" si="14"/>
        <v/>
      </c>
      <c r="P128" s="2" t="str">
        <f t="shared" ca="1" si="15"/>
        <v/>
      </c>
    </row>
    <row r="129" spans="1:16">
      <c r="A129">
        <f t="shared" si="16"/>
        <v>126</v>
      </c>
      <c r="B129" t="str">
        <f ca="1">IFERROR(VLOOKUP($A129,'vbs,vba'!$G:$H,2,FALSE),"")</f>
        <v>項目取得 その１</v>
      </c>
      <c r="C129" t="str">
        <f ca="1">IFERROR(VLOOKUP($A129,python!$I:$J,2,FALSE),"")</f>
        <v/>
      </c>
      <c r="D129" t="str">
        <f ca="1">IFERROR(VLOOKUP($A129,bat!$F:$G,2,FALSE),"")</f>
        <v/>
      </c>
      <c r="E129" t="str">
        <f ca="1">IFERROR(VLOOKUP($A129,shell!$F:$G,2,FALSE),"")</f>
        <v/>
      </c>
      <c r="F129" t="str">
        <f t="shared" ca="1" si="12"/>
        <v>項目取得 その１</v>
      </c>
      <c r="G129">
        <f ca="1">IF($F129="","",COUNTIF($F$3:$F129,$F129))</f>
        <v>1</v>
      </c>
      <c r="H129">
        <f ca="1">IF(OR(G129&gt;1,G129=""),"",COUNTIF($G$3:$G129,1))</f>
        <v>126</v>
      </c>
      <c r="I129" t="str">
        <f t="shared" ca="1" si="13"/>
        <v>項目取得 その１</v>
      </c>
      <c r="K129">
        <f t="shared" si="17"/>
        <v>126</v>
      </c>
      <c r="L129" t="str">
        <f t="shared" ca="1" si="9"/>
        <v>項目取得 その１</v>
      </c>
      <c r="M129" s="2" t="str">
        <f t="shared" ca="1" si="10"/>
        <v>○</v>
      </c>
      <c r="N129" s="2" t="str">
        <f t="shared" ca="1" si="11"/>
        <v/>
      </c>
      <c r="O129" s="2" t="str">
        <f t="shared" ca="1" si="14"/>
        <v/>
      </c>
      <c r="P129" s="2" t="str">
        <f t="shared" ca="1" si="15"/>
        <v/>
      </c>
    </row>
    <row r="130" spans="1:16">
      <c r="A130">
        <f t="shared" si="16"/>
        <v>127</v>
      </c>
      <c r="B130" t="str">
        <f ca="1">IFERROR(VLOOKUP($A130,'vbs,vba'!$G:$H,2,FALSE),"")</f>
        <v>項目取得 その２</v>
      </c>
      <c r="C130" t="str">
        <f ca="1">IFERROR(VLOOKUP($A130,python!$I:$J,2,FALSE),"")</f>
        <v/>
      </c>
      <c r="D130" t="str">
        <f ca="1">IFERROR(VLOOKUP($A130,bat!$F:$G,2,FALSE),"")</f>
        <v/>
      </c>
      <c r="E130" t="str">
        <f ca="1">IFERROR(VLOOKUP($A130,shell!$F:$G,2,FALSE),"")</f>
        <v/>
      </c>
      <c r="F130" t="str">
        <f t="shared" ca="1" si="12"/>
        <v>項目取得 その２</v>
      </c>
      <c r="G130">
        <f ca="1">IF($F130="","",COUNTIF($F$3:$F130,$F130))</f>
        <v>1</v>
      </c>
      <c r="H130">
        <f ca="1">IF(OR(G130&gt;1,G130=""),"",COUNTIF($G$3:$G130,1))</f>
        <v>127</v>
      </c>
      <c r="I130" t="str">
        <f t="shared" ca="1" si="13"/>
        <v>項目取得 その２</v>
      </c>
      <c r="K130">
        <f t="shared" si="17"/>
        <v>127</v>
      </c>
      <c r="L130" t="str">
        <f t="shared" ca="1" si="9"/>
        <v>項目取得 その２</v>
      </c>
      <c r="M130" s="2" t="str">
        <f t="shared" ca="1" si="10"/>
        <v>○</v>
      </c>
      <c r="N130" s="2" t="str">
        <f t="shared" ca="1" si="11"/>
        <v/>
      </c>
      <c r="O130" s="2" t="str">
        <f t="shared" ca="1" si="14"/>
        <v/>
      </c>
      <c r="P130" s="2" t="str">
        <f t="shared" ca="1" si="15"/>
        <v/>
      </c>
    </row>
    <row r="131" spans="1:16">
      <c r="A131">
        <f t="shared" si="16"/>
        <v>128</v>
      </c>
      <c r="B131" t="str">
        <f ca="1">IFERROR(VLOOKUP($A131,'vbs,vba'!$G:$H,2,FALSE),"")</f>
        <v>項目取得 ループ</v>
      </c>
      <c r="C131" t="str">
        <f ca="1">IFERROR(VLOOKUP($A131,python!$I:$J,2,FALSE),"")</f>
        <v/>
      </c>
      <c r="D131" t="str">
        <f ca="1">IFERROR(VLOOKUP($A131,bat!$F:$G,2,FALSE),"")</f>
        <v/>
      </c>
      <c r="E131" t="str">
        <f ca="1">IFERROR(VLOOKUP($A131,shell!$F:$G,2,FALSE),"")</f>
        <v/>
      </c>
      <c r="F131" t="str">
        <f t="shared" ca="1" si="12"/>
        <v>項目取得 ループ</v>
      </c>
      <c r="G131">
        <f ca="1">IF($F131="","",COUNTIF($F$3:$F131,$F131))</f>
        <v>1</v>
      </c>
      <c r="H131">
        <f ca="1">IF(OR(G131&gt;1,G131=""),"",COUNTIF($G$3:$G131,1))</f>
        <v>128</v>
      </c>
      <c r="I131" t="str">
        <f t="shared" ca="1" si="13"/>
        <v>項目取得 ループ</v>
      </c>
      <c r="K131">
        <f t="shared" si="17"/>
        <v>128</v>
      </c>
      <c r="L131" t="str">
        <f t="shared" ca="1" si="9"/>
        <v>項目取得 ループ</v>
      </c>
      <c r="M131" s="2" t="str">
        <f t="shared" ca="1" si="10"/>
        <v>○</v>
      </c>
      <c r="N131" s="2" t="str">
        <f t="shared" ca="1" si="11"/>
        <v/>
      </c>
      <c r="O131" s="2" t="str">
        <f t="shared" ca="1" si="14"/>
        <v/>
      </c>
      <c r="P131" s="2" t="str">
        <f t="shared" ca="1" si="15"/>
        <v/>
      </c>
    </row>
    <row r="132" spans="1:16">
      <c r="A132">
        <f t="shared" si="16"/>
        <v>129</v>
      </c>
      <c r="B132" t="str">
        <f ca="1">IFERROR(VLOOKUP($A132,'vbs,vba'!$G:$H,2,FALSE),"")</f>
        <v>要素数取得</v>
      </c>
      <c r="C132" t="str">
        <f ca="1">IFERROR(VLOOKUP($A132,python!$I:$J,2,FALSE),"")</f>
        <v/>
      </c>
      <c r="D132" t="str">
        <f ca="1">IFERROR(VLOOKUP($A132,bat!$F:$G,2,FALSE),"")</f>
        <v/>
      </c>
      <c r="E132" t="str">
        <f ca="1">IFERROR(VLOOKUP($A132,shell!$F:$G,2,FALSE),"")</f>
        <v/>
      </c>
      <c r="F132" t="str">
        <f t="shared" ca="1" si="12"/>
        <v>要素数取得</v>
      </c>
      <c r="G132">
        <f ca="1">IF($F132="","",COUNTIF($F$3:$F132,$F132))</f>
        <v>1</v>
      </c>
      <c r="H132">
        <f ca="1">IF(OR(G132&gt;1,G132=""),"",COUNTIF($G$3:$G132,1))</f>
        <v>129</v>
      </c>
      <c r="I132" t="str">
        <f t="shared" ca="1" si="13"/>
        <v>要素数取得</v>
      </c>
      <c r="K132">
        <f t="shared" si="17"/>
        <v>129</v>
      </c>
      <c r="L132" t="str">
        <f t="shared" ref="L132:L195" ca="1" si="18">IFERROR(VLOOKUP($K132,$H:$I,2,FALSE),"")</f>
        <v>要素数取得</v>
      </c>
      <c r="M132" s="2" t="str">
        <f t="shared" ref="M132:M195" ca="1" si="19">IF($L132="","",IF(COUNTIF(B$3:B$1004,$L132)&gt;0,"○",""))</f>
        <v>○</v>
      </c>
      <c r="N132" s="2" t="str">
        <f t="shared" ref="N132:N195" ca="1" si="20">IF($L132="","",IF(COUNTIF(C$3:C$1004,$L132)&gt;0,"○",""))</f>
        <v/>
      </c>
      <c r="O132" s="2" t="str">
        <f t="shared" ca="1" si="14"/>
        <v/>
      </c>
      <c r="P132" s="2" t="str">
        <f t="shared" ca="1" si="15"/>
        <v/>
      </c>
    </row>
    <row r="133" spans="1:16">
      <c r="A133">
        <f t="shared" si="16"/>
        <v>130</v>
      </c>
      <c r="B133" t="str">
        <f ca="1">IFERROR(VLOOKUP($A133,'vbs,vba'!$G:$H,2,FALSE),"")</f>
        <v>削除</v>
      </c>
      <c r="C133" t="str">
        <f ca="1">IFERROR(VLOOKUP($A133,python!$I:$J,2,FALSE),"")</f>
        <v/>
      </c>
      <c r="D133" t="str">
        <f ca="1">IFERROR(VLOOKUP($A133,bat!$F:$G,2,FALSE),"")</f>
        <v/>
      </c>
      <c r="E133" t="str">
        <f ca="1">IFERROR(VLOOKUP($A133,shell!$F:$G,2,FALSE),"")</f>
        <v/>
      </c>
      <c r="F133" t="str">
        <f t="shared" ref="F133:F196" ca="1" si="21">B133&amp;C133&amp;D133&amp;E133</f>
        <v>削除</v>
      </c>
      <c r="G133">
        <f ca="1">IF($F133="","",COUNTIF($F$3:$F133,$F133))</f>
        <v>1</v>
      </c>
      <c r="H133">
        <f ca="1">IF(OR(G133&gt;1,G133=""),"",COUNTIF($G$3:$G133,1))</f>
        <v>130</v>
      </c>
      <c r="I133" t="str">
        <f t="shared" ref="I133:I196" ca="1" si="22">F133</f>
        <v>削除</v>
      </c>
      <c r="K133">
        <f t="shared" si="17"/>
        <v>130</v>
      </c>
      <c r="L133" t="str">
        <f t="shared" ca="1" si="18"/>
        <v>削除</v>
      </c>
      <c r="M133" s="2" t="str">
        <f t="shared" ca="1" si="19"/>
        <v>○</v>
      </c>
      <c r="N133" s="2" t="str">
        <f t="shared" ca="1" si="20"/>
        <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挿入</v>
      </c>
      <c r="C134" t="str">
        <f ca="1">IFERROR(VLOOKUP($A134,python!$I:$J,2,FALSE),"")</f>
        <v/>
      </c>
      <c r="D134" t="str">
        <f ca="1">IFERROR(VLOOKUP($A134,bat!$F:$G,2,FALSE),"")</f>
        <v/>
      </c>
      <c r="E134" t="str">
        <f ca="1">IFERROR(VLOOKUP($A134,shell!$F:$G,2,FALSE),"")</f>
        <v/>
      </c>
      <c r="F134" t="str">
        <f t="shared" ca="1" si="21"/>
        <v>挿入</v>
      </c>
      <c r="G134">
        <f ca="1">IF($F134="","",COUNTIF($F$3:$F134,$F134))</f>
        <v>1</v>
      </c>
      <c r="H134">
        <f ca="1">IF(OR(G134&gt;1,G134=""),"",COUNTIF($G$3:$G134,1))</f>
        <v>131</v>
      </c>
      <c r="I134" t="str">
        <f t="shared" ca="1" si="22"/>
        <v>挿入</v>
      </c>
      <c r="K134">
        <f t="shared" ref="K134:K197" si="26">K133+1</f>
        <v>131</v>
      </c>
      <c r="L134" t="str">
        <f t="shared" ca="1" si="18"/>
        <v>挿入</v>
      </c>
      <c r="M134" s="2" t="str">
        <f t="shared" ca="1" si="19"/>
        <v>○</v>
      </c>
      <c r="N134" s="2" t="str">
        <f t="shared" ca="1" si="20"/>
        <v/>
      </c>
      <c r="O134" s="2" t="str">
        <f t="shared" ca="1" si="23"/>
        <v/>
      </c>
      <c r="P134" s="2" t="str">
        <f t="shared" ca="1" si="24"/>
        <v/>
      </c>
    </row>
    <row r="135" spans="1:16">
      <c r="A135">
        <f t="shared" si="25"/>
        <v>132</v>
      </c>
      <c r="B135" t="str">
        <f ca="1">IFERROR(VLOOKUP($A135,'vbs,vba'!$G:$H,2,FALSE),"")</f>
        <v>ソート</v>
      </c>
      <c r="C135" t="str">
        <f ca="1">IFERROR(VLOOKUP($A135,python!$I:$J,2,FALSE),"")</f>
        <v/>
      </c>
      <c r="D135" t="str">
        <f ca="1">IFERROR(VLOOKUP($A135,bat!$F:$G,2,FALSE),"")</f>
        <v/>
      </c>
      <c r="E135" t="str">
        <f ca="1">IFERROR(VLOOKUP($A135,shell!$F:$G,2,FALSE),"")</f>
        <v/>
      </c>
      <c r="F135" t="str">
        <f t="shared" ca="1" si="21"/>
        <v>ソート</v>
      </c>
      <c r="G135">
        <f ca="1">IF($F135="","",COUNTIF($F$3:$F135,$F135))</f>
        <v>1</v>
      </c>
      <c r="H135">
        <f ca="1">IF(OR(G135&gt;1,G135=""),"",COUNTIF($G$3:$G135,1))</f>
        <v>132</v>
      </c>
      <c r="I135" t="str">
        <f t="shared" ca="1" si="22"/>
        <v>ソート</v>
      </c>
      <c r="K135">
        <f t="shared" si="26"/>
        <v>132</v>
      </c>
      <c r="L135" t="str">
        <f t="shared" ca="1" si="18"/>
        <v>ソート</v>
      </c>
      <c r="M135" s="2" t="str">
        <f t="shared" ca="1" si="19"/>
        <v>○</v>
      </c>
      <c r="N135" s="2" t="str">
        <f t="shared" ca="1" si="20"/>
        <v/>
      </c>
      <c r="O135" s="2" t="str">
        <f t="shared" ca="1" si="23"/>
        <v/>
      </c>
      <c r="P135" s="2" t="str">
        <f t="shared" ca="1" si="24"/>
        <v/>
      </c>
    </row>
    <row r="136" spans="1:16">
      <c r="A136">
        <f t="shared" si="25"/>
        <v>133</v>
      </c>
      <c r="B136" t="str">
        <f ca="1">IFERROR(VLOOKUP($A136,'vbs,vba'!$G:$H,2,FALSE),"")</f>
        <v>配列変換</v>
      </c>
      <c r="C136" t="str">
        <f ca="1">IFERROR(VLOOKUP($A136,python!$I:$J,2,FALSE),"")</f>
        <v/>
      </c>
      <c r="D136" t="str">
        <f ca="1">IFERROR(VLOOKUP($A136,bat!$F:$G,2,FALSE),"")</f>
        <v/>
      </c>
      <c r="E136" t="str">
        <f ca="1">IFERROR(VLOOKUP($A136,shell!$F:$G,2,FALSE),"")</f>
        <v/>
      </c>
      <c r="F136" t="str">
        <f t="shared" ca="1" si="21"/>
        <v>配列変換</v>
      </c>
      <c r="G136">
        <f ca="1">IF($F136="","",COUNTIF($F$3:$F136,$F136))</f>
        <v>1</v>
      </c>
      <c r="H136">
        <f ca="1">IF(OR(G136&gt;1,G136=""),"",COUNTIF($G$3:$G136,1))</f>
        <v>133</v>
      </c>
      <c r="I136" t="str">
        <f t="shared" ca="1" si="22"/>
        <v>配列変換</v>
      </c>
      <c r="K136">
        <f t="shared" si="26"/>
        <v>133</v>
      </c>
      <c r="L136" t="str">
        <f t="shared" ca="1" si="18"/>
        <v>配列変換</v>
      </c>
      <c r="M136" s="2" t="str">
        <f t="shared" ca="1" si="19"/>
        <v>○</v>
      </c>
      <c r="N136" s="2" t="str">
        <f t="shared" ca="1" si="20"/>
        <v/>
      </c>
      <c r="O136" s="2" t="str">
        <f t="shared" ca="1" si="23"/>
        <v/>
      </c>
      <c r="P136" s="2" t="str">
        <f t="shared" ca="1" si="24"/>
        <v/>
      </c>
    </row>
    <row r="137" spans="1:16">
      <c r="A137">
        <f t="shared" si="25"/>
        <v>134</v>
      </c>
      <c r="B137" t="str">
        <f ca="1">IFERROR(VLOOKUP($A137,'vbs,vba'!$G:$H,2,FALSE),"")</f>
        <v>全要素削除</v>
      </c>
      <c r="C137" t="str">
        <f ca="1">IFERROR(VLOOKUP($A137,python!$I:$J,2,FALSE),"")</f>
        <v/>
      </c>
      <c r="D137" t="str">
        <f ca="1">IFERROR(VLOOKUP($A137,bat!$F:$G,2,FALSE),"")</f>
        <v/>
      </c>
      <c r="E137" t="str">
        <f ca="1">IFERROR(VLOOKUP($A137,shell!$F:$G,2,FALSE),"")</f>
        <v/>
      </c>
      <c r="F137" t="str">
        <f t="shared" ca="1" si="21"/>
        <v>全要素削除</v>
      </c>
      <c r="G137">
        <f ca="1">IF($F137="","",COUNTIF($F$3:$F137,$F137))</f>
        <v>1</v>
      </c>
      <c r="H137">
        <f ca="1">IF(OR(G137&gt;1,G137=""),"",COUNTIF($G$3:$G137,1))</f>
        <v>134</v>
      </c>
      <c r="I137" t="str">
        <f t="shared" ca="1" si="22"/>
        <v>全要素削除</v>
      </c>
      <c r="K137">
        <f t="shared" si="26"/>
        <v>134</v>
      </c>
      <c r="L137" t="str">
        <f t="shared" ca="1" si="18"/>
        <v>全要素削除</v>
      </c>
      <c r="M137" s="2" t="str">
        <f t="shared" ca="1" si="19"/>
        <v>○</v>
      </c>
      <c r="N137" s="2" t="str">
        <f t="shared" ca="1" si="20"/>
        <v/>
      </c>
      <c r="O137" s="2" t="str">
        <f t="shared" ca="1" si="23"/>
        <v/>
      </c>
      <c r="P137" s="2" t="str">
        <f t="shared" ca="1" si="24"/>
        <v/>
      </c>
    </row>
    <row r="138" spans="1:16">
      <c r="A138">
        <f t="shared" si="25"/>
        <v>135</v>
      </c>
      <c r="B138" t="str">
        <f ca="1">IFERROR(VLOOKUP($A138,'vbs,vba'!$G:$H,2,FALSE),"")</f>
        <v>オブジェクト定義</v>
      </c>
      <c r="C138" t="str">
        <f ca="1">IFERROR(VLOOKUP($A138,python!$I:$J,2,FALSE),"")</f>
        <v/>
      </c>
      <c r="D138" t="str">
        <f ca="1">IFERROR(VLOOKUP($A138,bat!$F:$G,2,FALSE),"")</f>
        <v/>
      </c>
      <c r="E138" t="str">
        <f ca="1">IFERROR(VLOOKUP($A138,shell!$F:$G,2,FALSE),"")</f>
        <v/>
      </c>
      <c r="F138" t="str">
        <f t="shared" ca="1" si="21"/>
        <v>オブジェクト定義</v>
      </c>
      <c r="G138">
        <f ca="1">IF($F138="","",COUNTIF($F$3:$F138,$F138))</f>
        <v>2</v>
      </c>
      <c r="H138" t="str">
        <f ca="1">IF(OR(G138&gt;1,G138=""),"",COUNTIF($G$3:$G138,1))</f>
        <v/>
      </c>
      <c r="I138" t="str">
        <f t="shared" ca="1" si="22"/>
        <v>オブジェクト定義</v>
      </c>
      <c r="K138">
        <f t="shared" si="26"/>
        <v>135</v>
      </c>
      <c r="L138" t="str">
        <f t="shared" ca="1" si="18"/>
        <v>連想配列 キー/項目追加</v>
      </c>
      <c r="M138" s="2" t="str">
        <f t="shared" ca="1" si="19"/>
        <v>○</v>
      </c>
      <c r="N138" s="2" t="str">
        <f t="shared" ca="1" si="20"/>
        <v>○</v>
      </c>
      <c r="O138" s="2" t="str">
        <f t="shared" ca="1" si="23"/>
        <v/>
      </c>
      <c r="P138" s="2" t="str">
        <f t="shared" ca="1" si="24"/>
        <v/>
      </c>
    </row>
    <row r="139" spans="1:16">
      <c r="A139">
        <f t="shared" si="25"/>
        <v>136</v>
      </c>
      <c r="B139" t="str">
        <f ca="1">IFERROR(VLOOKUP($A139,'vbs,vba'!$G:$H,2,FALSE),"")</f>
        <v>連想配列 キー/項目追加</v>
      </c>
      <c r="C139" t="str">
        <f ca="1">IFERROR(VLOOKUP($A139,python!$I:$J,2,FALSE),"")</f>
        <v/>
      </c>
      <c r="D139" t="str">
        <f ca="1">IFERROR(VLOOKUP($A139,bat!$F:$G,2,FALSE),"")</f>
        <v/>
      </c>
      <c r="E139" t="str">
        <f ca="1">IFERROR(VLOOKUP($A139,shell!$F:$G,2,FALSE),"")</f>
        <v/>
      </c>
      <c r="F139" t="str">
        <f t="shared" ca="1" si="21"/>
        <v>連想配列 キー/項目追加</v>
      </c>
      <c r="G139">
        <f ca="1">IF($F139="","",COUNTIF($F$3:$F139,$F139))</f>
        <v>1</v>
      </c>
      <c r="H139">
        <f ca="1">IF(OR(G139&gt;1,G139=""),"",COUNTIF($G$3:$G139,1))</f>
        <v>135</v>
      </c>
      <c r="I139" t="str">
        <f t="shared" ca="1" si="22"/>
        <v>連想配列 キー/項目追加</v>
      </c>
      <c r="K139">
        <f t="shared" si="26"/>
        <v>136</v>
      </c>
      <c r="L139" t="str">
        <f t="shared" ca="1" si="18"/>
        <v>連想配列 存在確認</v>
      </c>
      <c r="M139" s="2" t="str">
        <f t="shared" ca="1" si="19"/>
        <v>○</v>
      </c>
      <c r="N139" s="2" t="str">
        <f t="shared" ca="1" si="20"/>
        <v>○</v>
      </c>
      <c r="O139" s="2" t="str">
        <f t="shared" ca="1" si="23"/>
        <v/>
      </c>
      <c r="P139" s="2" t="str">
        <f t="shared" ca="1" si="24"/>
        <v/>
      </c>
    </row>
    <row r="140" spans="1:16">
      <c r="A140">
        <f t="shared" si="25"/>
        <v>137</v>
      </c>
      <c r="B140" t="str">
        <f ca="1">IFERROR(VLOOKUP($A140,'vbs,vba'!$G:$H,2,FALSE),"")</f>
        <v>連想配列 存在確認</v>
      </c>
      <c r="C140" t="str">
        <f ca="1">IFERROR(VLOOKUP($A140,python!$I:$J,2,FALSE),"")</f>
        <v/>
      </c>
      <c r="D140" t="str">
        <f ca="1">IFERROR(VLOOKUP($A140,bat!$F:$G,2,FALSE),"")</f>
        <v/>
      </c>
      <c r="E140" t="str">
        <f ca="1">IFERROR(VLOOKUP($A140,shell!$F:$G,2,FALSE),"")</f>
        <v/>
      </c>
      <c r="F140" t="str">
        <f t="shared" ca="1" si="21"/>
        <v>連想配列 存在確認</v>
      </c>
      <c r="G140">
        <f ca="1">IF($F140="","",COUNTIF($F$3:$F140,$F140))</f>
        <v>1</v>
      </c>
      <c r="H140">
        <f ca="1">IF(OR(G140&gt;1,G140=""),"",COUNTIF($G$3:$G140,1))</f>
        <v>136</v>
      </c>
      <c r="I140" t="str">
        <f t="shared" ca="1" si="22"/>
        <v>連想配列 存在確認</v>
      </c>
      <c r="K140">
        <f t="shared" si="26"/>
        <v>137</v>
      </c>
      <c r="L140" t="str">
        <f t="shared" ca="1" si="18"/>
        <v>連想配列 キー取得（For Each）</v>
      </c>
      <c r="M140" s="2" t="str">
        <f t="shared" ca="1" si="19"/>
        <v>○</v>
      </c>
      <c r="N140" s="2" t="str">
        <f t="shared" ca="1" si="20"/>
        <v>○</v>
      </c>
      <c r="O140" s="2" t="str">
        <f t="shared" ca="1" si="23"/>
        <v/>
      </c>
      <c r="P140" s="2" t="str">
        <f t="shared" ca="1" si="24"/>
        <v/>
      </c>
    </row>
    <row r="141" spans="1:16">
      <c r="A141">
        <f t="shared" si="25"/>
        <v>138</v>
      </c>
      <c r="B141" t="str">
        <f ca="1">IFERROR(VLOOKUP($A141,'vbs,vba'!$G:$H,2,FALSE),"")</f>
        <v>連想配列 キー取得（For Each）</v>
      </c>
      <c r="C141" t="str">
        <f ca="1">IFERROR(VLOOKUP($A141,python!$I:$J,2,FALSE),"")</f>
        <v/>
      </c>
      <c r="D141" t="str">
        <f ca="1">IFERROR(VLOOKUP($A141,bat!$F:$G,2,FALSE),"")</f>
        <v/>
      </c>
      <c r="E141" t="str">
        <f ca="1">IFERROR(VLOOKUP($A141,shell!$F:$G,2,FALSE),"")</f>
        <v/>
      </c>
      <c r="F141" t="str">
        <f t="shared" ca="1" si="21"/>
        <v>連想配列 キー取得（For Each）</v>
      </c>
      <c r="G141">
        <f ca="1">IF($F141="","",COUNTIF($F$3:$F141,$F141))</f>
        <v>1</v>
      </c>
      <c r="H141">
        <f ca="1">IF(OR(G141&gt;1,G141=""),"",COUNTIF($G$3:$G141,1))</f>
        <v>137</v>
      </c>
      <c r="I141" t="str">
        <f t="shared" ca="1" si="22"/>
        <v>連想配列 キー取得（For Each）</v>
      </c>
      <c r="K141">
        <f t="shared" si="26"/>
        <v>138</v>
      </c>
      <c r="L141" t="str">
        <f t="shared" ca="1" si="18"/>
        <v>連想配列 項目取得（キー）</v>
      </c>
      <c r="M141" s="2" t="str">
        <f t="shared" ca="1" si="19"/>
        <v>○</v>
      </c>
      <c r="N141" s="2" t="str">
        <f t="shared" ca="1" si="20"/>
        <v>○</v>
      </c>
      <c r="O141" s="2" t="str">
        <f t="shared" ca="1" si="23"/>
        <v/>
      </c>
      <c r="P141" s="2" t="str">
        <f t="shared" ca="1" si="24"/>
        <v/>
      </c>
    </row>
    <row r="142" spans="1:16">
      <c r="A142">
        <f t="shared" si="25"/>
        <v>139</v>
      </c>
      <c r="B142" t="str">
        <f ca="1">IFERROR(VLOOKUP($A142,'vbs,vba'!$G:$H,2,FALSE),"")</f>
        <v>連想配列 項目取得（キー）</v>
      </c>
      <c r="C142" t="str">
        <f ca="1">IFERROR(VLOOKUP($A142,python!$I:$J,2,FALSE),"")</f>
        <v/>
      </c>
      <c r="D142" t="str">
        <f ca="1">IFERROR(VLOOKUP($A142,bat!$F:$G,2,FALSE),"")</f>
        <v/>
      </c>
      <c r="E142" t="str">
        <f ca="1">IFERROR(VLOOKUP($A142,shell!$F:$G,2,FALSE),"")</f>
        <v/>
      </c>
      <c r="F142" t="str">
        <f t="shared" ca="1" si="21"/>
        <v>連想配列 項目取得（キー）</v>
      </c>
      <c r="G142">
        <f ca="1">IF($F142="","",COUNTIF($F$3:$F142,$F142))</f>
        <v>1</v>
      </c>
      <c r="H142">
        <f ca="1">IF(OR(G142&gt;1,G142=""),"",COUNTIF($G$3:$G142,1))</f>
        <v>138</v>
      </c>
      <c r="I142" t="str">
        <f t="shared" ca="1" si="22"/>
        <v>連想配列 項目取得（キー）</v>
      </c>
      <c r="K142">
        <f t="shared" si="26"/>
        <v>139</v>
      </c>
      <c r="L142" t="str">
        <f t="shared" ca="1" si="18"/>
        <v>連想配列 キー取得（インデックス）</v>
      </c>
      <c r="M142" s="2" t="str">
        <f t="shared" ca="1" si="19"/>
        <v>○</v>
      </c>
      <c r="N142" s="2" t="str">
        <f t="shared" ca="1" si="20"/>
        <v>○</v>
      </c>
      <c r="O142" s="2" t="str">
        <f t="shared" ca="1" si="23"/>
        <v/>
      </c>
      <c r="P142" s="2" t="str">
        <f t="shared" ca="1" si="24"/>
        <v/>
      </c>
    </row>
    <row r="143" spans="1:16">
      <c r="A143">
        <f t="shared" si="25"/>
        <v>140</v>
      </c>
      <c r="B143" t="str">
        <f ca="1">IFERROR(VLOOKUP($A143,'vbs,vba'!$G:$H,2,FALSE),"")</f>
        <v>連想配列 キー取得（インデックス）</v>
      </c>
      <c r="C143" t="str">
        <f ca="1">IFERROR(VLOOKUP($A143,python!$I:$J,2,FALSE),"")</f>
        <v/>
      </c>
      <c r="D143" t="str">
        <f ca="1">IFERROR(VLOOKUP($A143,bat!$F:$G,2,FALSE),"")</f>
        <v/>
      </c>
      <c r="E143" t="str">
        <f ca="1">IFERROR(VLOOKUP($A143,shell!$F:$G,2,FALSE),"")</f>
        <v/>
      </c>
      <c r="F143" t="str">
        <f t="shared" ca="1" si="21"/>
        <v>連想配列 キー取得（インデックス）</v>
      </c>
      <c r="G143">
        <f ca="1">IF($F143="","",COUNTIF($F$3:$F143,$F143))</f>
        <v>1</v>
      </c>
      <c r="H143">
        <f ca="1">IF(OR(G143&gt;1,G143=""),"",COUNTIF($G$3:$G143,1))</f>
        <v>139</v>
      </c>
      <c r="I143" t="str">
        <f t="shared" ca="1" si="22"/>
        <v>連想配列 キー取得（インデックス）</v>
      </c>
      <c r="K143">
        <f t="shared" si="26"/>
        <v>140</v>
      </c>
      <c r="L143" t="str">
        <f t="shared" ca="1" si="18"/>
        <v>連想配列 項目取得（インデックス）</v>
      </c>
      <c r="M143" s="2" t="str">
        <f t="shared" ca="1" si="19"/>
        <v>○</v>
      </c>
      <c r="N143" s="2" t="str">
        <f t="shared" ca="1" si="20"/>
        <v>○</v>
      </c>
      <c r="O143" s="2" t="str">
        <f t="shared" ca="1" si="23"/>
        <v/>
      </c>
      <c r="P143" s="2" t="str">
        <f t="shared" ca="1" si="24"/>
        <v/>
      </c>
    </row>
    <row r="144" spans="1:16">
      <c r="A144">
        <f t="shared" si="25"/>
        <v>141</v>
      </c>
      <c r="B144" t="str">
        <f ca="1">IFERROR(VLOOKUP($A144,'vbs,vba'!$G:$H,2,FALSE),"")</f>
        <v>連想配列 項目取得（インデックス）</v>
      </c>
      <c r="C144" t="str">
        <f ca="1">IFERROR(VLOOKUP($A144,python!$I:$J,2,FALSE),"")</f>
        <v/>
      </c>
      <c r="D144" t="str">
        <f ca="1">IFERROR(VLOOKUP($A144,bat!$F:$G,2,FALSE),"")</f>
        <v/>
      </c>
      <c r="E144" t="str">
        <f ca="1">IFERROR(VLOOKUP($A144,shell!$F:$G,2,FALSE),"")</f>
        <v/>
      </c>
      <c r="F144" t="str">
        <f t="shared" ca="1" si="21"/>
        <v>連想配列 項目取得（インデックス）</v>
      </c>
      <c r="G144">
        <f ca="1">IF($F144="","",COUNTIF($F$3:$F144,$F144))</f>
        <v>1</v>
      </c>
      <c r="H144">
        <f ca="1">IF(OR(G144&gt;1,G144=""),"",COUNTIF($G$3:$G144,1))</f>
        <v>140</v>
      </c>
      <c r="I144" t="str">
        <f t="shared" ca="1" si="22"/>
        <v>連想配列 項目取得（インデックス）</v>
      </c>
      <c r="K144">
        <f t="shared" si="26"/>
        <v>141</v>
      </c>
      <c r="L144" t="str">
        <f t="shared" ca="1" si="18"/>
        <v>連想配列 キー置換</v>
      </c>
      <c r="M144" s="2" t="str">
        <f t="shared" ca="1" si="19"/>
        <v>○</v>
      </c>
      <c r="N144" s="2" t="str">
        <f t="shared" ca="1" si="20"/>
        <v/>
      </c>
      <c r="O144" s="2" t="str">
        <f t="shared" ca="1" si="23"/>
        <v/>
      </c>
      <c r="P144" s="2" t="str">
        <f t="shared" ca="1" si="24"/>
        <v/>
      </c>
    </row>
    <row r="145" spans="1:16">
      <c r="A145">
        <f t="shared" si="25"/>
        <v>142</v>
      </c>
      <c r="B145" t="str">
        <f ca="1">IFERROR(VLOOKUP($A145,'vbs,vba'!$G:$H,2,FALSE),"")</f>
        <v>連想配列 キー置換</v>
      </c>
      <c r="C145" t="str">
        <f ca="1">IFERROR(VLOOKUP($A145,python!$I:$J,2,FALSE),"")</f>
        <v/>
      </c>
      <c r="D145" t="str">
        <f ca="1">IFERROR(VLOOKUP($A145,bat!$F:$G,2,FALSE),"")</f>
        <v/>
      </c>
      <c r="E145" t="str">
        <f ca="1">IFERROR(VLOOKUP($A145,shell!$F:$G,2,FALSE),"")</f>
        <v/>
      </c>
      <c r="F145" t="str">
        <f t="shared" ca="1" si="21"/>
        <v>連想配列 キー置換</v>
      </c>
      <c r="G145">
        <f ca="1">IF($F145="","",COUNTIF($F$3:$F145,$F145))</f>
        <v>1</v>
      </c>
      <c r="H145">
        <f ca="1">IF(OR(G145&gt;1,G145=""),"",COUNTIF($G$3:$G145,1))</f>
        <v>141</v>
      </c>
      <c r="I145" t="str">
        <f t="shared" ca="1" si="22"/>
        <v>連想配列 キー置換</v>
      </c>
      <c r="K145">
        <f t="shared" si="26"/>
        <v>142</v>
      </c>
      <c r="L145" t="str">
        <f t="shared" ca="1" si="18"/>
        <v>連想配列 キー関連付け</v>
      </c>
      <c r="M145" s="2" t="str">
        <f t="shared" ca="1" si="19"/>
        <v>○</v>
      </c>
      <c r="N145" s="2" t="str">
        <f t="shared" ca="1" si="20"/>
        <v/>
      </c>
      <c r="O145" s="2" t="str">
        <f t="shared" ca="1" si="23"/>
        <v/>
      </c>
      <c r="P145" s="2" t="str">
        <f t="shared" ca="1" si="24"/>
        <v/>
      </c>
    </row>
    <row r="146" spans="1:16">
      <c r="A146">
        <f t="shared" si="25"/>
        <v>143</v>
      </c>
      <c r="B146" t="str">
        <f ca="1">IFERROR(VLOOKUP($A146,'vbs,vba'!$G:$H,2,FALSE),"")</f>
        <v>連想配列 キー関連付け</v>
      </c>
      <c r="C146" t="str">
        <f ca="1">IFERROR(VLOOKUP($A146,python!$I:$J,2,FALSE),"")</f>
        <v/>
      </c>
      <c r="D146" t="str">
        <f ca="1">IFERROR(VLOOKUP($A146,bat!$F:$G,2,FALSE),"")</f>
        <v/>
      </c>
      <c r="E146" t="str">
        <f ca="1">IFERROR(VLOOKUP($A146,shell!$F:$G,2,FALSE),"")</f>
        <v/>
      </c>
      <c r="F146" t="str">
        <f t="shared" ca="1" si="21"/>
        <v>連想配列 キー関連付け</v>
      </c>
      <c r="G146">
        <f ca="1">IF($F146="","",COUNTIF($F$3:$F146,$F146))</f>
        <v>1</v>
      </c>
      <c r="H146">
        <f ca="1">IF(OR(G146&gt;1,G146=""),"",COUNTIF($G$3:$G146,1))</f>
        <v>142</v>
      </c>
      <c r="I146" t="str">
        <f t="shared" ca="1" si="22"/>
        <v>連想配列 キー関連付け</v>
      </c>
      <c r="K146">
        <f t="shared" si="26"/>
        <v>143</v>
      </c>
      <c r="L146" t="str">
        <f t="shared" ca="1" si="18"/>
        <v>連想配列 キー/項目数取得</v>
      </c>
      <c r="M146" s="2" t="str">
        <f t="shared" ca="1" si="19"/>
        <v>○</v>
      </c>
      <c r="N146" s="2" t="str">
        <f t="shared" ca="1" si="20"/>
        <v>○</v>
      </c>
      <c r="O146" s="2" t="str">
        <f t="shared" ca="1" si="23"/>
        <v/>
      </c>
      <c r="P146" s="2" t="str">
        <f t="shared" ca="1" si="24"/>
        <v/>
      </c>
    </row>
    <row r="147" spans="1:16">
      <c r="A147">
        <f t="shared" si="25"/>
        <v>144</v>
      </c>
      <c r="B147" t="str">
        <f ca="1">IFERROR(VLOOKUP($A147,'vbs,vba'!$G:$H,2,FALSE),"")</f>
        <v>連想配列 キー/項目数取得</v>
      </c>
      <c r="C147" t="str">
        <f ca="1">IFERROR(VLOOKUP($A147,python!$I:$J,2,FALSE),"")</f>
        <v/>
      </c>
      <c r="D147" t="str">
        <f ca="1">IFERROR(VLOOKUP($A147,bat!$F:$G,2,FALSE),"")</f>
        <v/>
      </c>
      <c r="E147" t="str">
        <f ca="1">IFERROR(VLOOKUP($A147,shell!$F:$G,2,FALSE),"")</f>
        <v/>
      </c>
      <c r="F147" t="str">
        <f t="shared" ca="1" si="21"/>
        <v>連想配列 キー/項目数取得</v>
      </c>
      <c r="G147">
        <f ca="1">IF($F147="","",COUNTIF($F$3:$F147,$F147))</f>
        <v>1</v>
      </c>
      <c r="H147">
        <f ca="1">IF(OR(G147&gt;1,G147=""),"",COUNTIF($G$3:$G147,1))</f>
        <v>143</v>
      </c>
      <c r="I147" t="str">
        <f t="shared" ca="1" si="22"/>
        <v>連想配列 キー/項目数取得</v>
      </c>
      <c r="K147">
        <f t="shared" si="26"/>
        <v>144</v>
      </c>
      <c r="L147" t="str">
        <f t="shared" ca="1" si="18"/>
        <v>連想配列 キー/項目削除</v>
      </c>
      <c r="M147" s="2" t="str">
        <f t="shared" ca="1" si="19"/>
        <v>○</v>
      </c>
      <c r="N147" s="2" t="str">
        <f t="shared" ca="1" si="20"/>
        <v>○</v>
      </c>
      <c r="O147" s="2" t="str">
        <f t="shared" ca="1" si="23"/>
        <v/>
      </c>
      <c r="P147" s="2" t="str">
        <f t="shared" ca="1" si="24"/>
        <v/>
      </c>
    </row>
    <row r="148" spans="1:16">
      <c r="A148">
        <f t="shared" si="25"/>
        <v>145</v>
      </c>
      <c r="B148" t="str">
        <f ca="1">IFERROR(VLOOKUP($A148,'vbs,vba'!$G:$H,2,FALSE),"")</f>
        <v>連想配列 キー/項目削除</v>
      </c>
      <c r="C148" t="str">
        <f ca="1">IFERROR(VLOOKUP($A148,python!$I:$J,2,FALSE),"")</f>
        <v/>
      </c>
      <c r="D148" t="str">
        <f ca="1">IFERROR(VLOOKUP($A148,bat!$F:$G,2,FALSE),"")</f>
        <v/>
      </c>
      <c r="E148" t="str">
        <f ca="1">IFERROR(VLOOKUP($A148,shell!$F:$G,2,FALSE),"")</f>
        <v/>
      </c>
      <c r="F148" t="str">
        <f t="shared" ca="1" si="21"/>
        <v>連想配列 キー/項目削除</v>
      </c>
      <c r="G148">
        <f ca="1">IF($F148="","",COUNTIF($F$3:$F148,$F148))</f>
        <v>1</v>
      </c>
      <c r="H148">
        <f ca="1">IF(OR(G148&gt;1,G148=""),"",COUNTIF($G$3:$G148,1))</f>
        <v>144</v>
      </c>
      <c r="I148" t="str">
        <f t="shared" ca="1" si="22"/>
        <v>連想配列 キー/項目削除</v>
      </c>
      <c r="K148">
        <f t="shared" si="26"/>
        <v>145</v>
      </c>
      <c r="L148" t="str">
        <f t="shared" ca="1" si="18"/>
        <v>連想配列 キー/項目全削除</v>
      </c>
      <c r="M148" s="2" t="str">
        <f t="shared" ca="1" si="19"/>
        <v>○</v>
      </c>
      <c r="N148" s="2" t="str">
        <f t="shared" ca="1" si="20"/>
        <v>○</v>
      </c>
      <c r="O148" s="2" t="str">
        <f t="shared" ca="1" si="23"/>
        <v/>
      </c>
      <c r="P148" s="2" t="str">
        <f t="shared" ca="1" si="24"/>
        <v/>
      </c>
    </row>
    <row r="149" spans="1:16">
      <c r="A149">
        <f t="shared" si="25"/>
        <v>146</v>
      </c>
      <c r="B149" t="str">
        <f ca="1">IFERROR(VLOOKUP($A149,'vbs,vba'!$G:$H,2,FALSE),"")</f>
        <v>連想配列 キー/項目全削除</v>
      </c>
      <c r="C149" t="str">
        <f ca="1">IFERROR(VLOOKUP($A149,python!$I:$J,2,FALSE),"")</f>
        <v/>
      </c>
      <c r="D149" t="str">
        <f ca="1">IFERROR(VLOOKUP($A149,bat!$F:$G,2,FALSE),"")</f>
        <v/>
      </c>
      <c r="E149" t="str">
        <f ca="1">IFERROR(VLOOKUP($A149,shell!$F:$G,2,FALSE),"")</f>
        <v/>
      </c>
      <c r="F149" t="str">
        <f t="shared" ca="1" si="21"/>
        <v>連想配列 キー/項目全削除</v>
      </c>
      <c r="G149">
        <f ca="1">IF($F149="","",COUNTIF($F$3:$F149,$F149))</f>
        <v>1</v>
      </c>
      <c r="H149">
        <f ca="1">IF(OR(G149&gt;1,G149=""),"",COUNTIF($G$3:$G149,1))</f>
        <v>145</v>
      </c>
      <c r="I149" t="str">
        <f t="shared" ca="1" si="22"/>
        <v>連想配列 キー/項目全削除</v>
      </c>
      <c r="K149">
        <f t="shared" si="26"/>
        <v>146</v>
      </c>
      <c r="L149" t="str">
        <f t="shared" ca="1" si="18"/>
        <v>連想配列 配列変換（項目）</v>
      </c>
      <c r="M149" s="2" t="str">
        <f t="shared" ca="1" si="19"/>
        <v>○</v>
      </c>
      <c r="N149" s="2" t="str">
        <f t="shared" ca="1" si="20"/>
        <v>○</v>
      </c>
      <c r="O149" s="2" t="str">
        <f t="shared" ca="1" si="23"/>
        <v/>
      </c>
      <c r="P149" s="2" t="str">
        <f t="shared" ca="1" si="24"/>
        <v/>
      </c>
    </row>
    <row r="150" spans="1:16">
      <c r="A150">
        <f t="shared" si="25"/>
        <v>147</v>
      </c>
      <c r="B150" t="str">
        <f ca="1">IFERROR(VLOOKUP($A150,'vbs,vba'!$G:$H,2,FALSE),"")</f>
        <v>連想配列 配列変換（項目）</v>
      </c>
      <c r="C150" t="str">
        <f ca="1">IFERROR(VLOOKUP($A150,python!$I:$J,2,FALSE),"")</f>
        <v/>
      </c>
      <c r="D150" t="str">
        <f ca="1">IFERROR(VLOOKUP($A150,bat!$F:$G,2,FALSE),"")</f>
        <v/>
      </c>
      <c r="E150" t="str">
        <f ca="1">IFERROR(VLOOKUP($A150,shell!$F:$G,2,FALSE),"")</f>
        <v/>
      </c>
      <c r="F150" t="str">
        <f t="shared" ca="1" si="21"/>
        <v>連想配列 配列変換（項目）</v>
      </c>
      <c r="G150">
        <f ca="1">IF($F150="","",COUNTIF($F$3:$F150,$F150))</f>
        <v>1</v>
      </c>
      <c r="H150">
        <f ca="1">IF(OR(G150&gt;1,G150=""),"",COUNTIF($G$3:$G150,1))</f>
        <v>146</v>
      </c>
      <c r="I150" t="str">
        <f t="shared" ca="1" si="22"/>
        <v>連想配列 配列変換（項目）</v>
      </c>
      <c r="K150">
        <f t="shared" si="26"/>
        <v>147</v>
      </c>
      <c r="L150" t="str">
        <f t="shared" ca="1" si="18"/>
        <v>連想配列 配列変換（キー）</v>
      </c>
      <c r="M150" s="2" t="str">
        <f t="shared" ca="1" si="19"/>
        <v>○</v>
      </c>
      <c r="N150" s="2" t="str">
        <f t="shared" ca="1" si="20"/>
        <v>○</v>
      </c>
      <c r="O150" s="2" t="str">
        <f t="shared" ca="1" si="23"/>
        <v/>
      </c>
      <c r="P150" s="2" t="str">
        <f t="shared" ca="1" si="24"/>
        <v/>
      </c>
    </row>
    <row r="151" spans="1:16">
      <c r="A151">
        <f t="shared" si="25"/>
        <v>148</v>
      </c>
      <c r="B151" t="str">
        <f ca="1">IFERROR(VLOOKUP($A151,'vbs,vba'!$G:$H,2,FALSE),"")</f>
        <v>連想配列 配列変換（キー）</v>
      </c>
      <c r="C151" t="str">
        <f ca="1">IFERROR(VLOOKUP($A151,python!$I:$J,2,FALSE),"")</f>
        <v/>
      </c>
      <c r="D151" t="str">
        <f ca="1">IFERROR(VLOOKUP($A151,bat!$F:$G,2,FALSE),"")</f>
        <v/>
      </c>
      <c r="E151" t="str">
        <f ca="1">IFERROR(VLOOKUP($A151,shell!$F:$G,2,FALSE),"")</f>
        <v/>
      </c>
      <c r="F151" t="str">
        <f t="shared" ca="1" si="21"/>
        <v>連想配列 配列変換（キー）</v>
      </c>
      <c r="G151">
        <f ca="1">IF($F151="","",COUNTIF($F$3:$F151,$F151))</f>
        <v>1</v>
      </c>
      <c r="H151">
        <f ca="1">IF(OR(G151&gt;1,G151=""),"",COUNTIF($G$3:$G151,1))</f>
        <v>147</v>
      </c>
      <c r="I151" t="str">
        <f t="shared" ca="1" si="22"/>
        <v>連想配列 配列変換（キー）</v>
      </c>
      <c r="K151">
        <f t="shared" si="26"/>
        <v>148</v>
      </c>
      <c r="L151" t="str">
        <f t="shared" ca="1" si="18"/>
        <v>連想配列 設定変更</v>
      </c>
      <c r="M151" s="2" t="str">
        <f t="shared" ca="1" si="19"/>
        <v>○</v>
      </c>
      <c r="N151" s="2" t="str">
        <f t="shared" ca="1" si="20"/>
        <v/>
      </c>
      <c r="O151" s="2" t="str">
        <f t="shared" ca="1" si="23"/>
        <v/>
      </c>
      <c r="P151" s="2" t="str">
        <f t="shared" ca="1" si="24"/>
        <v/>
      </c>
    </row>
    <row r="152" spans="1:16">
      <c r="A152">
        <f t="shared" si="25"/>
        <v>149</v>
      </c>
      <c r="B152" t="str">
        <f ca="1">IFERROR(VLOOKUP($A152,'vbs,vba'!$G:$H,2,FALSE),"")</f>
        <v>連想配列 設定変更</v>
      </c>
      <c r="C152" t="str">
        <f ca="1">IFERROR(VLOOKUP($A152,python!$I:$J,2,FALSE),"")</f>
        <v/>
      </c>
      <c r="D152" t="str">
        <f ca="1">IFERROR(VLOOKUP($A152,bat!$F:$G,2,FALSE),"")</f>
        <v/>
      </c>
      <c r="E152" t="str">
        <f ca="1">IFERROR(VLOOKUP($A152,shell!$F:$G,2,FALSE),"")</f>
        <v/>
      </c>
      <c r="F152" t="str">
        <f t="shared" ca="1" si="21"/>
        <v>連想配列 設定変更</v>
      </c>
      <c r="G152">
        <f ca="1">IF($F152="","",COUNTIF($F$3:$F152,$F152))</f>
        <v>1</v>
      </c>
      <c r="H152">
        <f ca="1">IF(OR(G152&gt;1,G152=""),"",COUNTIF($G$3:$G152,1))</f>
        <v>148</v>
      </c>
      <c r="I152" t="str">
        <f t="shared" ca="1" si="22"/>
        <v>連想配列 設定変更</v>
      </c>
      <c r="K152">
        <f t="shared" si="26"/>
        <v>149</v>
      </c>
      <c r="L152" t="str">
        <f t="shared" ca="1" si="18"/>
        <v>バッチ実行①</v>
      </c>
      <c r="M152" s="2" t="str">
        <f t="shared" ca="1" si="19"/>
        <v>○</v>
      </c>
      <c r="N152" s="2" t="str">
        <f t="shared" ca="1" si="20"/>
        <v/>
      </c>
      <c r="O152" s="2" t="str">
        <f t="shared" ca="1" si="23"/>
        <v/>
      </c>
      <c r="P152" s="2" t="str">
        <f t="shared" ca="1" si="24"/>
        <v/>
      </c>
    </row>
    <row r="153" spans="1:16">
      <c r="A153">
        <f t="shared" si="25"/>
        <v>150</v>
      </c>
      <c r="B153" t="str">
        <f ca="1">IFERROR(VLOOKUP($A153,'vbs,vba'!$G:$H,2,FALSE),"")</f>
        <v>オブジェクト定義</v>
      </c>
      <c r="C153" t="str">
        <f ca="1">IFERROR(VLOOKUP($A153,python!$I:$J,2,FALSE),"")</f>
        <v/>
      </c>
      <c r="D153" t="str">
        <f ca="1">IFERROR(VLOOKUP($A153,bat!$F:$G,2,FALSE),"")</f>
        <v/>
      </c>
      <c r="E153" t="str">
        <f ca="1">IFERROR(VLOOKUP($A153,shell!$F:$G,2,FALSE),"")</f>
        <v/>
      </c>
      <c r="F153" t="str">
        <f t="shared" ca="1" si="21"/>
        <v>オブジェクト定義</v>
      </c>
      <c r="G153">
        <f ca="1">IF($F153="","",COUNTIF($F$3:$F153,$F153))</f>
        <v>3</v>
      </c>
      <c r="H153" t="str">
        <f ca="1">IF(OR(G153&gt;1,G153=""),"",COUNTIF($G$3:$G153,1))</f>
        <v/>
      </c>
      <c r="I153" t="str">
        <f t="shared" ca="1" si="22"/>
        <v>オブジェクト定義</v>
      </c>
      <c r="K153">
        <f t="shared" si="26"/>
        <v>150</v>
      </c>
      <c r="L153" t="str">
        <f t="shared" ca="1" si="18"/>
        <v>バッチ実行②</v>
      </c>
      <c r="M153" s="2" t="str">
        <f t="shared" ca="1" si="19"/>
        <v>○</v>
      </c>
      <c r="N153" s="2" t="str">
        <f t="shared" ca="1" si="20"/>
        <v/>
      </c>
      <c r="O153" s="2" t="str">
        <f t="shared" ca="1" si="23"/>
        <v/>
      </c>
      <c r="P153" s="2" t="str">
        <f t="shared" ca="1" si="24"/>
        <v/>
      </c>
    </row>
    <row r="154" spans="1:16">
      <c r="A154">
        <f t="shared" si="25"/>
        <v>151</v>
      </c>
      <c r="B154" t="str">
        <f ca="1">IFERROR(VLOOKUP($A154,'vbs,vba'!$G:$H,2,FALSE),"")</f>
        <v>バッチ実行①</v>
      </c>
      <c r="C154" t="str">
        <f ca="1">IFERROR(VLOOKUP($A154,python!$I:$J,2,FALSE),"")</f>
        <v/>
      </c>
      <c r="D154" t="str">
        <f ca="1">IFERROR(VLOOKUP($A154,bat!$F:$G,2,FALSE),"")</f>
        <v/>
      </c>
      <c r="E154" t="str">
        <f ca="1">IFERROR(VLOOKUP($A154,shell!$F:$G,2,FALSE),"")</f>
        <v/>
      </c>
      <c r="F154" t="str">
        <f t="shared" ca="1" si="21"/>
        <v>バッチ実行①</v>
      </c>
      <c r="G154">
        <f ca="1">IF($F154="","",COUNTIF($F$3:$F154,$F154))</f>
        <v>1</v>
      </c>
      <c r="H154">
        <f ca="1">IF(OR(G154&gt;1,G154=""),"",COUNTIF($G$3:$G154,1))</f>
        <v>149</v>
      </c>
      <c r="I154" t="str">
        <f t="shared" ca="1" si="22"/>
        <v>バッチ実行①</v>
      </c>
      <c r="K154">
        <f t="shared" si="26"/>
        <v>151</v>
      </c>
      <c r="L154" t="str">
        <f t="shared" ca="1" si="18"/>
        <v>コマンド実行</v>
      </c>
      <c r="M154" s="2" t="str">
        <f t="shared" ca="1" si="19"/>
        <v>○</v>
      </c>
      <c r="N154" s="2" t="str">
        <f t="shared" ca="1" si="20"/>
        <v>○</v>
      </c>
      <c r="O154" s="2" t="str">
        <f t="shared" ca="1" si="23"/>
        <v/>
      </c>
      <c r="P154" s="2" t="str">
        <f t="shared" ca="1" si="24"/>
        <v>○</v>
      </c>
    </row>
    <row r="155" spans="1:16">
      <c r="A155">
        <f t="shared" si="25"/>
        <v>152</v>
      </c>
      <c r="B155" t="str">
        <f ca="1">IFERROR(VLOOKUP($A155,'vbs,vba'!$G:$H,2,FALSE),"")</f>
        <v>バッチ実行②</v>
      </c>
      <c r="C155" t="str">
        <f ca="1">IFERROR(VLOOKUP($A155,python!$I:$J,2,FALSE),"")</f>
        <v/>
      </c>
      <c r="D155" t="str">
        <f ca="1">IFERROR(VLOOKUP($A155,bat!$F:$G,2,FALSE),"")</f>
        <v/>
      </c>
      <c r="E155" t="str">
        <f ca="1">IFERROR(VLOOKUP($A155,shell!$F:$G,2,FALSE),"")</f>
        <v/>
      </c>
      <c r="F155" t="str">
        <f t="shared" ca="1" si="21"/>
        <v>バッチ実行②</v>
      </c>
      <c r="G155">
        <f ca="1">IF($F155="","",COUNTIF($F$3:$F155,$F155))</f>
        <v>1</v>
      </c>
      <c r="H155">
        <f ca="1">IF(OR(G155&gt;1,G155=""),"",COUNTIF($G$3:$G155,1))</f>
        <v>150</v>
      </c>
      <c r="I155" t="str">
        <f t="shared" ca="1" si="22"/>
        <v>バッチ実行②</v>
      </c>
      <c r="K155">
        <f t="shared" si="26"/>
        <v>152</v>
      </c>
      <c r="L155" t="str">
        <f t="shared" ca="1" si="18"/>
        <v>コマンド実行（管理者権限）</v>
      </c>
      <c r="M155" s="2" t="str">
        <f t="shared" ca="1" si="19"/>
        <v>○</v>
      </c>
      <c r="N155" s="2" t="str">
        <f t="shared" ca="1" si="20"/>
        <v/>
      </c>
      <c r="O155" s="2" t="str">
        <f t="shared" ca="1" si="23"/>
        <v/>
      </c>
      <c r="P155" s="2" t="str">
        <f t="shared" ca="1" si="24"/>
        <v/>
      </c>
    </row>
    <row r="156" spans="1:16">
      <c r="A156">
        <f t="shared" si="25"/>
        <v>153</v>
      </c>
      <c r="B156" t="str">
        <f ca="1">IFERROR(VLOOKUP($A156,'vbs,vba'!$G:$H,2,FALSE),"")</f>
        <v>コマンド実行</v>
      </c>
      <c r="C156" t="str">
        <f ca="1">IFERROR(VLOOKUP($A156,python!$I:$J,2,FALSE),"")</f>
        <v/>
      </c>
      <c r="D156" t="str">
        <f ca="1">IFERROR(VLOOKUP($A156,bat!$F:$G,2,FALSE),"")</f>
        <v/>
      </c>
      <c r="E156" t="str">
        <f ca="1">IFERROR(VLOOKUP($A156,shell!$F:$G,2,FALSE),"")</f>
        <v/>
      </c>
      <c r="F156" t="str">
        <f t="shared" ca="1" si="21"/>
        <v>コマンド実行</v>
      </c>
      <c r="G156">
        <f ca="1">IF($F156="","",COUNTIF($F$3:$F156,$F156))</f>
        <v>1</v>
      </c>
      <c r="H156">
        <f ca="1">IF(OR(G156&gt;1,G156=""),"",COUNTIF($G$3:$G156,1))</f>
        <v>151</v>
      </c>
      <c r="I156" t="str">
        <f t="shared" ca="1" si="22"/>
        <v>コマンド実行</v>
      </c>
      <c r="K156">
        <f t="shared" si="26"/>
        <v>153</v>
      </c>
      <c r="L156" t="str">
        <f t="shared" ca="1" si="18"/>
        <v>レジストリ読込</v>
      </c>
      <c r="M156" s="2" t="str">
        <f t="shared" ca="1" si="19"/>
        <v>○</v>
      </c>
      <c r="N156" s="2" t="str">
        <f t="shared" ca="1" si="20"/>
        <v>○</v>
      </c>
      <c r="O156" s="2" t="str">
        <f t="shared" ca="1" si="23"/>
        <v/>
      </c>
      <c r="P156" s="2" t="str">
        <f t="shared" ca="1" si="24"/>
        <v/>
      </c>
    </row>
    <row r="157" spans="1:16">
      <c r="A157">
        <f t="shared" si="25"/>
        <v>154</v>
      </c>
      <c r="B157" t="str">
        <f ca="1">IFERROR(VLOOKUP($A157,'vbs,vba'!$G:$H,2,FALSE),"")</f>
        <v>コマンド実行（管理者権限）</v>
      </c>
      <c r="C157" t="str">
        <f ca="1">IFERROR(VLOOKUP($A157,python!$I:$J,2,FALSE),"")</f>
        <v/>
      </c>
      <c r="D157" t="str">
        <f ca="1">IFERROR(VLOOKUP($A157,bat!$F:$G,2,FALSE),"")</f>
        <v/>
      </c>
      <c r="E157" t="str">
        <f ca="1">IFERROR(VLOOKUP($A157,shell!$F:$G,2,FALSE),"")</f>
        <v/>
      </c>
      <c r="F157" t="str">
        <f t="shared" ca="1" si="21"/>
        <v>コマンド実行（管理者権限）</v>
      </c>
      <c r="G157">
        <f ca="1">IF($F157="","",COUNTIF($F$3:$F157,$F157))</f>
        <v>1</v>
      </c>
      <c r="H157">
        <f ca="1">IF(OR(G157&gt;1,G157=""),"",COUNTIF($G$3:$G157,1))</f>
        <v>152</v>
      </c>
      <c r="I157" t="str">
        <f t="shared" ca="1" si="22"/>
        <v>コマンド実行（管理者権限）</v>
      </c>
      <c r="K157">
        <f t="shared" si="26"/>
        <v>154</v>
      </c>
      <c r="L157" t="str">
        <f t="shared" ca="1" si="18"/>
        <v>レジストリ書込</v>
      </c>
      <c r="M157" s="2" t="str">
        <f t="shared" ca="1" si="19"/>
        <v>○</v>
      </c>
      <c r="N157" s="2" t="str">
        <f t="shared" ca="1" si="20"/>
        <v>○</v>
      </c>
      <c r="O157" s="2" t="str">
        <f t="shared" ca="1" si="23"/>
        <v/>
      </c>
      <c r="P157" s="2" t="str">
        <f t="shared" ca="1" si="24"/>
        <v/>
      </c>
    </row>
    <row r="158" spans="1:16">
      <c r="A158">
        <f t="shared" si="25"/>
        <v>155</v>
      </c>
      <c r="B158" t="str">
        <f ca="1">IFERROR(VLOOKUP($A158,'vbs,vba'!$G:$H,2,FALSE),"")</f>
        <v>レジストリ読込</v>
      </c>
      <c r="C158" t="str">
        <f ca="1">IFERROR(VLOOKUP($A158,python!$I:$J,2,FALSE),"")</f>
        <v/>
      </c>
      <c r="D158" t="str">
        <f ca="1">IFERROR(VLOOKUP($A158,bat!$F:$G,2,FALSE),"")</f>
        <v/>
      </c>
      <c r="E158" t="str">
        <f ca="1">IFERROR(VLOOKUP($A158,shell!$F:$G,2,FALSE),"")</f>
        <v/>
      </c>
      <c r="F158" t="str">
        <f t="shared" ca="1" si="21"/>
        <v>レジストリ読込</v>
      </c>
      <c r="G158">
        <f ca="1">IF($F158="","",COUNTIF($F$3:$F158,$F158))</f>
        <v>1</v>
      </c>
      <c r="H158">
        <f ca="1">IF(OR(G158&gt;1,G158=""),"",COUNTIF($G$3:$G158,1))</f>
        <v>153</v>
      </c>
      <c r="I158" t="str">
        <f t="shared" ca="1" si="22"/>
        <v>レジストリ読込</v>
      </c>
      <c r="K158">
        <f t="shared" si="26"/>
        <v>155</v>
      </c>
      <c r="L158" t="str">
        <f t="shared" ca="1" si="18"/>
        <v>環境変数 値取得＆更新</v>
      </c>
      <c r="M158" s="2" t="str">
        <f t="shared" ca="1" si="19"/>
        <v>○</v>
      </c>
      <c r="N158" s="2" t="str">
        <f t="shared" ca="1" si="20"/>
        <v/>
      </c>
      <c r="O158" s="2" t="str">
        <f t="shared" ca="1" si="23"/>
        <v/>
      </c>
      <c r="P158" s="2" t="str">
        <f t="shared" ca="1" si="24"/>
        <v/>
      </c>
    </row>
    <row r="159" spans="1:16">
      <c r="A159">
        <f t="shared" si="25"/>
        <v>156</v>
      </c>
      <c r="B159" t="str">
        <f ca="1">IFERROR(VLOOKUP($A159,'vbs,vba'!$G:$H,2,FALSE),"")</f>
        <v>レジストリ書込</v>
      </c>
      <c r="C159" t="str">
        <f ca="1">IFERROR(VLOOKUP($A159,python!$I:$J,2,FALSE),"")</f>
        <v/>
      </c>
      <c r="D159" t="str">
        <f ca="1">IFERROR(VLOOKUP($A159,bat!$F:$G,2,FALSE),"")</f>
        <v/>
      </c>
      <c r="E159" t="str">
        <f ca="1">IFERROR(VLOOKUP($A159,shell!$F:$G,2,FALSE),"")</f>
        <v/>
      </c>
      <c r="F159" t="str">
        <f t="shared" ca="1" si="21"/>
        <v>レジストリ書込</v>
      </c>
      <c r="G159">
        <f ca="1">IF($F159="","",COUNTIF($F$3:$F159,$F159))</f>
        <v>1</v>
      </c>
      <c r="H159">
        <f ca="1">IF(OR(G159&gt;1,G159=""),"",COUNTIF($G$3:$G159,1))</f>
        <v>154</v>
      </c>
      <c r="I159" t="str">
        <f t="shared" ca="1" si="22"/>
        <v>レジストリ書込</v>
      </c>
      <c r="K159">
        <f t="shared" si="26"/>
        <v>156</v>
      </c>
      <c r="L159" t="str">
        <f t="shared" ca="1" si="18"/>
        <v>環境変数 削除</v>
      </c>
      <c r="M159" s="2" t="str">
        <f t="shared" ca="1" si="19"/>
        <v>○</v>
      </c>
      <c r="N159" s="2" t="str">
        <f t="shared" ca="1" si="20"/>
        <v>○</v>
      </c>
      <c r="O159" s="2" t="str">
        <f t="shared" ca="1" si="23"/>
        <v/>
      </c>
      <c r="P159" s="2" t="str">
        <f t="shared" ca="1" si="24"/>
        <v/>
      </c>
    </row>
    <row r="160" spans="1:16">
      <c r="A160">
        <f t="shared" si="25"/>
        <v>157</v>
      </c>
      <c r="B160" t="str">
        <f ca="1">IFERROR(VLOOKUP($A160,'vbs,vba'!$G:$H,2,FALSE),"")</f>
        <v>環境変数 値取得＆更新</v>
      </c>
      <c r="C160" t="str">
        <f ca="1">IFERROR(VLOOKUP($A160,python!$I:$J,2,FALSE),"")</f>
        <v/>
      </c>
      <c r="D160" t="str">
        <f ca="1">IFERROR(VLOOKUP($A160,bat!$F:$G,2,FALSE),"")</f>
        <v/>
      </c>
      <c r="E160" t="str">
        <f ca="1">IFERROR(VLOOKUP($A160,shell!$F:$G,2,FALSE),"")</f>
        <v/>
      </c>
      <c r="F160" t="str">
        <f t="shared" ca="1" si="21"/>
        <v>環境変数 値取得＆更新</v>
      </c>
      <c r="G160">
        <f ca="1">IF($F160="","",COUNTIF($F$3:$F160,$F160))</f>
        <v>1</v>
      </c>
      <c r="H160">
        <f ca="1">IF(OR(G160&gt;1,G160=""),"",COUNTIF($G$3:$G160,1))</f>
        <v>155</v>
      </c>
      <c r="I160" t="str">
        <f t="shared" ca="1" si="22"/>
        <v>環境変数 値取得＆更新</v>
      </c>
      <c r="K160">
        <f t="shared" si="26"/>
        <v>157</v>
      </c>
      <c r="L160" t="str">
        <f t="shared" ca="1" si="18"/>
        <v>特殊フォルダ パス取得</v>
      </c>
      <c r="M160" s="2" t="str">
        <f t="shared" ca="1" si="19"/>
        <v>○</v>
      </c>
      <c r="N160" s="2" t="str">
        <f t="shared" ca="1" si="20"/>
        <v/>
      </c>
      <c r="O160" s="2" t="str">
        <f t="shared" ca="1" si="23"/>
        <v/>
      </c>
      <c r="P160" s="2" t="str">
        <f t="shared" ca="1" si="24"/>
        <v/>
      </c>
    </row>
    <row r="161" spans="1:16">
      <c r="A161">
        <f t="shared" si="25"/>
        <v>158</v>
      </c>
      <c r="B161" t="str">
        <f ca="1">IFERROR(VLOOKUP($A161,'vbs,vba'!$G:$H,2,FALSE),"")</f>
        <v>環境変数 削除</v>
      </c>
      <c r="C161" t="str">
        <f ca="1">IFERROR(VLOOKUP($A161,python!$I:$J,2,FALSE),"")</f>
        <v/>
      </c>
      <c r="D161" t="str">
        <f ca="1">IFERROR(VLOOKUP($A161,bat!$F:$G,2,FALSE),"")</f>
        <v/>
      </c>
      <c r="E161" t="str">
        <f ca="1">IFERROR(VLOOKUP($A161,shell!$F:$G,2,FALSE),"")</f>
        <v/>
      </c>
      <c r="F161" t="str">
        <f t="shared" ca="1" si="21"/>
        <v>環境変数 削除</v>
      </c>
      <c r="G161">
        <f ca="1">IF($F161="","",COUNTIF($F$3:$F161,$F161))</f>
        <v>1</v>
      </c>
      <c r="H161">
        <f ca="1">IF(OR(G161&gt;1,G161=""),"",COUNTIF($G$3:$G161,1))</f>
        <v>156</v>
      </c>
      <c r="I161" t="str">
        <f t="shared" ca="1" si="22"/>
        <v>環境変数 削除</v>
      </c>
      <c r="K161">
        <f t="shared" si="26"/>
        <v>158</v>
      </c>
      <c r="L161" t="str">
        <f t="shared" ca="1" si="18"/>
        <v>ショートカット 作成</v>
      </c>
      <c r="M161" s="2" t="str">
        <f t="shared" ca="1" si="19"/>
        <v>○</v>
      </c>
      <c r="N161" s="2" t="str">
        <f t="shared" ca="1" si="20"/>
        <v>○</v>
      </c>
      <c r="O161" s="2" t="str">
        <f t="shared" ca="1" si="23"/>
        <v/>
      </c>
      <c r="P161" s="2" t="str">
        <f t="shared" ca="1" si="24"/>
        <v/>
      </c>
    </row>
    <row r="162" spans="1:16">
      <c r="A162">
        <f t="shared" si="25"/>
        <v>159</v>
      </c>
      <c r="B162" t="str">
        <f ca="1">IFERROR(VLOOKUP($A162,'vbs,vba'!$G:$H,2,FALSE),"")</f>
        <v>特殊フォルダ パス取得</v>
      </c>
      <c r="C162" t="str">
        <f ca="1">IFERROR(VLOOKUP($A162,python!$I:$J,2,FALSE),"")</f>
        <v/>
      </c>
      <c r="D162" t="str">
        <f ca="1">IFERROR(VLOOKUP($A162,bat!$F:$G,2,FALSE),"")</f>
        <v/>
      </c>
      <c r="E162" t="str">
        <f ca="1">IFERROR(VLOOKUP($A162,shell!$F:$G,2,FALSE),"")</f>
        <v/>
      </c>
      <c r="F162" t="str">
        <f t="shared" ca="1" si="21"/>
        <v>特殊フォルダ パス取得</v>
      </c>
      <c r="G162">
        <f ca="1">IF($F162="","",COUNTIF($F$3:$F162,$F162))</f>
        <v>1</v>
      </c>
      <c r="H162">
        <f ca="1">IF(OR(G162&gt;1,G162=""),"",COUNTIF($G$3:$G162,1))</f>
        <v>157</v>
      </c>
      <c r="I162" t="str">
        <f t="shared" ca="1" si="22"/>
        <v>特殊フォルダ パス取得</v>
      </c>
      <c r="K162">
        <f t="shared" si="26"/>
        <v>159</v>
      </c>
      <c r="L162" t="str">
        <f t="shared" ca="1" si="18"/>
        <v>ショートカット 指示先パス取得</v>
      </c>
      <c r="M162" s="2" t="str">
        <f t="shared" ca="1" si="19"/>
        <v>○</v>
      </c>
      <c r="N162" s="2" t="str">
        <f t="shared" ca="1" si="20"/>
        <v>○</v>
      </c>
      <c r="O162" s="2" t="str">
        <f t="shared" ca="1" si="23"/>
        <v/>
      </c>
      <c r="P162" s="2" t="str">
        <f t="shared" ca="1" si="24"/>
        <v/>
      </c>
    </row>
    <row r="163" spans="1:16">
      <c r="A163">
        <f t="shared" si="25"/>
        <v>160</v>
      </c>
      <c r="B163" t="str">
        <f ca="1">IFERROR(VLOOKUP($A163,'vbs,vba'!$G:$H,2,FALSE),"")</f>
        <v>ショートカット 作成</v>
      </c>
      <c r="C163" t="str">
        <f ca="1">IFERROR(VLOOKUP($A163,python!$I:$J,2,FALSE),"")</f>
        <v/>
      </c>
      <c r="D163" t="str">
        <f ca="1">IFERROR(VLOOKUP($A163,bat!$F:$G,2,FALSE),"")</f>
        <v/>
      </c>
      <c r="E163" t="str">
        <f ca="1">IFERROR(VLOOKUP($A163,shell!$F:$G,2,FALSE),"")</f>
        <v/>
      </c>
      <c r="F163" t="str">
        <f t="shared" ca="1" si="21"/>
        <v>ショートカット 作成</v>
      </c>
      <c r="G163">
        <f ca="1">IF($F163="","",COUNTIF($F$3:$F163,$F163))</f>
        <v>1</v>
      </c>
      <c r="H163">
        <f ca="1">IF(OR(G163&gt;1,G163=""),"",COUNTIF($G$3:$G163,1))</f>
        <v>158</v>
      </c>
      <c r="I163" t="str">
        <f t="shared" ca="1" si="22"/>
        <v>ショートカット 作成</v>
      </c>
      <c r="K163">
        <f t="shared" si="26"/>
        <v>160</v>
      </c>
      <c r="L163" t="str">
        <f t="shared" ca="1" si="18"/>
        <v>ショートカット 指示先パス更新</v>
      </c>
      <c r="M163" s="2" t="str">
        <f t="shared" ca="1" si="19"/>
        <v>○</v>
      </c>
      <c r="N163" s="2" t="str">
        <f t="shared" ca="1" si="20"/>
        <v>○</v>
      </c>
      <c r="O163" s="2" t="str">
        <f t="shared" ca="1" si="23"/>
        <v/>
      </c>
      <c r="P163" s="2" t="str">
        <f t="shared" ca="1" si="24"/>
        <v/>
      </c>
    </row>
    <row r="164" spans="1:16">
      <c r="A164">
        <f t="shared" si="25"/>
        <v>161</v>
      </c>
      <c r="B164" t="str">
        <f ca="1">IFERROR(VLOOKUP($A164,'vbs,vba'!$G:$H,2,FALSE),"")</f>
        <v>ショートカット 指示先パス取得</v>
      </c>
      <c r="C164" t="str">
        <f ca="1">IFERROR(VLOOKUP($A164,python!$I:$J,2,FALSE),"")</f>
        <v/>
      </c>
      <c r="D164" t="str">
        <f ca="1">IFERROR(VLOOKUP($A164,bat!$F:$G,2,FALSE),"")</f>
        <v/>
      </c>
      <c r="E164" t="str">
        <f ca="1">IFERROR(VLOOKUP($A164,shell!$F:$G,2,FALSE),"")</f>
        <v/>
      </c>
      <c r="F164" t="str">
        <f t="shared" ca="1" si="21"/>
        <v>ショートカット 指示先パス取得</v>
      </c>
      <c r="G164">
        <f ca="1">IF($F164="","",COUNTIF($F$3:$F164,$F164))</f>
        <v>1</v>
      </c>
      <c r="H164">
        <f ca="1">IF(OR(G164&gt;1,G164=""),"",COUNTIF($G$3:$G164,1))</f>
        <v>159</v>
      </c>
      <c r="I164" t="str">
        <f t="shared" ca="1" si="22"/>
        <v>ショートカット 指示先パス取得</v>
      </c>
      <c r="K164">
        <f t="shared" si="26"/>
        <v>161</v>
      </c>
      <c r="L164" t="str">
        <f t="shared" ca="1" si="18"/>
        <v>ショートカット コメント更新</v>
      </c>
      <c r="M164" s="2" t="str">
        <f t="shared" ca="1" si="19"/>
        <v>○</v>
      </c>
      <c r="N164" s="2" t="str">
        <f t="shared" ca="1" si="20"/>
        <v>○</v>
      </c>
      <c r="O164" s="2" t="str">
        <f t="shared" ca="1" si="23"/>
        <v/>
      </c>
      <c r="P164" s="2" t="str">
        <f t="shared" ca="1" si="24"/>
        <v/>
      </c>
    </row>
    <row r="165" spans="1:16">
      <c r="A165">
        <f t="shared" si="25"/>
        <v>162</v>
      </c>
      <c r="B165" t="str">
        <f ca="1">IFERROR(VLOOKUP($A165,'vbs,vba'!$G:$H,2,FALSE),"")</f>
        <v>ショートカット 指示先パス更新</v>
      </c>
      <c r="C165" t="str">
        <f ca="1">IFERROR(VLOOKUP($A165,python!$I:$J,2,FALSE),"")</f>
        <v/>
      </c>
      <c r="D165" t="str">
        <f ca="1">IFERROR(VLOOKUP($A165,bat!$F:$G,2,FALSE),"")</f>
        <v/>
      </c>
      <c r="E165" t="str">
        <f ca="1">IFERROR(VLOOKUP($A165,shell!$F:$G,2,FALSE),"")</f>
        <v/>
      </c>
      <c r="F165" t="str">
        <f t="shared" ca="1" si="21"/>
        <v>ショートカット 指示先パス更新</v>
      </c>
      <c r="G165">
        <f ca="1">IF($F165="","",COUNTIF($F$3:$F165,$F165))</f>
        <v>1</v>
      </c>
      <c r="H165">
        <f ca="1">IF(OR(G165&gt;1,G165=""),"",COUNTIF($G$3:$G165,1))</f>
        <v>160</v>
      </c>
      <c r="I165" t="str">
        <f t="shared" ca="1" si="22"/>
        <v>ショートカット 指示先パス更新</v>
      </c>
      <c r="K165">
        <f t="shared" si="26"/>
        <v>162</v>
      </c>
      <c r="L165" t="str">
        <f t="shared" ca="1" si="18"/>
        <v>ショートカット 引数更新</v>
      </c>
      <c r="M165" s="2" t="str">
        <f t="shared" ca="1" si="19"/>
        <v>○</v>
      </c>
      <c r="N165" s="2" t="str">
        <f t="shared" ca="1" si="20"/>
        <v>○</v>
      </c>
      <c r="O165" s="2" t="str">
        <f t="shared" ca="1" si="23"/>
        <v/>
      </c>
      <c r="P165" s="2" t="str">
        <f t="shared" ca="1" si="24"/>
        <v/>
      </c>
    </row>
    <row r="166" spans="1:16">
      <c r="A166">
        <f t="shared" si="25"/>
        <v>163</v>
      </c>
      <c r="B166" t="str">
        <f ca="1">IFERROR(VLOOKUP($A166,'vbs,vba'!$G:$H,2,FALSE),"")</f>
        <v>ショートカット コメント更新</v>
      </c>
      <c r="C166" t="str">
        <f ca="1">IFERROR(VLOOKUP($A166,python!$I:$J,2,FALSE),"")</f>
        <v/>
      </c>
      <c r="D166" t="str">
        <f ca="1">IFERROR(VLOOKUP($A166,bat!$F:$G,2,FALSE),"")</f>
        <v/>
      </c>
      <c r="E166" t="str">
        <f ca="1">IFERROR(VLOOKUP($A166,shell!$F:$G,2,FALSE),"")</f>
        <v/>
      </c>
      <c r="F166" t="str">
        <f t="shared" ca="1" si="21"/>
        <v>ショートカット コメント更新</v>
      </c>
      <c r="G166">
        <f ca="1">IF($F166="","",COUNTIF($F$3:$F166,$F166))</f>
        <v>1</v>
      </c>
      <c r="H166">
        <f ca="1">IF(OR(G166&gt;1,G166=""),"",COUNTIF($G$3:$G166,1))</f>
        <v>161</v>
      </c>
      <c r="I166" t="str">
        <f t="shared" ca="1" si="22"/>
        <v>ショートカット コメント更新</v>
      </c>
      <c r="K166">
        <f t="shared" si="26"/>
        <v>163</v>
      </c>
      <c r="L166" t="str">
        <f t="shared" ca="1" si="18"/>
        <v>ポップアップ出力</v>
      </c>
      <c r="M166" s="2" t="str">
        <f t="shared" ca="1" si="19"/>
        <v>○</v>
      </c>
      <c r="N166" s="2" t="str">
        <f t="shared" ca="1" si="20"/>
        <v>○</v>
      </c>
      <c r="O166" s="2" t="str">
        <f t="shared" ca="1" si="23"/>
        <v/>
      </c>
      <c r="P166" s="2" t="str">
        <f t="shared" ca="1" si="24"/>
        <v/>
      </c>
    </row>
    <row r="167" spans="1:16">
      <c r="A167">
        <f t="shared" si="25"/>
        <v>164</v>
      </c>
      <c r="B167" t="str">
        <f ca="1">IFERROR(VLOOKUP($A167,'vbs,vba'!$G:$H,2,FALSE),"")</f>
        <v>ショートカット 引数更新</v>
      </c>
      <c r="C167" t="str">
        <f ca="1">IFERROR(VLOOKUP($A167,python!$I:$J,2,FALSE),"")</f>
        <v/>
      </c>
      <c r="D167" t="str">
        <f ca="1">IFERROR(VLOOKUP($A167,bat!$F:$G,2,FALSE),"")</f>
        <v/>
      </c>
      <c r="E167" t="str">
        <f ca="1">IFERROR(VLOOKUP($A167,shell!$F:$G,2,FALSE),"")</f>
        <v/>
      </c>
      <c r="F167" t="str">
        <f t="shared" ca="1" si="21"/>
        <v>ショートカット 引数更新</v>
      </c>
      <c r="G167">
        <f ca="1">IF($F167="","",COUNTIF($F$3:$F167,$F167))</f>
        <v>1</v>
      </c>
      <c r="H167">
        <f ca="1">IF(OR(G167&gt;1,G167=""),"",COUNTIF($G$3:$G167,1))</f>
        <v>162</v>
      </c>
      <c r="I167" t="str">
        <f t="shared" ca="1" si="22"/>
        <v>ショートカット 引数更新</v>
      </c>
      <c r="K167">
        <f t="shared" si="26"/>
        <v>164</v>
      </c>
      <c r="L167" t="str">
        <f t="shared" ca="1" si="18"/>
        <v>クリップボード 書き込み</v>
      </c>
      <c r="M167" s="2" t="str">
        <f t="shared" ca="1" si="19"/>
        <v>○</v>
      </c>
      <c r="N167" s="2" t="str">
        <f t="shared" ca="1" si="20"/>
        <v>○</v>
      </c>
      <c r="O167" s="2" t="str">
        <f t="shared" ca="1" si="23"/>
        <v/>
      </c>
      <c r="P167" s="2" t="str">
        <f t="shared" ca="1" si="24"/>
        <v/>
      </c>
    </row>
    <row r="168" spans="1:16">
      <c r="A168">
        <f t="shared" si="25"/>
        <v>165</v>
      </c>
      <c r="B168" t="str">
        <f ca="1">IFERROR(VLOOKUP($A168,'vbs,vba'!$G:$H,2,FALSE),"")</f>
        <v>ポップアップ出力</v>
      </c>
      <c r="C168" t="str">
        <f ca="1">IFERROR(VLOOKUP($A168,python!$I:$J,2,FALSE),"")</f>
        <v/>
      </c>
      <c r="D168" t="str">
        <f ca="1">IFERROR(VLOOKUP($A168,bat!$F:$G,2,FALSE),"")</f>
        <v/>
      </c>
      <c r="E168" t="str">
        <f ca="1">IFERROR(VLOOKUP($A168,shell!$F:$G,2,FALSE),"")</f>
        <v/>
      </c>
      <c r="F168" t="str">
        <f t="shared" ca="1" si="21"/>
        <v>ポップアップ出力</v>
      </c>
      <c r="G168">
        <f ca="1">IF($F168="","",COUNTIF($F$3:$F168,$F168))</f>
        <v>1</v>
      </c>
      <c r="H168">
        <f ca="1">IF(OR(G168&gt;1,G168=""),"",COUNTIF($G$3:$G168,1))</f>
        <v>163</v>
      </c>
      <c r="I168" t="str">
        <f t="shared" ca="1" si="22"/>
        <v>ポップアップ出力</v>
      </c>
      <c r="K168">
        <f t="shared" si="26"/>
        <v>165</v>
      </c>
      <c r="L168" t="str">
        <f t="shared" ca="1" si="18"/>
        <v>クリップボード 取得</v>
      </c>
      <c r="M168" s="2" t="str">
        <f t="shared" ca="1" si="19"/>
        <v>○</v>
      </c>
      <c r="N168" s="2" t="str">
        <f t="shared" ca="1" si="20"/>
        <v>○</v>
      </c>
      <c r="O168" s="2" t="str">
        <f t="shared" ca="1" si="23"/>
        <v/>
      </c>
      <c r="P168" s="2" t="str">
        <f t="shared" ca="1" si="24"/>
        <v/>
      </c>
    </row>
    <row r="169" spans="1:16">
      <c r="A169">
        <f t="shared" si="25"/>
        <v>166</v>
      </c>
      <c r="B169" t="str">
        <f ca="1">IFERROR(VLOOKUP($A169,'vbs,vba'!$G:$H,2,FALSE),"")</f>
        <v>クリップボード 書き込み</v>
      </c>
      <c r="C169" t="str">
        <f ca="1">IFERROR(VLOOKUP($A169,python!$I:$J,2,FALSE),"")</f>
        <v/>
      </c>
      <c r="D169" t="str">
        <f ca="1">IFERROR(VLOOKUP($A169,bat!$F:$G,2,FALSE),"")</f>
        <v/>
      </c>
      <c r="E169" t="str">
        <f ca="1">IFERROR(VLOOKUP($A169,shell!$F:$G,2,FALSE),"")</f>
        <v/>
      </c>
      <c r="F169" t="str">
        <f t="shared" ca="1" si="21"/>
        <v>クリップボード 書き込み</v>
      </c>
      <c r="G169">
        <f ca="1">IF($F169="","",COUNTIF($F$3:$F169,$F169))</f>
        <v>1</v>
      </c>
      <c r="H169">
        <f ca="1">IF(OR(G169&gt;1,G169=""),"",COUNTIF($G$3:$G169,1))</f>
        <v>164</v>
      </c>
      <c r="I169" t="str">
        <f t="shared" ca="1" si="22"/>
        <v>クリップボード 書き込み</v>
      </c>
      <c r="K169">
        <f t="shared" si="26"/>
        <v>166</v>
      </c>
      <c r="L169" t="str">
        <f t="shared" ca="1" si="18"/>
        <v>ファイル コピー（自ブック）</v>
      </c>
      <c r="M169" s="2" t="str">
        <f t="shared" ca="1" si="19"/>
        <v>○</v>
      </c>
      <c r="N169" s="2" t="str">
        <f t="shared" ca="1" si="20"/>
        <v/>
      </c>
      <c r="O169" s="2" t="str">
        <f t="shared" ca="1" si="23"/>
        <v/>
      </c>
      <c r="P169" s="2" t="str">
        <f t="shared" ca="1" si="24"/>
        <v/>
      </c>
    </row>
    <row r="170" spans="1:16">
      <c r="A170">
        <f t="shared" si="25"/>
        <v>167</v>
      </c>
      <c r="B170" t="str">
        <f ca="1">IFERROR(VLOOKUP($A170,'vbs,vba'!$G:$H,2,FALSE),"")</f>
        <v>クリップボード 取得</v>
      </c>
      <c r="C170" t="str">
        <f ca="1">IFERROR(VLOOKUP($A170,python!$I:$J,2,FALSE),"")</f>
        <v/>
      </c>
      <c r="D170" t="str">
        <f ca="1">IFERROR(VLOOKUP($A170,bat!$F:$G,2,FALSE),"")</f>
        <v/>
      </c>
      <c r="E170" t="str">
        <f ca="1">IFERROR(VLOOKUP($A170,shell!$F:$G,2,FALSE),"")</f>
        <v/>
      </c>
      <c r="F170" t="str">
        <f t="shared" ca="1" si="21"/>
        <v>クリップボード 取得</v>
      </c>
      <c r="G170">
        <f ca="1">IF($F170="","",COUNTIF($F$3:$F170,$F170))</f>
        <v>1</v>
      </c>
      <c r="H170">
        <f ca="1">IF(OR(G170&gt;1,G170=""),"",COUNTIF($G$3:$G170,1))</f>
        <v>165</v>
      </c>
      <c r="I170" t="str">
        <f t="shared" ca="1" si="22"/>
        <v>クリップボード 取得</v>
      </c>
      <c r="K170">
        <f t="shared" si="26"/>
        <v>167</v>
      </c>
      <c r="L170" t="str">
        <f t="shared" ca="1" si="18"/>
        <v>ファイル コピー①</v>
      </c>
      <c r="M170" s="2" t="str">
        <f t="shared" ca="1" si="19"/>
        <v>○</v>
      </c>
      <c r="N170" s="2" t="str">
        <f t="shared" ca="1" si="20"/>
        <v/>
      </c>
      <c r="O170" s="2" t="str">
        <f t="shared" ca="1" si="23"/>
        <v/>
      </c>
      <c r="P170" s="2" t="str">
        <f t="shared" ca="1" si="24"/>
        <v/>
      </c>
    </row>
    <row r="171" spans="1:16">
      <c r="A171">
        <f t="shared" si="25"/>
        <v>168</v>
      </c>
      <c r="B171" t="str">
        <f ca="1">IFERROR(VLOOKUP($A171,'vbs,vba'!$G:$H,2,FALSE),"")</f>
        <v>オブジェクト定義</v>
      </c>
      <c r="C171" t="str">
        <f ca="1">IFERROR(VLOOKUP($A171,python!$I:$J,2,FALSE),"")</f>
        <v/>
      </c>
      <c r="D171" t="str">
        <f ca="1">IFERROR(VLOOKUP($A171,bat!$F:$G,2,FALSE),"")</f>
        <v/>
      </c>
      <c r="E171" t="str">
        <f ca="1">IFERROR(VLOOKUP($A171,shell!$F:$G,2,FALSE),"")</f>
        <v/>
      </c>
      <c r="F171" t="str">
        <f t="shared" ca="1" si="21"/>
        <v>オブジェクト定義</v>
      </c>
      <c r="G171">
        <f ca="1">IF($F171="","",COUNTIF($F$3:$F171,$F171))</f>
        <v>4</v>
      </c>
      <c r="H171" t="str">
        <f ca="1">IF(OR(G171&gt;1,G171=""),"",COUNTIF($G$3:$G171,1))</f>
        <v/>
      </c>
      <c r="I171" t="str">
        <f t="shared" ca="1" si="22"/>
        <v>オブジェクト定義</v>
      </c>
      <c r="K171">
        <f t="shared" si="26"/>
        <v>168</v>
      </c>
      <c r="L171" t="str">
        <f t="shared" ca="1" si="18"/>
        <v>ファイル コピー②</v>
      </c>
      <c r="M171" s="2" t="str">
        <f t="shared" ca="1" si="19"/>
        <v>○</v>
      </c>
      <c r="N171" s="2" t="str">
        <f t="shared" ca="1" si="20"/>
        <v/>
      </c>
      <c r="O171" s="2" t="str">
        <f t="shared" ca="1" si="23"/>
        <v/>
      </c>
      <c r="P171" s="2" t="str">
        <f t="shared" ca="1" si="24"/>
        <v/>
      </c>
    </row>
    <row r="172" spans="1:16">
      <c r="A172">
        <f t="shared" si="25"/>
        <v>169</v>
      </c>
      <c r="B172" t="str">
        <f ca="1">IFERROR(VLOOKUP($A172,'vbs,vba'!$G:$H,2,FALSE),"")</f>
        <v>ファイル コピー（自ブック）</v>
      </c>
      <c r="C172" t="str">
        <f ca="1">IFERROR(VLOOKUP($A172,python!$I:$J,2,FALSE),"")</f>
        <v/>
      </c>
      <c r="D172" t="str">
        <f ca="1">IFERROR(VLOOKUP($A172,bat!$F:$G,2,FALSE),"")</f>
        <v/>
      </c>
      <c r="E172" t="str">
        <f ca="1">IFERROR(VLOOKUP($A172,shell!$F:$G,2,FALSE),"")</f>
        <v/>
      </c>
      <c r="F172" t="str">
        <f t="shared" ca="1" si="21"/>
        <v>ファイル コピー（自ブック）</v>
      </c>
      <c r="G172">
        <f ca="1">IF($F172="","",COUNTIF($F$3:$F172,$F172))</f>
        <v>1</v>
      </c>
      <c r="H172">
        <f ca="1">IF(OR(G172&gt;1,G172=""),"",COUNTIF($G$3:$G172,1))</f>
        <v>166</v>
      </c>
      <c r="I172" t="str">
        <f t="shared" ca="1" si="22"/>
        <v>ファイル コピー（自ブック）</v>
      </c>
      <c r="K172">
        <f t="shared" si="26"/>
        <v>169</v>
      </c>
      <c r="L172" t="str">
        <f t="shared" ca="1" si="18"/>
        <v>ファイル 削除</v>
      </c>
      <c r="M172" s="2" t="str">
        <f t="shared" ca="1" si="19"/>
        <v>○</v>
      </c>
      <c r="N172" s="2" t="str">
        <f t="shared" ca="1" si="20"/>
        <v>○</v>
      </c>
      <c r="O172" s="2" t="str">
        <f t="shared" ca="1" si="23"/>
        <v>○</v>
      </c>
      <c r="P172" s="2" t="str">
        <f t="shared" ca="1" si="24"/>
        <v/>
      </c>
    </row>
    <row r="173" spans="1:16">
      <c r="A173">
        <f t="shared" si="25"/>
        <v>170</v>
      </c>
      <c r="B173" t="str">
        <f ca="1">IFERROR(VLOOKUP($A173,'vbs,vba'!$G:$H,2,FALSE),"")</f>
        <v>ファイル コピー①</v>
      </c>
      <c r="C173" t="str">
        <f ca="1">IFERROR(VLOOKUP($A173,python!$I:$J,2,FALSE),"")</f>
        <v/>
      </c>
      <c r="D173" t="str">
        <f ca="1">IFERROR(VLOOKUP($A173,bat!$F:$G,2,FALSE),"")</f>
        <v/>
      </c>
      <c r="E173" t="str">
        <f ca="1">IFERROR(VLOOKUP($A173,shell!$F:$G,2,FALSE),"")</f>
        <v/>
      </c>
      <c r="F173" t="str">
        <f t="shared" ca="1" si="21"/>
        <v>ファイル コピー①</v>
      </c>
      <c r="G173">
        <f ca="1">IF($F173="","",COUNTIF($F$3:$F173,$F173))</f>
        <v>1</v>
      </c>
      <c r="H173">
        <f ca="1">IF(OR(G173&gt;1,G173=""),"",COUNTIF($G$3:$G173,1))</f>
        <v>167</v>
      </c>
      <c r="I173" t="str">
        <f t="shared" ca="1" si="22"/>
        <v>ファイル コピー①</v>
      </c>
      <c r="K173">
        <f t="shared" si="26"/>
        <v>170</v>
      </c>
      <c r="L173" t="str">
        <f t="shared" ca="1" si="18"/>
        <v>ファイル 移動/リネーム</v>
      </c>
      <c r="M173" s="2" t="str">
        <f t="shared" ca="1" si="19"/>
        <v>○</v>
      </c>
      <c r="N173" s="2" t="str">
        <f t="shared" ca="1" si="20"/>
        <v>○</v>
      </c>
      <c r="O173" s="2" t="str">
        <f t="shared" ca="1" si="23"/>
        <v/>
      </c>
      <c r="P173" s="2" t="str">
        <f t="shared" ca="1" si="24"/>
        <v/>
      </c>
    </row>
    <row r="174" spans="1:16">
      <c r="A174">
        <f t="shared" si="25"/>
        <v>171</v>
      </c>
      <c r="B174" t="str">
        <f ca="1">IFERROR(VLOOKUP($A174,'vbs,vba'!$G:$H,2,FALSE),"")</f>
        <v>ファイル コピー②</v>
      </c>
      <c r="C174" t="str">
        <f ca="1">IFERROR(VLOOKUP($A174,python!$I:$J,2,FALSE),"")</f>
        <v/>
      </c>
      <c r="D174" t="str">
        <f ca="1">IFERROR(VLOOKUP($A174,bat!$F:$G,2,FALSE),"")</f>
        <v/>
      </c>
      <c r="E174" t="str">
        <f ca="1">IFERROR(VLOOKUP($A174,shell!$F:$G,2,FALSE),"")</f>
        <v/>
      </c>
      <c r="F174" t="str">
        <f t="shared" ca="1" si="21"/>
        <v>ファイル コピー②</v>
      </c>
      <c r="G174">
        <f ca="1">IF($F174="","",COUNTIF($F$3:$F174,$F174))</f>
        <v>1</v>
      </c>
      <c r="H174">
        <f ca="1">IF(OR(G174&gt;1,G174=""),"",COUNTIF($G$3:$G174,1))</f>
        <v>168</v>
      </c>
      <c r="I174" t="str">
        <f t="shared" ca="1" si="22"/>
        <v>ファイル コピー②</v>
      </c>
      <c r="K174">
        <f t="shared" si="26"/>
        <v>171</v>
      </c>
      <c r="L174" t="str">
        <f t="shared" ca="1" si="18"/>
        <v>ファイル 存在確認①</v>
      </c>
      <c r="M174" s="2" t="str">
        <f t="shared" ca="1" si="19"/>
        <v>○</v>
      </c>
      <c r="N174" s="2" t="str">
        <f t="shared" ca="1" si="20"/>
        <v/>
      </c>
      <c r="O174" s="2" t="str">
        <f t="shared" ca="1" si="23"/>
        <v/>
      </c>
      <c r="P174" s="2" t="str">
        <f t="shared" ca="1" si="24"/>
        <v/>
      </c>
    </row>
    <row r="175" spans="1:16">
      <c r="A175">
        <f t="shared" si="25"/>
        <v>172</v>
      </c>
      <c r="B175" t="str">
        <f ca="1">IFERROR(VLOOKUP($A175,'vbs,vba'!$G:$H,2,FALSE),"")</f>
        <v>ファイル 削除</v>
      </c>
      <c r="C175" t="str">
        <f ca="1">IFERROR(VLOOKUP($A175,python!$I:$J,2,FALSE),"")</f>
        <v/>
      </c>
      <c r="D175" t="str">
        <f ca="1">IFERROR(VLOOKUP($A175,bat!$F:$G,2,FALSE),"")</f>
        <v/>
      </c>
      <c r="E175" t="str">
        <f ca="1">IFERROR(VLOOKUP($A175,shell!$F:$G,2,FALSE),"")</f>
        <v/>
      </c>
      <c r="F175" t="str">
        <f t="shared" ca="1" si="21"/>
        <v>ファイル 削除</v>
      </c>
      <c r="G175">
        <f ca="1">IF($F175="","",COUNTIF($F$3:$F175,$F175))</f>
        <v>1</v>
      </c>
      <c r="H175">
        <f ca="1">IF(OR(G175&gt;1,G175=""),"",COUNTIF($G$3:$G175,1))</f>
        <v>169</v>
      </c>
      <c r="I175" t="str">
        <f t="shared" ca="1" si="22"/>
        <v>ファイル 削除</v>
      </c>
      <c r="K175">
        <f t="shared" si="26"/>
        <v>172</v>
      </c>
      <c r="L175" t="str">
        <f t="shared" ca="1" si="18"/>
        <v>ファイル 存在確認②</v>
      </c>
      <c r="M175" s="2" t="str">
        <f t="shared" ca="1" si="19"/>
        <v>○</v>
      </c>
      <c r="N175" s="2" t="str">
        <f t="shared" ca="1" si="20"/>
        <v/>
      </c>
      <c r="O175" s="2" t="str">
        <f t="shared" ca="1" si="23"/>
        <v/>
      </c>
      <c r="P175" s="2" t="str">
        <f t="shared" ca="1" si="24"/>
        <v/>
      </c>
    </row>
    <row r="176" spans="1:16">
      <c r="A176">
        <f t="shared" si="25"/>
        <v>173</v>
      </c>
      <c r="B176" t="str">
        <f ca="1">IFERROR(VLOOKUP($A176,'vbs,vba'!$G:$H,2,FALSE),"")</f>
        <v>ファイル 移動/リネーム</v>
      </c>
      <c r="C176" t="str">
        <f ca="1">IFERROR(VLOOKUP($A176,python!$I:$J,2,FALSE),"")</f>
        <v/>
      </c>
      <c r="D176" t="str">
        <f ca="1">IFERROR(VLOOKUP($A176,bat!$F:$G,2,FALSE),"")</f>
        <v/>
      </c>
      <c r="E176" t="str">
        <f ca="1">IFERROR(VLOOKUP($A176,shell!$F:$G,2,FALSE),"")</f>
        <v/>
      </c>
      <c r="F176" t="str">
        <f t="shared" ca="1" si="21"/>
        <v>ファイル 移動/リネーム</v>
      </c>
      <c r="G176">
        <f ca="1">IF($F176="","",COUNTIF($F$3:$F176,$F176))</f>
        <v>1</v>
      </c>
      <c r="H176">
        <f ca="1">IF(OR(G176&gt;1,G176=""),"",COUNTIF($G$3:$G176,1))</f>
        <v>170</v>
      </c>
      <c r="I176" t="str">
        <f t="shared" ca="1" si="22"/>
        <v>ファイル 移動/リネーム</v>
      </c>
      <c r="K176">
        <f t="shared" si="26"/>
        <v>173</v>
      </c>
      <c r="L176" t="str">
        <f t="shared" ca="1" si="18"/>
        <v>ファイル 情報取得</v>
      </c>
      <c r="M176" s="2" t="str">
        <f t="shared" ca="1" si="19"/>
        <v>○</v>
      </c>
      <c r="N176" s="2" t="str">
        <f t="shared" ca="1" si="20"/>
        <v/>
      </c>
      <c r="O176" s="2" t="str">
        <f t="shared" ca="1" si="23"/>
        <v/>
      </c>
      <c r="P176" s="2" t="str">
        <f t="shared" ca="1" si="24"/>
        <v/>
      </c>
    </row>
    <row r="177" spans="1:16">
      <c r="A177">
        <f t="shared" si="25"/>
        <v>174</v>
      </c>
      <c r="B177" t="str">
        <f ca="1">IFERROR(VLOOKUP($A177,'vbs,vba'!$G:$H,2,FALSE),"")</f>
        <v>ファイル 存在確認①</v>
      </c>
      <c r="C177" t="str">
        <f ca="1">IFERROR(VLOOKUP($A177,python!$I:$J,2,FALSE),"")</f>
        <v/>
      </c>
      <c r="D177" t="str">
        <f ca="1">IFERROR(VLOOKUP($A177,bat!$F:$G,2,FALSE),"")</f>
        <v/>
      </c>
      <c r="E177" t="str">
        <f ca="1">IFERROR(VLOOKUP($A177,shell!$F:$G,2,FALSE),"")</f>
        <v/>
      </c>
      <c r="F177" t="str">
        <f t="shared" ca="1" si="21"/>
        <v>ファイル 存在確認①</v>
      </c>
      <c r="G177">
        <f ca="1">IF($F177="","",COUNTIF($F$3:$F177,$F177))</f>
        <v>1</v>
      </c>
      <c r="H177">
        <f ca="1">IF(OR(G177&gt;1,G177=""),"",COUNTIF($G$3:$G177,1))</f>
        <v>171</v>
      </c>
      <c r="I177" t="str">
        <f t="shared" ca="1" si="22"/>
        <v>ファイル 存在確認①</v>
      </c>
      <c r="K177">
        <f t="shared" si="26"/>
        <v>174</v>
      </c>
      <c r="L177" t="str">
        <f t="shared" ca="1" si="18"/>
        <v>ファイル 隠しファイル化</v>
      </c>
      <c r="M177" s="2" t="str">
        <f t="shared" ca="1" si="19"/>
        <v>○</v>
      </c>
      <c r="N177" s="2" t="str">
        <f t="shared" ca="1" si="20"/>
        <v>○</v>
      </c>
      <c r="O177" s="2" t="str">
        <f t="shared" ca="1" si="23"/>
        <v/>
      </c>
      <c r="P177" s="2" t="str">
        <f t="shared" ca="1" si="24"/>
        <v/>
      </c>
    </row>
    <row r="178" spans="1:16">
      <c r="A178">
        <f t="shared" si="25"/>
        <v>175</v>
      </c>
      <c r="B178" t="str">
        <f ca="1">IFERROR(VLOOKUP($A178,'vbs,vba'!$G:$H,2,FALSE),"")</f>
        <v>ファイル 存在確認②</v>
      </c>
      <c r="C178" t="str">
        <f ca="1">IFERROR(VLOOKUP($A178,python!$I:$J,2,FALSE),"")</f>
        <v/>
      </c>
      <c r="D178" t="str">
        <f ca="1">IFERROR(VLOOKUP($A178,bat!$F:$G,2,FALSE),"")</f>
        <v/>
      </c>
      <c r="E178" t="str">
        <f ca="1">IFERROR(VLOOKUP($A178,shell!$F:$G,2,FALSE),"")</f>
        <v/>
      </c>
      <c r="F178" t="str">
        <f t="shared" ca="1" si="21"/>
        <v>ファイル 存在確認②</v>
      </c>
      <c r="G178">
        <f ca="1">IF($F178="","",COUNTIF($F$3:$F178,$F178))</f>
        <v>1</v>
      </c>
      <c r="H178">
        <f ca="1">IF(OR(G178&gt;1,G178=""),"",COUNTIF($G$3:$G178,1))</f>
        <v>172</v>
      </c>
      <c r="I178" t="str">
        <f t="shared" ca="1" si="22"/>
        <v>ファイル 存在確認②</v>
      </c>
      <c r="K178">
        <f t="shared" si="26"/>
        <v>175</v>
      </c>
      <c r="L178" t="str">
        <f t="shared" ca="1" si="18"/>
        <v>ファイル 絶対パス取得</v>
      </c>
      <c r="M178" s="2" t="str">
        <f t="shared" ca="1" si="19"/>
        <v>○</v>
      </c>
      <c r="N178" s="2" t="str">
        <f t="shared" ca="1" si="20"/>
        <v/>
      </c>
      <c r="O178" s="2" t="str">
        <f t="shared" ca="1" si="23"/>
        <v/>
      </c>
      <c r="P178" s="2" t="str">
        <f t="shared" ca="1" si="24"/>
        <v/>
      </c>
    </row>
    <row r="179" spans="1:16">
      <c r="A179">
        <f t="shared" si="25"/>
        <v>176</v>
      </c>
      <c r="B179" t="str">
        <f ca="1">IFERROR(VLOOKUP($A179,'vbs,vba'!$G:$H,2,FALSE),"")</f>
        <v>ファイル 情報取得</v>
      </c>
      <c r="C179" t="str">
        <f ca="1">IFERROR(VLOOKUP($A179,python!$I:$J,2,FALSE),"")</f>
        <v/>
      </c>
      <c r="D179" t="str">
        <f ca="1">IFERROR(VLOOKUP($A179,bat!$F:$G,2,FALSE),"")</f>
        <v/>
      </c>
      <c r="E179" t="str">
        <f ca="1">IFERROR(VLOOKUP($A179,shell!$F:$G,2,FALSE),"")</f>
        <v/>
      </c>
      <c r="F179" t="str">
        <f t="shared" ca="1" si="21"/>
        <v>ファイル 情報取得</v>
      </c>
      <c r="G179">
        <f ca="1">IF($F179="","",COUNTIF($F$3:$F179,$F179))</f>
        <v>1</v>
      </c>
      <c r="H179">
        <f ca="1">IF(OR(G179&gt;1,G179=""),"",COUNTIF($G$3:$G179,1))</f>
        <v>173</v>
      </c>
      <c r="I179" t="str">
        <f t="shared" ca="1" si="22"/>
        <v>ファイル 情報取得</v>
      </c>
      <c r="K179">
        <f t="shared" si="26"/>
        <v>176</v>
      </c>
      <c r="L179" t="str">
        <f t="shared" ca="1" si="18"/>
        <v>ファイル ドライブ名取得</v>
      </c>
      <c r="M179" s="2" t="str">
        <f t="shared" ca="1" si="19"/>
        <v>○</v>
      </c>
      <c r="N179" s="2" t="str">
        <f t="shared" ca="1" si="20"/>
        <v/>
      </c>
      <c r="O179" s="2" t="str">
        <f t="shared" ca="1" si="23"/>
        <v/>
      </c>
      <c r="P179" s="2" t="str">
        <f t="shared" ca="1" si="24"/>
        <v/>
      </c>
    </row>
    <row r="180" spans="1:16">
      <c r="A180">
        <f t="shared" si="25"/>
        <v>177</v>
      </c>
      <c r="B180" t="str">
        <f ca="1">IFERROR(VLOOKUP($A180,'vbs,vba'!$G:$H,2,FALSE),"")</f>
        <v>ファイル 隠しファイル化</v>
      </c>
      <c r="C180" t="str">
        <f ca="1">IFERROR(VLOOKUP($A180,python!$I:$J,2,FALSE),"")</f>
        <v/>
      </c>
      <c r="D180" t="str">
        <f ca="1">IFERROR(VLOOKUP($A180,bat!$F:$G,2,FALSE),"")</f>
        <v/>
      </c>
      <c r="E180" t="str">
        <f ca="1">IFERROR(VLOOKUP($A180,shell!$F:$G,2,FALSE),"")</f>
        <v/>
      </c>
      <c r="F180" t="str">
        <f t="shared" ca="1" si="21"/>
        <v>ファイル 隠しファイル化</v>
      </c>
      <c r="G180">
        <f ca="1">IF($F180="","",COUNTIF($F$3:$F180,$F180))</f>
        <v>1</v>
      </c>
      <c r="H180">
        <f ca="1">IF(OR(G180&gt;1,G180=""),"",COUNTIF($G$3:$G180,1))</f>
        <v>174</v>
      </c>
      <c r="I180" t="str">
        <f t="shared" ca="1" si="22"/>
        <v>ファイル 隠しファイル化</v>
      </c>
      <c r="K180">
        <f t="shared" si="26"/>
        <v>177</v>
      </c>
      <c r="L180" t="str">
        <f t="shared" ca="1" si="18"/>
        <v>ファイル ファイル名/フォルダ名取得</v>
      </c>
      <c r="M180" s="2" t="str">
        <f t="shared" ca="1" si="19"/>
        <v>○</v>
      </c>
      <c r="N180" s="2" t="str">
        <f t="shared" ca="1" si="20"/>
        <v>○</v>
      </c>
      <c r="O180" s="2" t="str">
        <f t="shared" ca="1" si="23"/>
        <v/>
      </c>
      <c r="P180" s="2" t="str">
        <f t="shared" ca="1" si="24"/>
        <v/>
      </c>
    </row>
    <row r="181" spans="1:16">
      <c r="A181">
        <f t="shared" si="25"/>
        <v>178</v>
      </c>
      <c r="B181" t="str">
        <f ca="1">IFERROR(VLOOKUP($A181,'vbs,vba'!$G:$H,2,FALSE),"")</f>
        <v>ファイル 絶対パス取得</v>
      </c>
      <c r="C181" t="str">
        <f ca="1">IFERROR(VLOOKUP($A181,python!$I:$J,2,FALSE),"")</f>
        <v/>
      </c>
      <c r="D181" t="str">
        <f ca="1">IFERROR(VLOOKUP($A181,bat!$F:$G,2,FALSE),"")</f>
        <v/>
      </c>
      <c r="E181" t="str">
        <f ca="1">IFERROR(VLOOKUP($A181,shell!$F:$G,2,FALSE),"")</f>
        <v/>
      </c>
      <c r="F181" t="str">
        <f t="shared" ca="1" si="21"/>
        <v>ファイル 絶対パス取得</v>
      </c>
      <c r="G181">
        <f ca="1">IF($F181="","",COUNTIF($F$3:$F181,$F181))</f>
        <v>1</v>
      </c>
      <c r="H181">
        <f ca="1">IF(OR(G181&gt;1,G181=""),"",COUNTIF($G$3:$G181,1))</f>
        <v>175</v>
      </c>
      <c r="I181" t="str">
        <f t="shared" ca="1" si="22"/>
        <v>ファイル 絶対パス取得</v>
      </c>
      <c r="K181">
        <f t="shared" si="26"/>
        <v>178</v>
      </c>
      <c r="L181" t="str">
        <f t="shared" ca="1" si="18"/>
        <v>ファイル 親フォルダパス取得</v>
      </c>
      <c r="M181" s="2" t="str">
        <f t="shared" ca="1" si="19"/>
        <v>○</v>
      </c>
      <c r="N181" s="2" t="str">
        <f t="shared" ca="1" si="20"/>
        <v>○</v>
      </c>
      <c r="O181" s="2" t="str">
        <f t="shared" ca="1" si="23"/>
        <v/>
      </c>
      <c r="P181" s="2" t="str">
        <f t="shared" ca="1" si="24"/>
        <v/>
      </c>
    </row>
    <row r="182" spans="1:16">
      <c r="A182">
        <f t="shared" si="25"/>
        <v>179</v>
      </c>
      <c r="B182" t="str">
        <f ca="1">IFERROR(VLOOKUP($A182,'vbs,vba'!$G:$H,2,FALSE),"")</f>
        <v>ファイル ドライブ名取得</v>
      </c>
      <c r="C182" t="str">
        <f ca="1">IFERROR(VLOOKUP($A182,python!$I:$J,2,FALSE),"")</f>
        <v/>
      </c>
      <c r="D182" t="str">
        <f ca="1">IFERROR(VLOOKUP($A182,bat!$F:$G,2,FALSE),"")</f>
        <v/>
      </c>
      <c r="E182" t="str">
        <f ca="1">IFERROR(VLOOKUP($A182,shell!$F:$G,2,FALSE),"")</f>
        <v/>
      </c>
      <c r="F182" t="str">
        <f t="shared" ca="1" si="21"/>
        <v>ファイル ドライブ名取得</v>
      </c>
      <c r="G182">
        <f ca="1">IF($F182="","",COUNTIF($F$3:$F182,$F182))</f>
        <v>1</v>
      </c>
      <c r="H182">
        <f ca="1">IF(OR(G182&gt;1,G182=""),"",COUNTIF($G$3:$G182,1))</f>
        <v>176</v>
      </c>
      <c r="I182" t="str">
        <f t="shared" ca="1" si="22"/>
        <v>ファイル ドライブ名取得</v>
      </c>
      <c r="K182">
        <f t="shared" si="26"/>
        <v>179</v>
      </c>
      <c r="L182" t="str">
        <f t="shared" ca="1" si="18"/>
        <v>ファイル ファイルベース名取得</v>
      </c>
      <c r="M182" s="2" t="str">
        <f t="shared" ca="1" si="19"/>
        <v>○</v>
      </c>
      <c r="N182" s="2" t="str">
        <f t="shared" ca="1" si="20"/>
        <v>○</v>
      </c>
      <c r="O182" s="2" t="str">
        <f t="shared" ca="1" si="23"/>
        <v/>
      </c>
      <c r="P182" s="2" t="str">
        <f t="shared" ca="1" si="24"/>
        <v/>
      </c>
    </row>
    <row r="183" spans="1:16">
      <c r="A183">
        <f t="shared" si="25"/>
        <v>180</v>
      </c>
      <c r="B183" t="str">
        <f ca="1">IFERROR(VLOOKUP($A183,'vbs,vba'!$G:$H,2,FALSE),"")</f>
        <v>ファイル ファイル名/フォルダ名取得</v>
      </c>
      <c r="C183" t="str">
        <f ca="1">IFERROR(VLOOKUP($A183,python!$I:$J,2,FALSE),"")</f>
        <v/>
      </c>
      <c r="D183" t="str">
        <f ca="1">IFERROR(VLOOKUP($A183,bat!$F:$G,2,FALSE),"")</f>
        <v/>
      </c>
      <c r="E183" t="str">
        <f ca="1">IFERROR(VLOOKUP($A183,shell!$F:$G,2,FALSE),"")</f>
        <v/>
      </c>
      <c r="F183" t="str">
        <f t="shared" ca="1" si="21"/>
        <v>ファイル ファイル名/フォルダ名取得</v>
      </c>
      <c r="G183">
        <f ca="1">IF($F183="","",COUNTIF($F$3:$F183,$F183))</f>
        <v>1</v>
      </c>
      <c r="H183">
        <f ca="1">IF(OR(G183&gt;1,G183=""),"",COUNTIF($G$3:$G183,1))</f>
        <v>177</v>
      </c>
      <c r="I183" t="str">
        <f t="shared" ca="1" si="22"/>
        <v>ファイル ファイル名/フォルダ名取得</v>
      </c>
      <c r="K183">
        <f t="shared" si="26"/>
        <v>180</v>
      </c>
      <c r="L183" t="str">
        <f t="shared" ca="1" si="18"/>
        <v>ファイル 拡張子取得</v>
      </c>
      <c r="M183" s="2" t="str">
        <f t="shared" ca="1" si="19"/>
        <v>○</v>
      </c>
      <c r="N183" s="2" t="str">
        <f t="shared" ca="1" si="20"/>
        <v>○</v>
      </c>
      <c r="O183" s="2" t="str">
        <f t="shared" ca="1" si="23"/>
        <v/>
      </c>
      <c r="P183" s="2" t="str">
        <f t="shared" ca="1" si="24"/>
        <v/>
      </c>
    </row>
    <row r="184" spans="1:16">
      <c r="A184">
        <f t="shared" si="25"/>
        <v>181</v>
      </c>
      <c r="B184" t="str">
        <f ca="1">IFERROR(VLOOKUP($A184,'vbs,vba'!$G:$H,2,FALSE),"")</f>
        <v>ファイル 親フォルダパス取得</v>
      </c>
      <c r="C184" t="str">
        <f ca="1">IFERROR(VLOOKUP($A184,python!$I:$J,2,FALSE),"")</f>
        <v/>
      </c>
      <c r="D184" t="str">
        <f ca="1">IFERROR(VLOOKUP($A184,bat!$F:$G,2,FALSE),"")</f>
        <v/>
      </c>
      <c r="E184" t="str">
        <f ca="1">IFERROR(VLOOKUP($A184,shell!$F:$G,2,FALSE),"")</f>
        <v/>
      </c>
      <c r="F184" t="str">
        <f t="shared" ca="1" si="21"/>
        <v>ファイル 親フォルダパス取得</v>
      </c>
      <c r="G184">
        <f ca="1">IF($F184="","",COUNTIF($F$3:$F184,$F184))</f>
        <v>1</v>
      </c>
      <c r="H184">
        <f ca="1">IF(OR(G184&gt;1,G184=""),"",COUNTIF($G$3:$G184,1))</f>
        <v>178</v>
      </c>
      <c r="I184" t="str">
        <f t="shared" ca="1" si="22"/>
        <v>ファイル 親フォルダパス取得</v>
      </c>
      <c r="K184">
        <f t="shared" si="26"/>
        <v>181</v>
      </c>
      <c r="L184" t="str">
        <f t="shared" ca="1" si="18"/>
        <v>フォルダ コピー</v>
      </c>
      <c r="M184" s="2" t="str">
        <f t="shared" ca="1" si="19"/>
        <v>○</v>
      </c>
      <c r="N184" s="2" t="str">
        <f t="shared" ca="1" si="20"/>
        <v/>
      </c>
      <c r="O184" s="2" t="str">
        <f t="shared" ca="1" si="23"/>
        <v>○</v>
      </c>
      <c r="P184" s="2" t="str">
        <f t="shared" ca="1" si="24"/>
        <v/>
      </c>
    </row>
    <row r="185" spans="1:16">
      <c r="A185">
        <f t="shared" si="25"/>
        <v>182</v>
      </c>
      <c r="B185" t="str">
        <f ca="1">IFERROR(VLOOKUP($A185,'vbs,vba'!$G:$H,2,FALSE),"")</f>
        <v>ファイル ファイルベース名取得</v>
      </c>
      <c r="C185" t="str">
        <f ca="1">IFERROR(VLOOKUP($A185,python!$I:$J,2,FALSE),"")</f>
        <v/>
      </c>
      <c r="D185" t="str">
        <f ca="1">IFERROR(VLOOKUP($A185,bat!$F:$G,2,FALSE),"")</f>
        <v/>
      </c>
      <c r="E185" t="str">
        <f ca="1">IFERROR(VLOOKUP($A185,shell!$F:$G,2,FALSE),"")</f>
        <v/>
      </c>
      <c r="F185" t="str">
        <f t="shared" ca="1" si="21"/>
        <v>ファイル ファイルベース名取得</v>
      </c>
      <c r="G185">
        <f ca="1">IF($F185="","",COUNTIF($F$3:$F185,$F185))</f>
        <v>1</v>
      </c>
      <c r="H185">
        <f ca="1">IF(OR(G185&gt;1,G185=""),"",COUNTIF($G$3:$G185,1))</f>
        <v>179</v>
      </c>
      <c r="I185" t="str">
        <f t="shared" ca="1" si="22"/>
        <v>ファイル ファイルベース名取得</v>
      </c>
      <c r="K185">
        <f t="shared" si="26"/>
        <v>182</v>
      </c>
      <c r="L185" t="str">
        <f t="shared" ca="1" si="18"/>
        <v>フォルダ 削除</v>
      </c>
      <c r="M185" s="2" t="str">
        <f t="shared" ca="1" si="19"/>
        <v>○</v>
      </c>
      <c r="N185" s="2" t="str">
        <f t="shared" ca="1" si="20"/>
        <v/>
      </c>
      <c r="O185" s="2" t="str">
        <f t="shared" ca="1" si="23"/>
        <v>○</v>
      </c>
      <c r="P185" s="2" t="str">
        <f t="shared" ca="1" si="24"/>
        <v/>
      </c>
    </row>
    <row r="186" spans="1:16">
      <c r="A186">
        <f t="shared" si="25"/>
        <v>183</v>
      </c>
      <c r="B186" t="str">
        <f ca="1">IFERROR(VLOOKUP($A186,'vbs,vba'!$G:$H,2,FALSE),"")</f>
        <v>ファイル 拡張子取得</v>
      </c>
      <c r="C186" t="str">
        <f ca="1">IFERROR(VLOOKUP($A186,python!$I:$J,2,FALSE),"")</f>
        <v/>
      </c>
      <c r="D186" t="str">
        <f ca="1">IFERROR(VLOOKUP($A186,bat!$F:$G,2,FALSE),"")</f>
        <v/>
      </c>
      <c r="E186" t="str">
        <f ca="1">IFERROR(VLOOKUP($A186,shell!$F:$G,2,FALSE),"")</f>
        <v/>
      </c>
      <c r="F186" t="str">
        <f t="shared" ca="1" si="21"/>
        <v>ファイル 拡張子取得</v>
      </c>
      <c r="G186">
        <f ca="1">IF($F186="","",COUNTIF($F$3:$F186,$F186))</f>
        <v>1</v>
      </c>
      <c r="H186">
        <f ca="1">IF(OR(G186&gt;1,G186=""),"",COUNTIF($G$3:$G186,1))</f>
        <v>180</v>
      </c>
      <c r="I186" t="str">
        <f t="shared" ca="1" si="22"/>
        <v>ファイル 拡張子取得</v>
      </c>
      <c r="K186">
        <f t="shared" si="26"/>
        <v>183</v>
      </c>
      <c r="L186" t="str">
        <f t="shared" ca="1" si="18"/>
        <v>フォルダ 作成</v>
      </c>
      <c r="M186" s="2" t="str">
        <f t="shared" ca="1" si="19"/>
        <v>○</v>
      </c>
      <c r="N186" s="2" t="str">
        <f t="shared" ca="1" si="20"/>
        <v/>
      </c>
      <c r="O186" s="2" t="str">
        <f t="shared" ca="1" si="23"/>
        <v>○</v>
      </c>
      <c r="P186" s="2" t="str">
        <f t="shared" ca="1" si="24"/>
        <v/>
      </c>
    </row>
    <row r="187" spans="1:16">
      <c r="A187">
        <f t="shared" si="25"/>
        <v>184</v>
      </c>
      <c r="B187" t="str">
        <f ca="1">IFERROR(VLOOKUP($A187,'vbs,vba'!$G:$H,2,FALSE),"")</f>
        <v>フォルダ コピー</v>
      </c>
      <c r="C187" t="str">
        <f ca="1">IFERROR(VLOOKUP($A187,python!$I:$J,2,FALSE),"")</f>
        <v/>
      </c>
      <c r="D187" t="str">
        <f ca="1">IFERROR(VLOOKUP($A187,bat!$F:$G,2,FALSE),"")</f>
        <v/>
      </c>
      <c r="E187" t="str">
        <f ca="1">IFERROR(VLOOKUP($A187,shell!$F:$G,2,FALSE),"")</f>
        <v/>
      </c>
      <c r="F187" t="str">
        <f t="shared" ca="1" si="21"/>
        <v>フォルダ コピー</v>
      </c>
      <c r="G187">
        <f ca="1">IF($F187="","",COUNTIF($F$3:$F187,$F187))</f>
        <v>1</v>
      </c>
      <c r="H187">
        <f ca="1">IF(OR(G187&gt;1,G187=""),"",COUNTIF($G$3:$G187,1))</f>
        <v>181</v>
      </c>
      <c r="I187" t="str">
        <f t="shared" ca="1" si="22"/>
        <v>フォルダ コピー</v>
      </c>
      <c r="K187">
        <f t="shared" si="26"/>
        <v>184</v>
      </c>
      <c r="L187" t="str">
        <f t="shared" ca="1" si="18"/>
        <v>フォルダ 移動/リネーム</v>
      </c>
      <c r="M187" s="2" t="str">
        <f t="shared" ca="1" si="19"/>
        <v>○</v>
      </c>
      <c r="N187" s="2" t="str">
        <f t="shared" ca="1" si="20"/>
        <v>○</v>
      </c>
      <c r="O187" s="2" t="str">
        <f t="shared" ca="1" si="23"/>
        <v/>
      </c>
      <c r="P187" s="2" t="str">
        <f t="shared" ca="1" si="24"/>
        <v/>
      </c>
    </row>
    <row r="188" spans="1:16">
      <c r="A188">
        <f t="shared" si="25"/>
        <v>185</v>
      </c>
      <c r="B188" t="str">
        <f ca="1">IFERROR(VLOOKUP($A188,'vbs,vba'!$G:$H,2,FALSE),"")</f>
        <v>フォルダ 削除</v>
      </c>
      <c r="C188" t="str">
        <f ca="1">IFERROR(VLOOKUP($A188,python!$I:$J,2,FALSE),"")</f>
        <v/>
      </c>
      <c r="D188" t="str">
        <f ca="1">IFERROR(VLOOKUP($A188,bat!$F:$G,2,FALSE),"")</f>
        <v/>
      </c>
      <c r="E188" t="str">
        <f ca="1">IFERROR(VLOOKUP($A188,shell!$F:$G,2,FALSE),"")</f>
        <v/>
      </c>
      <c r="F188" t="str">
        <f t="shared" ca="1" si="21"/>
        <v>フォルダ 削除</v>
      </c>
      <c r="G188">
        <f ca="1">IF($F188="","",COUNTIF($F$3:$F188,$F188))</f>
        <v>1</v>
      </c>
      <c r="H188">
        <f ca="1">IF(OR(G188&gt;1,G188=""),"",COUNTIF($G$3:$G188,1))</f>
        <v>182</v>
      </c>
      <c r="I188" t="str">
        <f t="shared" ca="1" si="22"/>
        <v>フォルダ 削除</v>
      </c>
      <c r="K188">
        <f t="shared" si="26"/>
        <v>185</v>
      </c>
      <c r="L188" t="str">
        <f t="shared" ca="1" si="18"/>
        <v>フォルダ 情報取得</v>
      </c>
      <c r="M188" s="2" t="str">
        <f t="shared" ca="1" si="19"/>
        <v>○</v>
      </c>
      <c r="N188" s="2" t="str">
        <f t="shared" ca="1" si="20"/>
        <v>○</v>
      </c>
      <c r="O188" s="2" t="str">
        <f t="shared" ca="1" si="23"/>
        <v/>
      </c>
      <c r="P188" s="2" t="str">
        <f t="shared" ca="1" si="24"/>
        <v/>
      </c>
    </row>
    <row r="189" spans="1:16">
      <c r="A189">
        <f t="shared" si="25"/>
        <v>186</v>
      </c>
      <c r="B189" t="str">
        <f ca="1">IFERROR(VLOOKUP($A189,'vbs,vba'!$G:$H,2,FALSE),"")</f>
        <v>フォルダ 作成</v>
      </c>
      <c r="C189" t="str">
        <f ca="1">IFERROR(VLOOKUP($A189,python!$I:$J,2,FALSE),"")</f>
        <v/>
      </c>
      <c r="D189" t="str">
        <f ca="1">IFERROR(VLOOKUP($A189,bat!$F:$G,2,FALSE),"")</f>
        <v/>
      </c>
      <c r="E189" t="str">
        <f ca="1">IFERROR(VLOOKUP($A189,shell!$F:$G,2,FALSE),"")</f>
        <v/>
      </c>
      <c r="F189" t="str">
        <f t="shared" ca="1" si="21"/>
        <v>フォルダ 作成</v>
      </c>
      <c r="G189">
        <f ca="1">IF($F189="","",COUNTIF($F$3:$F189,$F189))</f>
        <v>1</v>
      </c>
      <c r="H189">
        <f ca="1">IF(OR(G189&gt;1,G189=""),"",COUNTIF($G$3:$G189,1))</f>
        <v>183</v>
      </c>
      <c r="I189" t="str">
        <f t="shared" ca="1" si="22"/>
        <v>フォルダ 作成</v>
      </c>
      <c r="K189">
        <f t="shared" si="26"/>
        <v>186</v>
      </c>
      <c r="L189" t="str">
        <f t="shared" ca="1" si="18"/>
        <v>フォルダ 存在確認</v>
      </c>
      <c r="M189" s="2" t="str">
        <f t="shared" ca="1" si="19"/>
        <v>○</v>
      </c>
      <c r="N189" s="2" t="str">
        <f t="shared" ca="1" si="20"/>
        <v>○</v>
      </c>
      <c r="O189" s="2" t="str">
        <f t="shared" ca="1" si="23"/>
        <v/>
      </c>
      <c r="P189" s="2" t="str">
        <f t="shared" ca="1" si="24"/>
        <v/>
      </c>
    </row>
    <row r="190" spans="1:16">
      <c r="A190">
        <f t="shared" si="25"/>
        <v>187</v>
      </c>
      <c r="B190" t="str">
        <f ca="1">IFERROR(VLOOKUP($A190,'vbs,vba'!$G:$H,2,FALSE),"")</f>
        <v>フォルダ 移動/リネーム</v>
      </c>
      <c r="C190" t="str">
        <f ca="1">IFERROR(VLOOKUP($A190,python!$I:$J,2,FALSE),"")</f>
        <v/>
      </c>
      <c r="D190" t="str">
        <f ca="1">IFERROR(VLOOKUP($A190,bat!$F:$G,2,FALSE),"")</f>
        <v/>
      </c>
      <c r="E190" t="str">
        <f ca="1">IFERROR(VLOOKUP($A190,shell!$F:$G,2,FALSE),"")</f>
        <v/>
      </c>
      <c r="F190" t="str">
        <f t="shared" ca="1" si="21"/>
        <v>フォルダ 移動/リネーム</v>
      </c>
      <c r="G190">
        <f ca="1">IF($F190="","",COUNTIF($F$3:$F190,$F190))</f>
        <v>1</v>
      </c>
      <c r="H190">
        <f ca="1">IF(OR(G190&gt;1,G190=""),"",COUNTIF($G$3:$G190,1))</f>
        <v>184</v>
      </c>
      <c r="I190" t="str">
        <f t="shared" ca="1" si="22"/>
        <v>フォルダ 移動/リネーム</v>
      </c>
      <c r="K190">
        <f t="shared" si="26"/>
        <v>187</v>
      </c>
      <c r="L190" t="str">
        <f t="shared" ca="1" si="18"/>
        <v>フォルダ 親フォルダパス取得</v>
      </c>
      <c r="M190" s="2" t="str">
        <f t="shared" ca="1" si="19"/>
        <v>○</v>
      </c>
      <c r="N190" s="2" t="str">
        <f t="shared" ca="1" si="20"/>
        <v>○</v>
      </c>
      <c r="O190" s="2" t="str">
        <f t="shared" ca="1" si="23"/>
        <v/>
      </c>
      <c r="P190" s="2" t="str">
        <f t="shared" ca="1" si="24"/>
        <v/>
      </c>
    </row>
    <row r="191" spans="1:16">
      <c r="A191">
        <f t="shared" si="25"/>
        <v>188</v>
      </c>
      <c r="B191" t="str">
        <f ca="1">IFERROR(VLOOKUP($A191,'vbs,vba'!$G:$H,2,FALSE),"")</f>
        <v>フォルダ 情報取得</v>
      </c>
      <c r="C191" t="str">
        <f ca="1">IFERROR(VLOOKUP($A191,python!$I:$J,2,FALSE),"")</f>
        <v/>
      </c>
      <c r="D191" t="str">
        <f ca="1">IFERROR(VLOOKUP($A191,bat!$F:$G,2,FALSE),"")</f>
        <v/>
      </c>
      <c r="E191" t="str">
        <f ca="1">IFERROR(VLOOKUP($A191,shell!$F:$G,2,FALSE),"")</f>
        <v/>
      </c>
      <c r="F191" t="str">
        <f t="shared" ca="1" si="21"/>
        <v>フォルダ 情報取得</v>
      </c>
      <c r="G191">
        <f ca="1">IF($F191="","",COUNTIF($F$3:$F191,$F191))</f>
        <v>1</v>
      </c>
      <c r="H191">
        <f ca="1">IF(OR(G191&gt;1,G191=""),"",COUNTIF($G$3:$G191,1))</f>
        <v>185</v>
      </c>
      <c r="I191" t="str">
        <f t="shared" ca="1" si="22"/>
        <v>フォルダ 情報取得</v>
      </c>
      <c r="K191">
        <f t="shared" si="26"/>
        <v>188</v>
      </c>
      <c r="L191" t="str">
        <f t="shared" ca="1" si="18"/>
        <v>フォルダ 特殊フォルダパス取得</v>
      </c>
      <c r="M191" s="2" t="str">
        <f t="shared" ca="1" si="19"/>
        <v>○</v>
      </c>
      <c r="N191" s="2" t="str">
        <f t="shared" ca="1" si="20"/>
        <v>○</v>
      </c>
      <c r="O191" s="2" t="str">
        <f t="shared" ca="1" si="23"/>
        <v/>
      </c>
      <c r="P191" s="2" t="str">
        <f t="shared" ca="1" si="24"/>
        <v/>
      </c>
    </row>
    <row r="192" spans="1:16">
      <c r="A192">
        <f t="shared" si="25"/>
        <v>189</v>
      </c>
      <c r="B192" t="str">
        <f ca="1">IFERROR(VLOOKUP($A192,'vbs,vba'!$G:$H,2,FALSE),"")</f>
        <v>フォルダ 存在確認</v>
      </c>
      <c r="C192" t="str">
        <f ca="1">IFERROR(VLOOKUP($A192,python!$I:$J,2,FALSE),"")</f>
        <v/>
      </c>
      <c r="D192" t="str">
        <f ca="1">IFERROR(VLOOKUP($A192,bat!$F:$G,2,FALSE),"")</f>
        <v/>
      </c>
      <c r="E192" t="str">
        <f ca="1">IFERROR(VLOOKUP($A192,shell!$F:$G,2,FALSE),"")</f>
        <v/>
      </c>
      <c r="F192" t="str">
        <f t="shared" ca="1" si="21"/>
        <v>フォルダ 存在確認</v>
      </c>
      <c r="G192">
        <f ca="1">IF($F192="","",COUNTIF($F$3:$F192,$F192))</f>
        <v>1</v>
      </c>
      <c r="H192">
        <f ca="1">IF(OR(G192&gt;1,G192=""),"",COUNTIF($G$3:$G192,1))</f>
        <v>186</v>
      </c>
      <c r="I192" t="str">
        <f t="shared" ca="1" si="22"/>
        <v>フォルダ 存在確認</v>
      </c>
      <c r="K192">
        <f t="shared" si="26"/>
        <v>189</v>
      </c>
      <c r="L192" t="str">
        <f t="shared" ca="1" si="18"/>
        <v>ファイル/フォルダ 削除(ゴミ箱移動)</v>
      </c>
      <c r="M192" s="2" t="str">
        <f t="shared" ca="1" si="19"/>
        <v>○</v>
      </c>
      <c r="N192" s="2" t="str">
        <f t="shared" ca="1" si="20"/>
        <v/>
      </c>
      <c r="O192" s="2" t="str">
        <f t="shared" ca="1" si="23"/>
        <v/>
      </c>
      <c r="P192" s="2" t="str">
        <f t="shared" ca="1" si="24"/>
        <v/>
      </c>
    </row>
    <row r="193" spans="1:16">
      <c r="A193">
        <f t="shared" si="25"/>
        <v>190</v>
      </c>
      <c r="B193" t="str">
        <f ca="1">IFERROR(VLOOKUP($A193,'vbs,vba'!$G:$H,2,FALSE),"")</f>
        <v>フォルダ 親フォルダパス取得</v>
      </c>
      <c r="C193" t="str">
        <f ca="1">IFERROR(VLOOKUP($A193,python!$I:$J,2,FALSE),"")</f>
        <v/>
      </c>
      <c r="D193" t="str">
        <f ca="1">IFERROR(VLOOKUP($A193,bat!$F:$G,2,FALSE),"")</f>
        <v/>
      </c>
      <c r="E193" t="str">
        <f ca="1">IFERROR(VLOOKUP($A193,shell!$F:$G,2,FALSE),"")</f>
        <v/>
      </c>
      <c r="F193" t="str">
        <f t="shared" ca="1" si="21"/>
        <v>フォルダ 親フォルダパス取得</v>
      </c>
      <c r="G193">
        <f ca="1">IF($F193="","",COUNTIF($F$3:$F193,$F193))</f>
        <v>1</v>
      </c>
      <c r="H193">
        <f ca="1">IF(OR(G193&gt;1,G193=""),"",COUNTIF($G$3:$G193,1))</f>
        <v>187</v>
      </c>
      <c r="I193" t="str">
        <f t="shared" ca="1" si="22"/>
        <v>フォルダ 親フォルダパス取得</v>
      </c>
      <c r="K193">
        <f t="shared" si="26"/>
        <v>190</v>
      </c>
      <c r="L193" t="str">
        <f t="shared" ca="1" si="18"/>
        <v>検索設定 検索対象</v>
      </c>
      <c r="M193" s="2" t="str">
        <f t="shared" ca="1" si="19"/>
        <v>○</v>
      </c>
      <c r="N193" s="2" t="str">
        <f t="shared" ca="1" si="20"/>
        <v>○</v>
      </c>
      <c r="O193" s="2" t="str">
        <f t="shared" ca="1" si="23"/>
        <v/>
      </c>
      <c r="P193" s="2" t="str">
        <f t="shared" ca="1" si="24"/>
        <v/>
      </c>
    </row>
    <row r="194" spans="1:16">
      <c r="A194">
        <f t="shared" si="25"/>
        <v>191</v>
      </c>
      <c r="B194" t="str">
        <f ca="1">IFERROR(VLOOKUP($A194,'vbs,vba'!$G:$H,2,FALSE),"")</f>
        <v>フォルダ 特殊フォルダパス取得</v>
      </c>
      <c r="C194" t="str">
        <f ca="1">IFERROR(VLOOKUP($A194,python!$I:$J,2,FALSE),"")</f>
        <v/>
      </c>
      <c r="D194" t="str">
        <f ca="1">IFERROR(VLOOKUP($A194,bat!$F:$G,2,FALSE),"")</f>
        <v/>
      </c>
      <c r="E194" t="str">
        <f ca="1">IFERROR(VLOOKUP($A194,shell!$F:$G,2,FALSE),"")</f>
        <v/>
      </c>
      <c r="F194" t="str">
        <f t="shared" ca="1" si="21"/>
        <v>フォルダ 特殊フォルダパス取得</v>
      </c>
      <c r="G194">
        <f ca="1">IF($F194="","",COUNTIF($F$3:$F194,$F194))</f>
        <v>1</v>
      </c>
      <c r="H194">
        <f ca="1">IF(OR(G194&gt;1,G194=""),"",COUNTIF($G$3:$G194,1))</f>
        <v>188</v>
      </c>
      <c r="I194" t="str">
        <f t="shared" ca="1" si="22"/>
        <v>フォルダ 特殊フォルダパス取得</v>
      </c>
      <c r="K194">
        <f t="shared" si="26"/>
        <v>191</v>
      </c>
      <c r="L194" t="str">
        <f t="shared" ca="1" si="18"/>
        <v>検索設定 検索パターン</v>
      </c>
      <c r="M194" s="2" t="str">
        <f t="shared" ca="1" si="19"/>
        <v>○</v>
      </c>
      <c r="N194" s="2" t="str">
        <f t="shared" ca="1" si="20"/>
        <v>○</v>
      </c>
      <c r="O194" s="2" t="str">
        <f t="shared" ca="1" si="23"/>
        <v/>
      </c>
      <c r="P194" s="2" t="str">
        <f t="shared" ca="1" si="24"/>
        <v/>
      </c>
    </row>
    <row r="195" spans="1:16">
      <c r="A195">
        <f t="shared" si="25"/>
        <v>192</v>
      </c>
      <c r="B195" t="str">
        <f ca="1">IFERROR(VLOOKUP($A195,'vbs,vba'!$G:$H,2,FALSE),"")</f>
        <v>ファイル/フォルダ 削除(ゴミ箱移動)</v>
      </c>
      <c r="C195" t="str">
        <f ca="1">IFERROR(VLOOKUP($A195,python!$I:$J,2,FALSE),"")</f>
        <v/>
      </c>
      <c r="D195" t="str">
        <f ca="1">IFERROR(VLOOKUP($A195,bat!$F:$G,2,FALSE),"")</f>
        <v/>
      </c>
      <c r="E195" t="str">
        <f ca="1">IFERROR(VLOOKUP($A195,shell!$F:$G,2,FALSE),"")</f>
        <v/>
      </c>
      <c r="F195" t="str">
        <f t="shared" ca="1" si="21"/>
        <v>ファイル/フォルダ 削除(ゴミ箱移動)</v>
      </c>
      <c r="G195">
        <f ca="1">IF($F195="","",COUNTIF($F$3:$F195,$F195))</f>
        <v>1</v>
      </c>
      <c r="H195">
        <f ca="1">IF(OR(G195&gt;1,G195=""),"",COUNTIF($G$3:$G195,1))</f>
        <v>189</v>
      </c>
      <c r="I195" t="str">
        <f t="shared" ca="1" si="22"/>
        <v>ファイル/フォルダ 削除(ゴミ箱移動)</v>
      </c>
      <c r="K195">
        <f t="shared" si="26"/>
        <v>192</v>
      </c>
      <c r="L195" t="str">
        <f t="shared" ca="1" si="18"/>
        <v>検索設定 大小文字区別</v>
      </c>
      <c r="M195" s="2" t="str">
        <f t="shared" ca="1" si="19"/>
        <v>○</v>
      </c>
      <c r="N195" s="2" t="str">
        <f t="shared" ca="1" si="20"/>
        <v/>
      </c>
      <c r="O195" s="2" t="str">
        <f t="shared" ca="1" si="23"/>
        <v/>
      </c>
      <c r="P195" s="2" t="str">
        <f t="shared" ca="1" si="24"/>
        <v/>
      </c>
    </row>
    <row r="196" spans="1:16">
      <c r="A196">
        <f t="shared" si="25"/>
        <v>193</v>
      </c>
      <c r="B196" t="str">
        <f ca="1">IFERROR(VLOOKUP($A196,'vbs,vba'!$G:$H,2,FALSE),"")</f>
        <v>オブジェクト定義</v>
      </c>
      <c r="C196" t="str">
        <f ca="1">IFERROR(VLOOKUP($A196,python!$I:$J,2,FALSE),"")</f>
        <v/>
      </c>
      <c r="D196" t="str">
        <f ca="1">IFERROR(VLOOKUP($A196,bat!$F:$G,2,FALSE),"")</f>
        <v/>
      </c>
      <c r="E196" t="str">
        <f ca="1">IFERROR(VLOOKUP($A196,shell!$F:$G,2,FALSE),"")</f>
        <v/>
      </c>
      <c r="F196" t="str">
        <f t="shared" ca="1" si="21"/>
        <v>オブジェクト定義</v>
      </c>
      <c r="G196">
        <f ca="1">IF($F196="","",COUNTIF($F$3:$F196,$F196))</f>
        <v>5</v>
      </c>
      <c r="H196" t="str">
        <f ca="1">IF(OR(G196&gt;1,G196=""),"",COUNTIF($G$3:$G196,1))</f>
        <v/>
      </c>
      <c r="I196" t="str">
        <f t="shared" ca="1" si="22"/>
        <v>オブジェクト定義</v>
      </c>
      <c r="K196">
        <f t="shared" si="26"/>
        <v>193</v>
      </c>
      <c r="L196" t="str">
        <f t="shared" ref="L196:L259" ca="1" si="27">IFERROR(VLOOKUP($K196,$H:$I,2,FALSE),"")</f>
        <v>検索設定 文字列全体検索</v>
      </c>
      <c r="M196" s="2" t="str">
        <f t="shared" ref="M196:M259" ca="1" si="28">IF($L196="","",IF(COUNTIF(B$3:B$1004,$L196)&gt;0,"○",""))</f>
        <v>○</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検索対象</v>
      </c>
      <c r="C197" t="str">
        <f ca="1">IFERROR(VLOOKUP($A197,python!$I:$J,2,FALSE),"")</f>
        <v/>
      </c>
      <c r="D197" t="str">
        <f ca="1">IFERROR(VLOOKUP($A197,bat!$F:$G,2,FALSE),"")</f>
        <v/>
      </c>
      <c r="E197" t="str">
        <f ca="1">IFERROR(VLOOKUP($A197,shell!$F:$G,2,FALSE),"")</f>
        <v/>
      </c>
      <c r="F197" t="str">
        <f t="shared" ref="F197:F260" ca="1" si="30">B197&amp;C197&amp;D197&amp;E197</f>
        <v>検索設定 検索対象</v>
      </c>
      <c r="G197">
        <f ca="1">IF($F197="","",COUNTIF($F$3:$F197,$F197))</f>
        <v>1</v>
      </c>
      <c r="H197">
        <f ca="1">IF(OR(G197&gt;1,G197=""),"",COUNTIF($G$3:$G197,1))</f>
        <v>190</v>
      </c>
      <c r="I197" t="str">
        <f t="shared" ref="I197:I260" ca="1" si="31">F197</f>
        <v>検索設定 検索対象</v>
      </c>
      <c r="K197">
        <f t="shared" si="26"/>
        <v>194</v>
      </c>
      <c r="L197" t="str">
        <f t="shared" ca="1" si="27"/>
        <v>検索実行</v>
      </c>
      <c r="M197" s="2" t="str">
        <f t="shared" ca="1" si="28"/>
        <v>○</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検索パターン</v>
      </c>
      <c r="C198" t="str">
        <f ca="1">IFERROR(VLOOKUP($A198,python!$I:$J,2,FALSE),"")</f>
        <v/>
      </c>
      <c r="D198" t="str">
        <f ca="1">IFERROR(VLOOKUP($A198,bat!$F:$G,2,FALSE),"")</f>
        <v/>
      </c>
      <c r="E198" t="str">
        <f ca="1">IFERROR(VLOOKUP($A198,shell!$F:$G,2,FALSE),"")</f>
        <v/>
      </c>
      <c r="F198" t="str">
        <f t="shared" ca="1" si="30"/>
        <v>検索設定 検索パターン</v>
      </c>
      <c r="G198">
        <f ca="1">IF($F198="","",COUNTIF($F$3:$F198,$F198))</f>
        <v>1</v>
      </c>
      <c r="H198">
        <f ca="1">IF(OR(G198&gt;1,G198=""),"",COUNTIF($G$3:$G198,1))</f>
        <v>191</v>
      </c>
      <c r="I198" t="str">
        <f t="shared" ca="1" si="31"/>
        <v>検索設定 検索パターン</v>
      </c>
      <c r="K198">
        <f t="shared" ref="K198:K261" si="35">K197+1</f>
        <v>195</v>
      </c>
      <c r="L198" t="str">
        <f t="shared" ca="1" si="27"/>
        <v>検索結果 マッチ数取得</v>
      </c>
      <c r="M198" s="2" t="str">
        <f t="shared" ca="1" si="28"/>
        <v>○</v>
      </c>
      <c r="N198" s="2" t="str">
        <f t="shared" ca="1" si="29"/>
        <v/>
      </c>
      <c r="O198" s="2" t="str">
        <f t="shared" ca="1" si="32"/>
        <v/>
      </c>
      <c r="P198" s="2" t="str">
        <f t="shared" ca="1" si="33"/>
        <v/>
      </c>
    </row>
    <row r="199" spans="1:16">
      <c r="A199">
        <f t="shared" si="34"/>
        <v>196</v>
      </c>
      <c r="B199" t="str">
        <f ca="1">IFERROR(VLOOKUP($A199,'vbs,vba'!$G:$H,2,FALSE),"")</f>
        <v>検索設定 大小文字区別</v>
      </c>
      <c r="C199" t="str">
        <f ca="1">IFERROR(VLOOKUP($A199,python!$I:$J,2,FALSE),"")</f>
        <v/>
      </c>
      <c r="D199" t="str">
        <f ca="1">IFERROR(VLOOKUP($A199,bat!$F:$G,2,FALSE),"")</f>
        <v/>
      </c>
      <c r="E199" t="str">
        <f ca="1">IFERROR(VLOOKUP($A199,shell!$F:$G,2,FALSE),"")</f>
        <v/>
      </c>
      <c r="F199" t="str">
        <f t="shared" ca="1" si="30"/>
        <v>検索設定 大小文字区別</v>
      </c>
      <c r="G199">
        <f ca="1">IF($F199="","",COUNTIF($F$3:$F199,$F199))</f>
        <v>1</v>
      </c>
      <c r="H199">
        <f ca="1">IF(OR(G199&gt;1,G199=""),"",COUNTIF($G$3:$G199,1))</f>
        <v>192</v>
      </c>
      <c r="I199" t="str">
        <f t="shared" ca="1" si="31"/>
        <v>検索設定 大小文字区別</v>
      </c>
      <c r="K199">
        <f t="shared" si="35"/>
        <v>196</v>
      </c>
      <c r="L199" t="str">
        <f t="shared" ca="1" si="27"/>
        <v>検索結果 サブマッチ数取得</v>
      </c>
      <c r="M199" s="2" t="str">
        <f t="shared" ca="1" si="28"/>
        <v>○</v>
      </c>
      <c r="N199" s="2" t="str">
        <f t="shared" ca="1" si="29"/>
        <v/>
      </c>
      <c r="O199" s="2" t="str">
        <f t="shared" ca="1" si="32"/>
        <v/>
      </c>
      <c r="P199" s="2" t="str">
        <f t="shared" ca="1" si="33"/>
        <v/>
      </c>
    </row>
    <row r="200" spans="1:16">
      <c r="A200">
        <f t="shared" si="34"/>
        <v>197</v>
      </c>
      <c r="B200" t="str">
        <f ca="1">IFERROR(VLOOKUP($A200,'vbs,vba'!$G:$H,2,FALSE),"")</f>
        <v>検索設定 文字列全体検索</v>
      </c>
      <c r="C200" t="str">
        <f ca="1">IFERROR(VLOOKUP($A200,python!$I:$J,2,FALSE),"")</f>
        <v/>
      </c>
      <c r="D200" t="str">
        <f ca="1">IFERROR(VLOOKUP($A200,bat!$F:$G,2,FALSE),"")</f>
        <v/>
      </c>
      <c r="E200" t="str">
        <f ca="1">IFERROR(VLOOKUP($A200,shell!$F:$G,2,FALSE),"")</f>
        <v/>
      </c>
      <c r="F200" t="str">
        <f t="shared" ca="1" si="30"/>
        <v>検索設定 文字列全体検索</v>
      </c>
      <c r="G200">
        <f ca="1">IF($F200="","",COUNTIF($F$3:$F200,$F200))</f>
        <v>1</v>
      </c>
      <c r="H200">
        <f ca="1">IF(OR(G200&gt;1,G200=""),"",COUNTIF($G$3:$G200,1))</f>
        <v>193</v>
      </c>
      <c r="I200" t="str">
        <f t="shared" ca="1" si="31"/>
        <v>検索設定 文字列全体検索</v>
      </c>
      <c r="K200">
        <f t="shared" si="35"/>
        <v>197</v>
      </c>
      <c r="L200" t="str">
        <f t="shared" ca="1" si="27"/>
        <v>検索結果 マッチ文字列取得</v>
      </c>
      <c r="M200" s="2" t="str">
        <f t="shared" ca="1" si="28"/>
        <v>○</v>
      </c>
      <c r="N200" s="2" t="str">
        <f t="shared" ca="1" si="29"/>
        <v/>
      </c>
      <c r="O200" s="2" t="str">
        <f t="shared" ca="1" si="32"/>
        <v/>
      </c>
      <c r="P200" s="2" t="str">
        <f t="shared" ca="1" si="33"/>
        <v/>
      </c>
    </row>
    <row r="201" spans="1:16">
      <c r="A201">
        <f t="shared" si="34"/>
        <v>198</v>
      </c>
      <c r="B201" t="str">
        <f ca="1">IFERROR(VLOOKUP($A201,'vbs,vba'!$G:$H,2,FALSE),"")</f>
        <v>検索実行</v>
      </c>
      <c r="C201" t="str">
        <f ca="1">IFERROR(VLOOKUP($A201,python!$I:$J,2,FALSE),"")</f>
        <v/>
      </c>
      <c r="D201" t="str">
        <f ca="1">IFERROR(VLOOKUP($A201,bat!$F:$G,2,FALSE),"")</f>
        <v/>
      </c>
      <c r="E201" t="str">
        <f ca="1">IFERROR(VLOOKUP($A201,shell!$F:$G,2,FALSE),"")</f>
        <v/>
      </c>
      <c r="F201" t="str">
        <f t="shared" ca="1" si="30"/>
        <v>検索実行</v>
      </c>
      <c r="G201">
        <f ca="1">IF($F201="","",COUNTIF($F$3:$F201,$F201))</f>
        <v>1</v>
      </c>
      <c r="H201">
        <f ca="1">IF(OR(G201&gt;1,G201=""),"",COUNTIF($G$3:$G201,1))</f>
        <v>194</v>
      </c>
      <c r="I201" t="str">
        <f t="shared" ca="1" si="31"/>
        <v>検索実行</v>
      </c>
      <c r="K201">
        <f t="shared" si="35"/>
        <v>198</v>
      </c>
      <c r="L201" t="str">
        <f t="shared" ca="1" si="27"/>
        <v>検索結果 サブマッチ文字列取得</v>
      </c>
      <c r="M201" s="2" t="str">
        <f t="shared" ca="1" si="28"/>
        <v>○</v>
      </c>
      <c r="N201" s="2" t="str">
        <f t="shared" ca="1" si="29"/>
        <v/>
      </c>
      <c r="O201" s="2" t="str">
        <f t="shared" ca="1" si="32"/>
        <v/>
      </c>
      <c r="P201" s="2" t="str">
        <f t="shared" ca="1" si="33"/>
        <v/>
      </c>
    </row>
    <row r="202" spans="1:16">
      <c r="A202">
        <f t="shared" si="34"/>
        <v>199</v>
      </c>
      <c r="B202" t="str">
        <f ca="1">IFERROR(VLOOKUP($A202,'vbs,vba'!$G:$H,2,FALSE),"")</f>
        <v>検索結果 マッチ数取得</v>
      </c>
      <c r="C202" t="str">
        <f ca="1">IFERROR(VLOOKUP($A202,python!$I:$J,2,FALSE),"")</f>
        <v/>
      </c>
      <c r="D202" t="str">
        <f ca="1">IFERROR(VLOOKUP($A202,bat!$F:$G,2,FALSE),"")</f>
        <v/>
      </c>
      <c r="E202" t="str">
        <f ca="1">IFERROR(VLOOKUP($A202,shell!$F:$G,2,FALSE),"")</f>
        <v/>
      </c>
      <c r="F202" t="str">
        <f t="shared" ca="1" si="30"/>
        <v>検索結果 マッチ数取得</v>
      </c>
      <c r="G202">
        <f ca="1">IF($F202="","",COUNTIF($F$3:$F202,$F202))</f>
        <v>1</v>
      </c>
      <c r="H202">
        <f ca="1">IF(OR(G202&gt;1,G202=""),"",COUNTIF($G$3:$G202,1))</f>
        <v>195</v>
      </c>
      <c r="I202" t="str">
        <f t="shared" ca="1" si="31"/>
        <v>検索結果 マッチ数取得</v>
      </c>
      <c r="K202">
        <f t="shared" si="35"/>
        <v>199</v>
      </c>
      <c r="L202" t="str">
        <f t="shared" ca="1" si="27"/>
        <v>検索結果 マッチ位置取得</v>
      </c>
      <c r="M202" s="2" t="str">
        <f t="shared" ca="1" si="28"/>
        <v>○</v>
      </c>
      <c r="N202" s="2" t="str">
        <f t="shared" ca="1" si="29"/>
        <v/>
      </c>
      <c r="O202" s="2" t="str">
        <f t="shared" ca="1" si="32"/>
        <v/>
      </c>
      <c r="P202" s="2" t="str">
        <f t="shared" ca="1" si="33"/>
        <v/>
      </c>
    </row>
    <row r="203" spans="1:16">
      <c r="A203">
        <f t="shared" si="34"/>
        <v>200</v>
      </c>
      <c r="B203" t="str">
        <f ca="1">IFERROR(VLOOKUP($A203,'vbs,vba'!$G:$H,2,FALSE),"")</f>
        <v>検索結果 サブマッチ数取得</v>
      </c>
      <c r="C203" t="str">
        <f ca="1">IFERROR(VLOOKUP($A203,python!$I:$J,2,FALSE),"")</f>
        <v/>
      </c>
      <c r="D203" t="str">
        <f ca="1">IFERROR(VLOOKUP($A203,bat!$F:$G,2,FALSE),"")</f>
        <v/>
      </c>
      <c r="E203" t="str">
        <f ca="1">IFERROR(VLOOKUP($A203,shell!$F:$G,2,FALSE),"")</f>
        <v/>
      </c>
      <c r="F203" t="str">
        <f t="shared" ca="1" si="30"/>
        <v>検索結果 サブマッチ数取得</v>
      </c>
      <c r="G203">
        <f ca="1">IF($F203="","",COUNTIF($F$3:$F203,$F203))</f>
        <v>1</v>
      </c>
      <c r="H203">
        <f ca="1">IF(OR(G203&gt;1,G203=""),"",COUNTIF($G$3:$G203,1))</f>
        <v>196</v>
      </c>
      <c r="I203" t="str">
        <f t="shared" ca="1" si="31"/>
        <v>検索結果 サブマッチ数取得</v>
      </c>
      <c r="K203">
        <f t="shared" si="35"/>
        <v>200</v>
      </c>
      <c r="L203" t="str">
        <f t="shared" ca="1" si="27"/>
        <v>検索結果 マッチ長取得</v>
      </c>
      <c r="M203" s="2" t="str">
        <f t="shared" ca="1" si="28"/>
        <v>○</v>
      </c>
      <c r="N203" s="2" t="str">
        <f t="shared" ca="1" si="29"/>
        <v/>
      </c>
      <c r="O203" s="2" t="str">
        <f t="shared" ca="1" si="32"/>
        <v/>
      </c>
      <c r="P203" s="2" t="str">
        <f t="shared" ca="1" si="33"/>
        <v/>
      </c>
    </row>
    <row r="204" spans="1:16">
      <c r="A204">
        <f t="shared" si="34"/>
        <v>201</v>
      </c>
      <c r="B204" t="str">
        <f ca="1">IFERROR(VLOOKUP($A204,'vbs,vba'!$G:$H,2,FALSE),"")</f>
        <v>検索結果 マッチ文字列取得</v>
      </c>
      <c r="C204" t="str">
        <f ca="1">IFERROR(VLOOKUP($A204,python!$I:$J,2,FALSE),"")</f>
        <v/>
      </c>
      <c r="D204" t="str">
        <f ca="1">IFERROR(VLOOKUP($A204,bat!$F:$G,2,FALSE),"")</f>
        <v/>
      </c>
      <c r="E204" t="str">
        <f ca="1">IFERROR(VLOOKUP($A204,shell!$F:$G,2,FALSE),"")</f>
        <v/>
      </c>
      <c r="F204" t="str">
        <f t="shared" ca="1" si="30"/>
        <v>検索結果 マッチ文字列取得</v>
      </c>
      <c r="G204">
        <f ca="1">IF($F204="","",COUNTIF($F$3:$F204,$F204))</f>
        <v>1</v>
      </c>
      <c r="H204">
        <f ca="1">IF(OR(G204&gt;1,G204=""),"",COUNTIF($G$3:$G204,1))</f>
        <v>197</v>
      </c>
      <c r="I204" t="str">
        <f t="shared" ca="1" si="31"/>
        <v>検索結果 マッチ文字列取得</v>
      </c>
      <c r="K204">
        <f t="shared" si="35"/>
        <v>201</v>
      </c>
      <c r="L204" t="str">
        <f t="shared" ca="1" si="27"/>
        <v>置換実行</v>
      </c>
      <c r="M204" s="2" t="str">
        <f t="shared" ca="1" si="28"/>
        <v>○</v>
      </c>
      <c r="N204" s="2" t="str">
        <f t="shared" ca="1" si="29"/>
        <v>○</v>
      </c>
      <c r="O204" s="2" t="str">
        <f t="shared" ca="1" si="32"/>
        <v/>
      </c>
      <c r="P204" s="2" t="str">
        <f t="shared" ca="1" si="33"/>
        <v/>
      </c>
    </row>
    <row r="205" spans="1:16">
      <c r="A205">
        <f t="shared" si="34"/>
        <v>202</v>
      </c>
      <c r="B205" t="str">
        <f ca="1">IFERROR(VLOOKUP($A205,'vbs,vba'!$G:$H,2,FALSE),"")</f>
        <v>検索結果 サブマッチ文字列取得</v>
      </c>
      <c r="C205" t="str">
        <f ca="1">IFERROR(VLOOKUP($A205,python!$I:$J,2,FALSE),"")</f>
        <v/>
      </c>
      <c r="D205" t="str">
        <f ca="1">IFERROR(VLOOKUP($A205,bat!$F:$G,2,FALSE),"")</f>
        <v/>
      </c>
      <c r="E205" t="str">
        <f ca="1">IFERROR(VLOOKUP($A205,shell!$F:$G,2,FALSE),"")</f>
        <v/>
      </c>
      <c r="F205" t="str">
        <f t="shared" ca="1" si="30"/>
        <v>検索結果 サブマッチ文字列取得</v>
      </c>
      <c r="G205">
        <f ca="1">IF($F205="","",COUNTIF($F$3:$F205,$F205))</f>
        <v>1</v>
      </c>
      <c r="H205">
        <f ca="1">IF(OR(G205&gt;1,G205=""),"",COUNTIF($G$3:$G205,1))</f>
        <v>198</v>
      </c>
      <c r="I205" t="str">
        <f t="shared" ca="1" si="31"/>
        <v>検索結果 サブマッチ文字列取得</v>
      </c>
      <c r="K205">
        <f t="shared" si="35"/>
        <v>202</v>
      </c>
      <c r="L205" t="str">
        <f t="shared" ca="1" si="27"/>
        <v>置換結果 結果取得</v>
      </c>
      <c r="M205" s="2" t="str">
        <f t="shared" ca="1" si="28"/>
        <v>○</v>
      </c>
      <c r="N205" s="2" t="str">
        <f t="shared" ca="1" si="29"/>
        <v/>
      </c>
      <c r="O205" s="2" t="str">
        <f t="shared" ca="1" si="32"/>
        <v/>
      </c>
      <c r="P205" s="2" t="str">
        <f t="shared" ca="1" si="33"/>
        <v/>
      </c>
    </row>
    <row r="206" spans="1:16">
      <c r="A206">
        <f t="shared" si="34"/>
        <v>203</v>
      </c>
      <c r="B206" t="str">
        <f ca="1">IFERROR(VLOOKUP($A206,'vbs,vba'!$G:$H,2,FALSE),"")</f>
        <v>検索結果 マッチ位置取得</v>
      </c>
      <c r="C206" t="str">
        <f ca="1">IFERROR(VLOOKUP($A206,python!$I:$J,2,FALSE),"")</f>
        <v/>
      </c>
      <c r="D206" t="str">
        <f ca="1">IFERROR(VLOOKUP($A206,bat!$F:$G,2,FALSE),"")</f>
        <v/>
      </c>
      <c r="E206" t="str">
        <f ca="1">IFERROR(VLOOKUP($A206,shell!$F:$G,2,FALSE),"")</f>
        <v/>
      </c>
      <c r="F206" t="str">
        <f t="shared" ca="1" si="30"/>
        <v>検索結果 マッチ位置取得</v>
      </c>
      <c r="G206">
        <f ca="1">IF($F206="","",COUNTIF($F$3:$F206,$F206))</f>
        <v>1</v>
      </c>
      <c r="H206">
        <f ca="1">IF(OR(G206&gt;1,G206=""),"",COUNTIF($G$3:$G206,1))</f>
        <v>199</v>
      </c>
      <c r="I206" t="str">
        <f t="shared" ca="1" si="31"/>
        <v>検索結果 マッチ位置取得</v>
      </c>
      <c r="K206">
        <f t="shared" si="35"/>
        <v>203</v>
      </c>
      <c r="L206" t="str">
        <f t="shared" ca="1" si="27"/>
        <v>実行スクリプト ファイルパス</v>
      </c>
      <c r="M206" s="2" t="str">
        <f t="shared" ca="1" si="28"/>
        <v>○</v>
      </c>
      <c r="N206" s="2" t="str">
        <f t="shared" ca="1" si="29"/>
        <v/>
      </c>
      <c r="O206" s="2" t="str">
        <f t="shared" ca="1" si="32"/>
        <v/>
      </c>
      <c r="P206" s="2" t="str">
        <f t="shared" ca="1" si="33"/>
        <v/>
      </c>
    </row>
    <row r="207" spans="1:16">
      <c r="A207">
        <f t="shared" si="34"/>
        <v>204</v>
      </c>
      <c r="B207" t="str">
        <f ca="1">IFERROR(VLOOKUP($A207,'vbs,vba'!$G:$H,2,FALSE),"")</f>
        <v>検索結果 マッチ長取得</v>
      </c>
      <c r="C207" t="str">
        <f ca="1">IFERROR(VLOOKUP($A207,python!$I:$J,2,FALSE),"")</f>
        <v/>
      </c>
      <c r="D207" t="str">
        <f ca="1">IFERROR(VLOOKUP($A207,bat!$F:$G,2,FALSE),"")</f>
        <v/>
      </c>
      <c r="E207" t="str">
        <f ca="1">IFERROR(VLOOKUP($A207,shell!$F:$G,2,FALSE),"")</f>
        <v/>
      </c>
      <c r="F207" t="str">
        <f t="shared" ca="1" si="30"/>
        <v>検索結果 マッチ長取得</v>
      </c>
      <c r="G207">
        <f ca="1">IF($F207="","",COUNTIF($F$3:$F207,$F207))</f>
        <v>1</v>
      </c>
      <c r="H207">
        <f ca="1">IF(OR(G207&gt;1,G207=""),"",COUNTIF($G$3:$G207,1))</f>
        <v>200</v>
      </c>
      <c r="I207" t="str">
        <f t="shared" ca="1" si="31"/>
        <v>検索結果 マッチ長取得</v>
      </c>
      <c r="K207">
        <f t="shared" si="35"/>
        <v>204</v>
      </c>
      <c r="L207" t="str">
        <f t="shared" ca="1" si="27"/>
        <v>実行スクリプト ファイル名（拡張子あり）</v>
      </c>
      <c r="M207" s="2" t="str">
        <f t="shared" ca="1" si="28"/>
        <v>○</v>
      </c>
      <c r="N207" s="2" t="str">
        <f t="shared" ca="1" si="29"/>
        <v/>
      </c>
      <c r="O207" s="2" t="str">
        <f t="shared" ca="1" si="32"/>
        <v/>
      </c>
      <c r="P207" s="2" t="str">
        <f t="shared" ca="1" si="33"/>
        <v/>
      </c>
    </row>
    <row r="208" spans="1:16">
      <c r="A208">
        <f t="shared" si="34"/>
        <v>205</v>
      </c>
      <c r="B208" t="str">
        <f ca="1">IFERROR(VLOOKUP($A208,'vbs,vba'!$G:$H,2,FALSE),"")</f>
        <v>置換実行</v>
      </c>
      <c r="C208" t="str">
        <f ca="1">IFERROR(VLOOKUP($A208,python!$I:$J,2,FALSE),"")</f>
        <v/>
      </c>
      <c r="D208" t="str">
        <f ca="1">IFERROR(VLOOKUP($A208,bat!$F:$G,2,FALSE),"")</f>
        <v/>
      </c>
      <c r="E208" t="str">
        <f ca="1">IFERROR(VLOOKUP($A208,shell!$F:$G,2,FALSE),"")</f>
        <v/>
      </c>
      <c r="F208" t="str">
        <f t="shared" ca="1" si="30"/>
        <v>置換実行</v>
      </c>
      <c r="G208">
        <f ca="1">IF($F208="","",COUNTIF($F$3:$F208,$F208))</f>
        <v>1</v>
      </c>
      <c r="H208">
        <f ca="1">IF(OR(G208&gt;1,G208=""),"",COUNTIF($G$3:$G208,1))</f>
        <v>201</v>
      </c>
      <c r="I208" t="str">
        <f t="shared" ca="1" si="31"/>
        <v>置換実行</v>
      </c>
      <c r="K208">
        <f t="shared" si="35"/>
        <v>205</v>
      </c>
      <c r="L208" t="str">
        <f t="shared" ca="1" si="27"/>
        <v>実行スクリプト ファイルベース名①</v>
      </c>
      <c r="M208" s="2" t="str">
        <f t="shared" ca="1" si="28"/>
        <v>○</v>
      </c>
      <c r="N208" s="2" t="str">
        <f t="shared" ca="1" si="29"/>
        <v>○</v>
      </c>
      <c r="O208" s="2" t="str">
        <f t="shared" ca="1" si="32"/>
        <v/>
      </c>
      <c r="P208" s="2" t="str">
        <f t="shared" ca="1" si="33"/>
        <v/>
      </c>
    </row>
    <row r="209" spans="1:16">
      <c r="A209">
        <f t="shared" si="34"/>
        <v>206</v>
      </c>
      <c r="B209" t="str">
        <f ca="1">IFERROR(VLOOKUP($A209,'vbs,vba'!$G:$H,2,FALSE),"")</f>
        <v>置換結果 結果取得</v>
      </c>
      <c r="C209" t="str">
        <f ca="1">IFERROR(VLOOKUP($A209,python!$I:$J,2,FALSE),"")</f>
        <v/>
      </c>
      <c r="D209" t="str">
        <f ca="1">IFERROR(VLOOKUP($A209,bat!$F:$G,2,FALSE),"")</f>
        <v/>
      </c>
      <c r="E209" t="str">
        <f ca="1">IFERROR(VLOOKUP($A209,shell!$F:$G,2,FALSE),"")</f>
        <v/>
      </c>
      <c r="F209" t="str">
        <f t="shared" ca="1" si="30"/>
        <v>置換結果 結果取得</v>
      </c>
      <c r="G209">
        <f ca="1">IF($F209="","",COUNTIF($F$3:$F209,$F209))</f>
        <v>1</v>
      </c>
      <c r="H209">
        <f ca="1">IF(OR(G209&gt;1,G209=""),"",COUNTIF($G$3:$G209,1))</f>
        <v>202</v>
      </c>
      <c r="I209" t="str">
        <f t="shared" ca="1" si="31"/>
        <v>置換結果 結果取得</v>
      </c>
      <c r="K209">
        <f t="shared" si="35"/>
        <v>206</v>
      </c>
      <c r="L209" t="str">
        <f t="shared" ca="1" si="27"/>
        <v>実行スクリプト ファイルベース名②</v>
      </c>
      <c r="M209" s="2" t="str">
        <f t="shared" ca="1" si="28"/>
        <v>○</v>
      </c>
      <c r="N209" s="2" t="str">
        <f t="shared" ca="1" si="29"/>
        <v/>
      </c>
      <c r="O209" s="2" t="str">
        <f t="shared" ca="1" si="32"/>
        <v/>
      </c>
      <c r="P209" s="2" t="str">
        <f t="shared" ca="1" si="33"/>
        <v/>
      </c>
    </row>
    <row r="210" spans="1:16">
      <c r="A210">
        <f t="shared" si="34"/>
        <v>207</v>
      </c>
      <c r="B210" t="str">
        <f ca="1">IFERROR(VLOOKUP($A210,'vbs,vba'!$G:$H,2,FALSE),"")</f>
        <v>実行スクリプト ファイルパス</v>
      </c>
      <c r="C210" t="str">
        <f ca="1">IFERROR(VLOOKUP($A210,python!$I:$J,2,FALSE),"")</f>
        <v/>
      </c>
      <c r="D210" t="str">
        <f ca="1">IFERROR(VLOOKUP($A210,bat!$F:$G,2,FALSE),"")</f>
        <v/>
      </c>
      <c r="E210" t="str">
        <f ca="1">IFERROR(VLOOKUP($A210,shell!$F:$G,2,FALSE),"")</f>
        <v/>
      </c>
      <c r="F210" t="str">
        <f t="shared" ca="1" si="30"/>
        <v>実行スクリプト ファイルパス</v>
      </c>
      <c r="G210">
        <f ca="1">IF($F210="","",COUNTIF($F$3:$F210,$F210))</f>
        <v>1</v>
      </c>
      <c r="H210">
        <f ca="1">IF(OR(G210&gt;1,G210=""),"",COUNTIF($G$3:$G210,1))</f>
        <v>203</v>
      </c>
      <c r="I210" t="str">
        <f t="shared" ca="1" si="31"/>
        <v>実行スクリプト ファイルパス</v>
      </c>
      <c r="K210">
        <f t="shared" si="35"/>
        <v>207</v>
      </c>
      <c r="L210" t="str">
        <f t="shared" ca="1" si="27"/>
        <v>実行スクリプト フォルダパス①</v>
      </c>
      <c r="M210" s="2" t="str">
        <f t="shared" ca="1" si="28"/>
        <v>○</v>
      </c>
      <c r="N210" s="2" t="str">
        <f t="shared" ca="1" si="29"/>
        <v/>
      </c>
      <c r="O210" s="2" t="str">
        <f t="shared" ca="1" si="32"/>
        <v/>
      </c>
      <c r="P210" s="2" t="str">
        <f t="shared" ca="1" si="33"/>
        <v/>
      </c>
    </row>
    <row r="211" spans="1:16">
      <c r="A211">
        <f t="shared" si="34"/>
        <v>208</v>
      </c>
      <c r="B211" t="str">
        <f ca="1">IFERROR(VLOOKUP($A211,'vbs,vba'!$G:$H,2,FALSE),"")</f>
        <v>実行スクリプト ファイル名（拡張子あり）</v>
      </c>
      <c r="C211" t="str">
        <f ca="1">IFERROR(VLOOKUP($A211,python!$I:$J,2,FALSE),"")</f>
        <v/>
      </c>
      <c r="D211" t="str">
        <f ca="1">IFERROR(VLOOKUP($A211,bat!$F:$G,2,FALSE),"")</f>
        <v/>
      </c>
      <c r="E211" t="str">
        <f ca="1">IFERROR(VLOOKUP($A211,shell!$F:$G,2,FALSE),"")</f>
        <v/>
      </c>
      <c r="F211" t="str">
        <f t="shared" ca="1" si="30"/>
        <v>実行スクリプト ファイル名（拡張子あり）</v>
      </c>
      <c r="G211">
        <f ca="1">IF($F211="","",COUNTIF($F$3:$F211,$F211))</f>
        <v>1</v>
      </c>
      <c r="H211">
        <f ca="1">IF(OR(G211&gt;1,G211=""),"",COUNTIF($G$3:$G211,1))</f>
        <v>204</v>
      </c>
      <c r="I211" t="str">
        <f t="shared" ca="1" si="31"/>
        <v>実行スクリプト ファイル名（拡張子あり）</v>
      </c>
      <c r="K211">
        <f t="shared" si="35"/>
        <v>208</v>
      </c>
      <c r="L211" t="str">
        <f t="shared" ca="1" si="27"/>
        <v>実行スクリプト フォルダパス②</v>
      </c>
      <c r="M211" s="2" t="str">
        <f t="shared" ca="1" si="28"/>
        <v>○</v>
      </c>
      <c r="N211" s="2" t="str">
        <f t="shared" ca="1" si="29"/>
        <v/>
      </c>
      <c r="O211" s="2" t="str">
        <f t="shared" ca="1" si="32"/>
        <v/>
      </c>
      <c r="P211" s="2" t="str">
        <f t="shared" ca="1" si="33"/>
        <v/>
      </c>
    </row>
    <row r="212" spans="1:16">
      <c r="A212">
        <f t="shared" si="34"/>
        <v>209</v>
      </c>
      <c r="B212" t="str">
        <f ca="1">IFERROR(VLOOKUP($A212,'vbs,vba'!$G:$H,2,FALSE),"")</f>
        <v>実行スクリプト ファイルベース名①</v>
      </c>
      <c r="C212" t="str">
        <f ca="1">IFERROR(VLOOKUP($A212,python!$I:$J,2,FALSE),"")</f>
        <v/>
      </c>
      <c r="D212" t="str">
        <f ca="1">IFERROR(VLOOKUP($A212,bat!$F:$G,2,FALSE),"")</f>
        <v/>
      </c>
      <c r="E212" t="str">
        <f ca="1">IFERROR(VLOOKUP($A212,shell!$F:$G,2,FALSE),"")</f>
        <v/>
      </c>
      <c r="F212" t="str">
        <f t="shared" ca="1" si="30"/>
        <v>実行スクリプト ファイルベース名①</v>
      </c>
      <c r="G212">
        <f ca="1">IF($F212="","",COUNTIF($F$3:$F212,$F212))</f>
        <v>1</v>
      </c>
      <c r="H212">
        <f ca="1">IF(OR(G212&gt;1,G212=""),"",COUNTIF($G$3:$G212,1))</f>
        <v>205</v>
      </c>
      <c r="I212" t="str">
        <f t="shared" ca="1" si="31"/>
        <v>実行スクリプト ファイルベース名①</v>
      </c>
      <c r="K212">
        <f t="shared" si="35"/>
        <v>209</v>
      </c>
      <c r="L212" t="str">
        <f t="shared" ca="1" si="27"/>
        <v>グラフ 追加</v>
      </c>
      <c r="M212" s="2" t="str">
        <f t="shared" ca="1" si="28"/>
        <v>○</v>
      </c>
      <c r="N212" s="2" t="str">
        <f t="shared" ca="1" si="29"/>
        <v/>
      </c>
      <c r="O212" s="2" t="str">
        <f t="shared" ca="1" si="32"/>
        <v/>
      </c>
      <c r="P212" s="2" t="str">
        <f t="shared" ca="1" si="33"/>
        <v/>
      </c>
    </row>
    <row r="213" spans="1:16">
      <c r="A213">
        <f t="shared" si="34"/>
        <v>210</v>
      </c>
      <c r="B213" t="str">
        <f ca="1">IFERROR(VLOOKUP($A213,'vbs,vba'!$G:$H,2,FALSE),"")</f>
        <v>実行スクリプト ファイルベース名②</v>
      </c>
      <c r="C213" t="str">
        <f ca="1">IFERROR(VLOOKUP($A213,python!$I:$J,2,FALSE),"")</f>
        <v/>
      </c>
      <c r="D213" t="str">
        <f ca="1">IFERROR(VLOOKUP($A213,bat!$F:$G,2,FALSE),"")</f>
        <v/>
      </c>
      <c r="E213" t="str">
        <f ca="1">IFERROR(VLOOKUP($A213,shell!$F:$G,2,FALSE),"")</f>
        <v/>
      </c>
      <c r="F213" t="str">
        <f t="shared" ca="1" si="30"/>
        <v>実行スクリプト ファイルベース名②</v>
      </c>
      <c r="G213">
        <f ca="1">IF($F213="","",COUNTIF($F$3:$F213,$F213))</f>
        <v>1</v>
      </c>
      <c r="H213">
        <f ca="1">IF(OR(G213&gt;1,G213=""),"",COUNTIF($G$3:$G213,1))</f>
        <v>206</v>
      </c>
      <c r="I213" t="str">
        <f t="shared" ca="1" si="31"/>
        <v>実行スクリプト ファイルベース名②</v>
      </c>
      <c r="K213">
        <f t="shared" si="35"/>
        <v>210</v>
      </c>
      <c r="L213" t="str">
        <f t="shared" ca="1" si="27"/>
        <v>グラフ 削除</v>
      </c>
      <c r="M213" s="2" t="str">
        <f t="shared" ca="1" si="28"/>
        <v>○</v>
      </c>
      <c r="N213" s="2" t="str">
        <f t="shared" ca="1" si="29"/>
        <v/>
      </c>
      <c r="O213" s="2" t="str">
        <f t="shared" ca="1" si="32"/>
        <v/>
      </c>
      <c r="P213" s="2" t="str">
        <f t="shared" ca="1" si="33"/>
        <v/>
      </c>
    </row>
    <row r="214" spans="1:16">
      <c r="A214">
        <f t="shared" si="34"/>
        <v>211</v>
      </c>
      <c r="B214" t="str">
        <f ca="1">IFERROR(VLOOKUP($A214,'vbs,vba'!$G:$H,2,FALSE),"")</f>
        <v>実行スクリプト フォルダパス①</v>
      </c>
      <c r="C214" t="str">
        <f ca="1">IFERROR(VLOOKUP($A214,python!$I:$J,2,FALSE),"")</f>
        <v/>
      </c>
      <c r="D214" t="str">
        <f ca="1">IFERROR(VLOOKUP($A214,bat!$F:$G,2,FALSE),"")</f>
        <v/>
      </c>
      <c r="E214" t="str">
        <f ca="1">IFERROR(VLOOKUP($A214,shell!$F:$G,2,FALSE),"")</f>
        <v/>
      </c>
      <c r="F214" t="str">
        <f t="shared" ca="1" si="30"/>
        <v>実行スクリプト フォルダパス①</v>
      </c>
      <c r="G214">
        <f ca="1">IF($F214="","",COUNTIF($F$3:$F214,$F214))</f>
        <v>1</v>
      </c>
      <c r="H214">
        <f ca="1">IF(OR(G214&gt;1,G214=""),"",COUNTIF($G$3:$G214,1))</f>
        <v>207</v>
      </c>
      <c r="I214" t="str">
        <f t="shared" ca="1" si="31"/>
        <v>実行スクリプト フォルダパス①</v>
      </c>
      <c r="K214">
        <f t="shared" si="35"/>
        <v>211</v>
      </c>
      <c r="L214" t="str">
        <f t="shared" ca="1" si="27"/>
        <v>グラフ コピー</v>
      </c>
      <c r="M214" s="2" t="str">
        <f t="shared" ca="1" si="28"/>
        <v>○</v>
      </c>
      <c r="N214" s="2" t="str">
        <f t="shared" ca="1" si="29"/>
        <v/>
      </c>
      <c r="O214" s="2" t="str">
        <f t="shared" ca="1" si="32"/>
        <v/>
      </c>
      <c r="P214" s="2" t="str">
        <f t="shared" ca="1" si="33"/>
        <v/>
      </c>
    </row>
    <row r="215" spans="1:16">
      <c r="A215">
        <f t="shared" si="34"/>
        <v>212</v>
      </c>
      <c r="B215" t="str">
        <f ca="1">IFERROR(VLOOKUP($A215,'vbs,vba'!$G:$H,2,FALSE),"")</f>
        <v>実行スクリプト フォルダパス②</v>
      </c>
      <c r="C215" t="str">
        <f ca="1">IFERROR(VLOOKUP($A215,python!$I:$J,2,FALSE),"")</f>
        <v/>
      </c>
      <c r="D215" t="str">
        <f ca="1">IFERROR(VLOOKUP($A215,bat!$F:$G,2,FALSE),"")</f>
        <v/>
      </c>
      <c r="E215" t="str">
        <f ca="1">IFERROR(VLOOKUP($A215,shell!$F:$G,2,FALSE),"")</f>
        <v/>
      </c>
      <c r="F215" t="str">
        <f t="shared" ca="1" si="30"/>
        <v>実行スクリプト フォルダパス②</v>
      </c>
      <c r="G215">
        <f ca="1">IF($F215="","",COUNTIF($F$3:$F215,$F215))</f>
        <v>1</v>
      </c>
      <c r="H215">
        <f ca="1">IF(OR(G215&gt;1,G215=""),"",COUNTIF($G$3:$G215,1))</f>
        <v>208</v>
      </c>
      <c r="I215" t="str">
        <f t="shared" ca="1" si="31"/>
        <v>実行スクリプト フォルダパス②</v>
      </c>
      <c r="K215">
        <f t="shared" si="35"/>
        <v>212</v>
      </c>
      <c r="L215" t="str">
        <f t="shared" ca="1" si="27"/>
        <v>グラフ 移動（Ｙ軸）</v>
      </c>
      <c r="M215" s="2" t="str">
        <f t="shared" ca="1" si="28"/>
        <v>○</v>
      </c>
      <c r="N215" s="2" t="str">
        <f t="shared" ca="1" si="29"/>
        <v/>
      </c>
      <c r="O215" s="2" t="str">
        <f t="shared" ca="1" si="32"/>
        <v/>
      </c>
      <c r="P215" s="2" t="str">
        <f t="shared" ca="1" si="33"/>
        <v/>
      </c>
    </row>
    <row r="216" spans="1:16">
      <c r="A216">
        <f t="shared" si="34"/>
        <v>213</v>
      </c>
      <c r="B216" t="str">
        <f ca="1">IFERROR(VLOOKUP($A216,'vbs,vba'!$G:$H,2,FALSE),"")</f>
        <v>オブジェクト定義</v>
      </c>
      <c r="C216" t="str">
        <f ca="1">IFERROR(VLOOKUP($A216,python!$I:$J,2,FALSE),"")</f>
        <v/>
      </c>
      <c r="D216" t="str">
        <f ca="1">IFERROR(VLOOKUP($A216,bat!$F:$G,2,FALSE),"")</f>
        <v/>
      </c>
      <c r="E216" t="str">
        <f ca="1">IFERROR(VLOOKUP($A216,shell!$F:$G,2,FALSE),"")</f>
        <v/>
      </c>
      <c r="F216" t="str">
        <f t="shared" ca="1" si="30"/>
        <v>オブジェクト定義</v>
      </c>
      <c r="G216">
        <f ca="1">IF($F216="","",COUNTIF($F$3:$F216,$F216))</f>
        <v>6</v>
      </c>
      <c r="H216" t="str">
        <f ca="1">IF(OR(G216&gt;1,G216=""),"",COUNTIF($G$3:$G216,1))</f>
        <v/>
      </c>
      <c r="I216" t="str">
        <f t="shared" ca="1" si="31"/>
        <v>オブジェクト定義</v>
      </c>
      <c r="K216">
        <f t="shared" si="35"/>
        <v>213</v>
      </c>
      <c r="L216" t="str">
        <f t="shared" ca="1" si="27"/>
        <v>グラフ 移動（Ｘ軸）</v>
      </c>
      <c r="M216" s="2" t="str">
        <f t="shared" ca="1" si="28"/>
        <v>○</v>
      </c>
      <c r="N216" s="2" t="str">
        <f t="shared" ca="1" si="29"/>
        <v/>
      </c>
      <c r="O216" s="2" t="str">
        <f t="shared" ca="1" si="32"/>
        <v/>
      </c>
      <c r="P216" s="2" t="str">
        <f t="shared" ca="1" si="33"/>
        <v/>
      </c>
    </row>
    <row r="217" spans="1:16">
      <c r="A217">
        <f t="shared" si="34"/>
        <v>214</v>
      </c>
      <c r="B217" t="str">
        <f ca="1">IFERROR(VLOOKUP($A217,'vbs,vba'!$G:$H,2,FALSE),"")</f>
        <v>グラフ 追加</v>
      </c>
      <c r="C217" t="str">
        <f ca="1">IFERROR(VLOOKUP($A217,python!$I:$J,2,FALSE),"")</f>
        <v/>
      </c>
      <c r="D217" t="str">
        <f ca="1">IFERROR(VLOOKUP($A217,bat!$F:$G,2,FALSE),"")</f>
        <v/>
      </c>
      <c r="E217" t="str">
        <f ca="1">IFERROR(VLOOKUP($A217,shell!$F:$G,2,FALSE),"")</f>
        <v/>
      </c>
      <c r="F217" t="str">
        <f t="shared" ca="1" si="30"/>
        <v>グラフ 追加</v>
      </c>
      <c r="G217">
        <f ca="1">IF($F217="","",COUNTIF($F$3:$F217,$F217))</f>
        <v>1</v>
      </c>
      <c r="H217">
        <f ca="1">IF(OR(G217&gt;1,G217=""),"",COUNTIF($G$3:$G217,1))</f>
        <v>209</v>
      </c>
      <c r="I217" t="str">
        <f t="shared" ca="1" si="31"/>
        <v>グラフ 追加</v>
      </c>
      <c r="K217">
        <f t="shared" si="35"/>
        <v>214</v>
      </c>
      <c r="L217" t="str">
        <f t="shared" ca="1" si="27"/>
        <v>グラフ サイズ変更（幅）</v>
      </c>
      <c r="M217" s="2" t="str">
        <f t="shared" ca="1" si="28"/>
        <v>○</v>
      </c>
      <c r="N217" s="2" t="str">
        <f t="shared" ca="1" si="29"/>
        <v/>
      </c>
      <c r="O217" s="2" t="str">
        <f t="shared" ca="1" si="32"/>
        <v/>
      </c>
      <c r="P217" s="2" t="str">
        <f t="shared" ca="1" si="33"/>
        <v/>
      </c>
    </row>
    <row r="218" spans="1:16">
      <c r="A218">
        <f t="shared" si="34"/>
        <v>215</v>
      </c>
      <c r="B218" t="str">
        <f ca="1">IFERROR(VLOOKUP($A218,'vbs,vba'!$G:$H,2,FALSE),"")</f>
        <v>グラフ 削除</v>
      </c>
      <c r="C218" t="str">
        <f ca="1">IFERROR(VLOOKUP($A218,python!$I:$J,2,FALSE),"")</f>
        <v/>
      </c>
      <c r="D218" t="str">
        <f ca="1">IFERROR(VLOOKUP($A218,bat!$F:$G,2,FALSE),"")</f>
        <v/>
      </c>
      <c r="E218" t="str">
        <f ca="1">IFERROR(VLOOKUP($A218,shell!$F:$G,2,FALSE),"")</f>
        <v/>
      </c>
      <c r="F218" t="str">
        <f t="shared" ca="1" si="30"/>
        <v>グラフ 削除</v>
      </c>
      <c r="G218">
        <f ca="1">IF($F218="","",COUNTIF($F$3:$F218,$F218))</f>
        <v>1</v>
      </c>
      <c r="H218">
        <f ca="1">IF(OR(G218&gt;1,G218=""),"",COUNTIF($G$3:$G218,1))</f>
        <v>210</v>
      </c>
      <c r="I218" t="str">
        <f t="shared" ca="1" si="31"/>
        <v>グラフ 削除</v>
      </c>
      <c r="K218">
        <f t="shared" si="35"/>
        <v>215</v>
      </c>
      <c r="L218" t="str">
        <f t="shared" ca="1" si="27"/>
        <v>グラフ サイズ変更（高さ）</v>
      </c>
      <c r="M218" s="2" t="str">
        <f t="shared" ca="1" si="28"/>
        <v>○</v>
      </c>
      <c r="N218" s="2" t="str">
        <f t="shared" ca="1" si="29"/>
        <v/>
      </c>
      <c r="O218" s="2" t="str">
        <f t="shared" ca="1" si="32"/>
        <v/>
      </c>
      <c r="P218" s="2" t="str">
        <f t="shared" ca="1" si="33"/>
        <v/>
      </c>
    </row>
    <row r="219" spans="1:16">
      <c r="A219">
        <f t="shared" si="34"/>
        <v>216</v>
      </c>
      <c r="B219" t="str">
        <f ca="1">IFERROR(VLOOKUP($A219,'vbs,vba'!$G:$H,2,FALSE),"")</f>
        <v>グラフ コピー</v>
      </c>
      <c r="C219" t="str">
        <f ca="1">IFERROR(VLOOKUP($A219,python!$I:$J,2,FALSE),"")</f>
        <v/>
      </c>
      <c r="D219" t="str">
        <f ca="1">IFERROR(VLOOKUP($A219,bat!$F:$G,2,FALSE),"")</f>
        <v/>
      </c>
      <c r="E219" t="str">
        <f ca="1">IFERROR(VLOOKUP($A219,shell!$F:$G,2,FALSE),"")</f>
        <v/>
      </c>
      <c r="F219" t="str">
        <f t="shared" ca="1" si="30"/>
        <v>グラフ コピー</v>
      </c>
      <c r="G219">
        <f ca="1">IF($F219="","",COUNTIF($F$3:$F219,$F219))</f>
        <v>1</v>
      </c>
      <c r="H219">
        <f ca="1">IF(OR(G219&gt;1,G219=""),"",COUNTIF($G$3:$G219,1))</f>
        <v>211</v>
      </c>
      <c r="I219" t="str">
        <f t="shared" ca="1" si="31"/>
        <v>グラフ コピー</v>
      </c>
      <c r="K219">
        <f t="shared" si="35"/>
        <v>216</v>
      </c>
      <c r="L219" t="str">
        <f t="shared" ca="1" si="27"/>
        <v>グラフ 種別</v>
      </c>
      <c r="M219" s="2" t="str">
        <f t="shared" ca="1" si="28"/>
        <v>○</v>
      </c>
      <c r="N219" s="2" t="str">
        <f t="shared" ca="1" si="29"/>
        <v/>
      </c>
      <c r="O219" s="2" t="str">
        <f t="shared" ca="1" si="32"/>
        <v/>
      </c>
      <c r="P219" s="2" t="str">
        <f t="shared" ca="1" si="33"/>
        <v/>
      </c>
    </row>
    <row r="220" spans="1:16">
      <c r="A220">
        <f t="shared" si="34"/>
        <v>217</v>
      </c>
      <c r="B220" t="str">
        <f ca="1">IFERROR(VLOOKUP($A220,'vbs,vba'!$G:$H,2,FALSE),"")</f>
        <v>グラフ 移動（Ｙ軸）</v>
      </c>
      <c r="C220" t="str">
        <f ca="1">IFERROR(VLOOKUP($A220,python!$I:$J,2,FALSE),"")</f>
        <v/>
      </c>
      <c r="D220" t="str">
        <f ca="1">IFERROR(VLOOKUP($A220,bat!$F:$G,2,FALSE),"")</f>
        <v/>
      </c>
      <c r="E220" t="str">
        <f ca="1">IFERROR(VLOOKUP($A220,shell!$F:$G,2,FALSE),"")</f>
        <v/>
      </c>
      <c r="F220" t="str">
        <f t="shared" ca="1" si="30"/>
        <v>グラフ 移動（Ｙ軸）</v>
      </c>
      <c r="G220">
        <f ca="1">IF($F220="","",COUNTIF($F$3:$F220,$F220))</f>
        <v>1</v>
      </c>
      <c r="H220">
        <f ca="1">IF(OR(G220&gt;1,G220=""),"",COUNTIF($G$3:$G220,1))</f>
        <v>212</v>
      </c>
      <c r="I220" t="str">
        <f t="shared" ca="1" si="31"/>
        <v>グラフ 移動（Ｙ軸）</v>
      </c>
      <c r="K220">
        <f t="shared" si="35"/>
        <v>217</v>
      </c>
      <c r="L220" t="str">
        <f t="shared" ca="1" si="27"/>
        <v>グラフ データ範囲変更</v>
      </c>
      <c r="M220" s="2" t="str">
        <f t="shared" ca="1" si="28"/>
        <v>○</v>
      </c>
      <c r="N220" s="2" t="str">
        <f t="shared" ca="1" si="29"/>
        <v/>
      </c>
      <c r="O220" s="2" t="str">
        <f t="shared" ca="1" si="32"/>
        <v/>
      </c>
      <c r="P220" s="2" t="str">
        <f t="shared" ca="1" si="33"/>
        <v/>
      </c>
    </row>
    <row r="221" spans="1:16">
      <c r="A221">
        <f t="shared" si="34"/>
        <v>218</v>
      </c>
      <c r="B221" t="str">
        <f ca="1">IFERROR(VLOOKUP($A221,'vbs,vba'!$G:$H,2,FALSE),"")</f>
        <v>グラフ 移動（Ｘ軸）</v>
      </c>
      <c r="C221" t="str">
        <f ca="1">IFERROR(VLOOKUP($A221,python!$I:$J,2,FALSE),"")</f>
        <v/>
      </c>
      <c r="D221" t="str">
        <f ca="1">IFERROR(VLOOKUP($A221,bat!$F:$G,2,FALSE),"")</f>
        <v/>
      </c>
      <c r="E221" t="str">
        <f ca="1">IFERROR(VLOOKUP($A221,shell!$F:$G,2,FALSE),"")</f>
        <v/>
      </c>
      <c r="F221" t="str">
        <f t="shared" ca="1" si="30"/>
        <v>グラフ 移動（Ｘ軸）</v>
      </c>
      <c r="G221">
        <f ca="1">IF($F221="","",COUNTIF($F$3:$F221,$F221))</f>
        <v>1</v>
      </c>
      <c r="H221">
        <f ca="1">IF(OR(G221&gt;1,G221=""),"",COUNTIF($G$3:$G221,1))</f>
        <v>213</v>
      </c>
      <c r="I221" t="str">
        <f t="shared" ca="1" si="31"/>
        <v>グラフ 移動（Ｘ軸）</v>
      </c>
      <c r="K221">
        <f t="shared" si="35"/>
        <v>218</v>
      </c>
      <c r="L221" t="str">
        <f t="shared" ca="1" si="27"/>
        <v>グラフ Ｘ軸 タイトル 有無</v>
      </c>
      <c r="M221" s="2" t="str">
        <f t="shared" ca="1" si="28"/>
        <v>○</v>
      </c>
      <c r="N221" s="2" t="str">
        <f t="shared" ca="1" si="29"/>
        <v/>
      </c>
      <c r="O221" s="2" t="str">
        <f t="shared" ca="1" si="32"/>
        <v/>
      </c>
      <c r="P221" s="2" t="str">
        <f t="shared" ca="1" si="33"/>
        <v/>
      </c>
    </row>
    <row r="222" spans="1:16">
      <c r="A222">
        <f t="shared" si="34"/>
        <v>219</v>
      </c>
      <c r="B222" t="str">
        <f ca="1">IFERROR(VLOOKUP($A222,'vbs,vba'!$G:$H,2,FALSE),"")</f>
        <v>グラフ サイズ変更（幅）</v>
      </c>
      <c r="C222" t="str">
        <f ca="1">IFERROR(VLOOKUP($A222,python!$I:$J,2,FALSE),"")</f>
        <v/>
      </c>
      <c r="D222" t="str">
        <f ca="1">IFERROR(VLOOKUP($A222,bat!$F:$G,2,FALSE),"")</f>
        <v/>
      </c>
      <c r="E222" t="str">
        <f ca="1">IFERROR(VLOOKUP($A222,shell!$F:$G,2,FALSE),"")</f>
        <v/>
      </c>
      <c r="F222" t="str">
        <f t="shared" ca="1" si="30"/>
        <v>グラフ サイズ変更（幅）</v>
      </c>
      <c r="G222">
        <f ca="1">IF($F222="","",COUNTIF($F$3:$F222,$F222))</f>
        <v>1</v>
      </c>
      <c r="H222">
        <f ca="1">IF(OR(G222&gt;1,G222=""),"",COUNTIF($G$3:$G222,1))</f>
        <v>214</v>
      </c>
      <c r="I222" t="str">
        <f t="shared" ca="1" si="31"/>
        <v>グラフ サイズ変更（幅）</v>
      </c>
      <c r="K222">
        <f t="shared" si="35"/>
        <v>219</v>
      </c>
      <c r="L222" t="str">
        <f t="shared" ca="1" si="27"/>
        <v>グラフ Ｘ軸 タイトル 変更</v>
      </c>
      <c r="M222" s="2" t="str">
        <f t="shared" ca="1" si="28"/>
        <v>○</v>
      </c>
      <c r="N222" s="2" t="str">
        <f t="shared" ca="1" si="29"/>
        <v/>
      </c>
      <c r="O222" s="2" t="str">
        <f t="shared" ca="1" si="32"/>
        <v/>
      </c>
      <c r="P222" s="2" t="str">
        <f t="shared" ca="1" si="33"/>
        <v/>
      </c>
    </row>
    <row r="223" spans="1:16">
      <c r="A223">
        <f t="shared" si="34"/>
        <v>220</v>
      </c>
      <c r="B223" t="str">
        <f ca="1">IFERROR(VLOOKUP($A223,'vbs,vba'!$G:$H,2,FALSE),"")</f>
        <v>グラフ サイズ変更（高さ）</v>
      </c>
      <c r="C223" t="str">
        <f ca="1">IFERROR(VLOOKUP($A223,python!$I:$J,2,FALSE),"")</f>
        <v/>
      </c>
      <c r="D223" t="str">
        <f ca="1">IFERROR(VLOOKUP($A223,bat!$F:$G,2,FALSE),"")</f>
        <v/>
      </c>
      <c r="E223" t="str">
        <f ca="1">IFERROR(VLOOKUP($A223,shell!$F:$G,2,FALSE),"")</f>
        <v/>
      </c>
      <c r="F223" t="str">
        <f t="shared" ca="1" si="30"/>
        <v>グラフ サイズ変更（高さ）</v>
      </c>
      <c r="G223">
        <f ca="1">IF($F223="","",COUNTIF($F$3:$F223,$F223))</f>
        <v>1</v>
      </c>
      <c r="H223">
        <f ca="1">IF(OR(G223&gt;1,G223=""),"",COUNTIF($G$3:$G223,1))</f>
        <v>215</v>
      </c>
      <c r="I223" t="str">
        <f t="shared" ca="1" si="31"/>
        <v>グラフ サイズ変更（高さ）</v>
      </c>
      <c r="K223">
        <f t="shared" si="35"/>
        <v>220</v>
      </c>
      <c r="L223" t="str">
        <f t="shared" ca="1" si="27"/>
        <v>グラフ Ｘ軸 目盛軸 有無</v>
      </c>
      <c r="M223" s="2" t="str">
        <f t="shared" ca="1" si="28"/>
        <v>○</v>
      </c>
      <c r="N223" s="2" t="str">
        <f t="shared" ca="1" si="29"/>
        <v/>
      </c>
      <c r="O223" s="2" t="str">
        <f t="shared" ca="1" si="32"/>
        <v/>
      </c>
      <c r="P223" s="2" t="str">
        <f t="shared" ca="1" si="33"/>
        <v/>
      </c>
    </row>
    <row r="224" spans="1:16">
      <c r="A224">
        <f t="shared" si="34"/>
        <v>221</v>
      </c>
      <c r="B224" t="str">
        <f ca="1">IFERROR(VLOOKUP($A224,'vbs,vba'!$G:$H,2,FALSE),"")</f>
        <v>グラフ 種別</v>
      </c>
      <c r="C224" t="str">
        <f ca="1">IFERROR(VLOOKUP($A224,python!$I:$J,2,FALSE),"")</f>
        <v/>
      </c>
      <c r="D224" t="str">
        <f ca="1">IFERROR(VLOOKUP($A224,bat!$F:$G,2,FALSE),"")</f>
        <v/>
      </c>
      <c r="E224" t="str">
        <f ca="1">IFERROR(VLOOKUP($A224,shell!$F:$G,2,FALSE),"")</f>
        <v/>
      </c>
      <c r="F224" t="str">
        <f t="shared" ca="1" si="30"/>
        <v>グラフ 種別</v>
      </c>
      <c r="G224">
        <f ca="1">IF($F224="","",COUNTIF($F$3:$F224,$F224))</f>
        <v>1</v>
      </c>
      <c r="H224">
        <f ca="1">IF(OR(G224&gt;1,G224=""),"",COUNTIF($G$3:$G224,1))</f>
        <v>216</v>
      </c>
      <c r="I224" t="str">
        <f t="shared" ca="1" si="31"/>
        <v>グラフ 種別</v>
      </c>
      <c r="K224">
        <f t="shared" si="35"/>
        <v>221</v>
      </c>
      <c r="L224" t="str">
        <f t="shared" ca="1" si="27"/>
        <v>グラフ Ｘ軸 目盛軸 色</v>
      </c>
      <c r="M224" s="2" t="str">
        <f t="shared" ca="1" si="28"/>
        <v>○</v>
      </c>
      <c r="N224" s="2" t="str">
        <f t="shared" ca="1" si="29"/>
        <v/>
      </c>
      <c r="O224" s="2" t="str">
        <f t="shared" ca="1" si="32"/>
        <v/>
      </c>
      <c r="P224" s="2" t="str">
        <f t="shared" ca="1" si="33"/>
        <v/>
      </c>
    </row>
    <row r="225" spans="1:16">
      <c r="A225">
        <f t="shared" si="34"/>
        <v>222</v>
      </c>
      <c r="B225" t="str">
        <f ca="1">IFERROR(VLOOKUP($A225,'vbs,vba'!$G:$H,2,FALSE),"")</f>
        <v>グラフ データ範囲変更</v>
      </c>
      <c r="C225" t="str">
        <f ca="1">IFERROR(VLOOKUP($A225,python!$I:$J,2,FALSE),"")</f>
        <v/>
      </c>
      <c r="D225" t="str">
        <f ca="1">IFERROR(VLOOKUP($A225,bat!$F:$G,2,FALSE),"")</f>
        <v/>
      </c>
      <c r="E225" t="str">
        <f ca="1">IFERROR(VLOOKUP($A225,shell!$F:$G,2,FALSE),"")</f>
        <v/>
      </c>
      <c r="F225" t="str">
        <f t="shared" ca="1" si="30"/>
        <v>グラフ データ範囲変更</v>
      </c>
      <c r="G225">
        <f ca="1">IF($F225="","",COUNTIF($F$3:$F225,$F225))</f>
        <v>1</v>
      </c>
      <c r="H225">
        <f ca="1">IF(OR(G225&gt;1,G225=""),"",COUNTIF($G$3:$G225,1))</f>
        <v>217</v>
      </c>
      <c r="I225" t="str">
        <f t="shared" ca="1" si="31"/>
        <v>グラフ データ範囲変更</v>
      </c>
      <c r="K225">
        <f t="shared" si="35"/>
        <v>222</v>
      </c>
      <c r="L225" t="str">
        <f t="shared" ca="1" si="27"/>
        <v>グラフ Ｘ軸 目盛軸 太さ</v>
      </c>
      <c r="M225" s="2" t="str">
        <f t="shared" ca="1" si="28"/>
        <v>○</v>
      </c>
      <c r="N225" s="2" t="str">
        <f t="shared" ca="1" si="29"/>
        <v/>
      </c>
      <c r="O225" s="2" t="str">
        <f t="shared" ca="1" si="32"/>
        <v/>
      </c>
      <c r="P225" s="2" t="str">
        <f t="shared" ca="1" si="33"/>
        <v/>
      </c>
    </row>
    <row r="226" spans="1:16">
      <c r="A226">
        <f t="shared" si="34"/>
        <v>223</v>
      </c>
      <c r="B226" t="str">
        <f ca="1">IFERROR(VLOOKUP($A226,'vbs,vba'!$G:$H,2,FALSE),"")</f>
        <v>グラフ Ｘ軸 タイトル 有無</v>
      </c>
      <c r="C226" t="str">
        <f ca="1">IFERROR(VLOOKUP($A226,python!$I:$J,2,FALSE),"")</f>
        <v/>
      </c>
      <c r="D226" t="str">
        <f ca="1">IFERROR(VLOOKUP($A226,bat!$F:$G,2,FALSE),"")</f>
        <v/>
      </c>
      <c r="E226" t="str">
        <f ca="1">IFERROR(VLOOKUP($A226,shell!$F:$G,2,FALSE),"")</f>
        <v/>
      </c>
      <c r="F226" t="str">
        <f t="shared" ca="1" si="30"/>
        <v>グラフ Ｘ軸 タイトル 有無</v>
      </c>
      <c r="G226">
        <f ca="1">IF($F226="","",COUNTIF($F$3:$F226,$F226))</f>
        <v>1</v>
      </c>
      <c r="H226">
        <f ca="1">IF(OR(G226&gt;1,G226=""),"",COUNTIF($G$3:$G226,1))</f>
        <v>218</v>
      </c>
      <c r="I226" t="str">
        <f t="shared" ca="1" si="31"/>
        <v>グラフ Ｘ軸 タイトル 有無</v>
      </c>
      <c r="K226">
        <f t="shared" si="35"/>
        <v>223</v>
      </c>
      <c r="L226" t="str">
        <f t="shared" ca="1" si="27"/>
        <v>グラフ Ｘ軸 目盛軸 スタイル</v>
      </c>
      <c r="M226" s="2" t="str">
        <f t="shared" ca="1" si="28"/>
        <v>○</v>
      </c>
      <c r="N226" s="2" t="str">
        <f t="shared" ca="1" si="29"/>
        <v/>
      </c>
      <c r="O226" s="2" t="str">
        <f t="shared" ca="1" si="32"/>
        <v/>
      </c>
      <c r="P226" s="2" t="str">
        <f t="shared" ca="1" si="33"/>
        <v/>
      </c>
    </row>
    <row r="227" spans="1:16">
      <c r="A227">
        <f t="shared" si="34"/>
        <v>224</v>
      </c>
      <c r="B227" t="str">
        <f ca="1">IFERROR(VLOOKUP($A227,'vbs,vba'!$G:$H,2,FALSE),"")</f>
        <v>グラフ Ｘ軸 タイトル 変更</v>
      </c>
      <c r="C227" t="str">
        <f ca="1">IFERROR(VLOOKUP($A227,python!$I:$J,2,FALSE),"")</f>
        <v/>
      </c>
      <c r="D227" t="str">
        <f ca="1">IFERROR(VLOOKUP($A227,bat!$F:$G,2,FALSE),"")</f>
        <v/>
      </c>
      <c r="E227" t="str">
        <f ca="1">IFERROR(VLOOKUP($A227,shell!$F:$G,2,FALSE),"")</f>
        <v/>
      </c>
      <c r="F227" t="str">
        <f t="shared" ca="1" si="30"/>
        <v>グラフ Ｘ軸 タイトル 変更</v>
      </c>
      <c r="G227">
        <f ca="1">IF($F227="","",COUNTIF($F$3:$F227,$F227))</f>
        <v>1</v>
      </c>
      <c r="H227">
        <f ca="1">IF(OR(G227&gt;1,G227=""),"",COUNTIF($G$3:$G227,1))</f>
        <v>219</v>
      </c>
      <c r="I227" t="str">
        <f t="shared" ca="1" si="31"/>
        <v>グラフ Ｘ軸 タイトル 変更</v>
      </c>
      <c r="K227">
        <f t="shared" si="35"/>
        <v>224</v>
      </c>
      <c r="L227" t="str">
        <f t="shared" ca="1" si="27"/>
        <v>グラフ Ｘ軸 補助目盛軸 〃</v>
      </c>
      <c r="M227" s="2" t="str">
        <f t="shared" ca="1" si="28"/>
        <v>○</v>
      </c>
      <c r="N227" s="2" t="str">
        <f t="shared" ca="1" si="29"/>
        <v/>
      </c>
      <c r="O227" s="2" t="str">
        <f t="shared" ca="1" si="32"/>
        <v/>
      </c>
      <c r="P227" s="2" t="str">
        <f t="shared" ca="1" si="33"/>
        <v/>
      </c>
    </row>
    <row r="228" spans="1:16">
      <c r="A228">
        <f t="shared" si="34"/>
        <v>225</v>
      </c>
      <c r="B228" t="str">
        <f ca="1">IFERROR(VLOOKUP($A228,'vbs,vba'!$G:$H,2,FALSE),"")</f>
        <v>グラフ Ｘ軸 目盛軸 有無</v>
      </c>
      <c r="C228" t="str">
        <f ca="1">IFERROR(VLOOKUP($A228,python!$I:$J,2,FALSE),"")</f>
        <v/>
      </c>
      <c r="D228" t="str">
        <f ca="1">IFERROR(VLOOKUP($A228,bat!$F:$G,2,FALSE),"")</f>
        <v/>
      </c>
      <c r="E228" t="str">
        <f ca="1">IFERROR(VLOOKUP($A228,shell!$F:$G,2,FALSE),"")</f>
        <v/>
      </c>
      <c r="F228" t="str">
        <f t="shared" ca="1" si="30"/>
        <v>グラフ Ｘ軸 目盛軸 有無</v>
      </c>
      <c r="G228">
        <f ca="1">IF($F228="","",COUNTIF($F$3:$F228,$F228))</f>
        <v>1</v>
      </c>
      <c r="H228">
        <f ca="1">IF(OR(G228&gt;1,G228=""),"",COUNTIF($G$3:$G228,1))</f>
        <v>220</v>
      </c>
      <c r="I228" t="str">
        <f t="shared" ca="1" si="31"/>
        <v>グラフ Ｘ軸 目盛軸 有無</v>
      </c>
      <c r="K228">
        <f t="shared" si="35"/>
        <v>225</v>
      </c>
      <c r="L228" t="str">
        <f t="shared" ca="1" si="27"/>
        <v>グラフ Ｘ軸 最小値 自動</v>
      </c>
      <c r="M228" s="2" t="str">
        <f t="shared" ca="1" si="28"/>
        <v>○</v>
      </c>
      <c r="N228" s="2" t="str">
        <f t="shared" ca="1" si="29"/>
        <v/>
      </c>
      <c r="O228" s="2" t="str">
        <f t="shared" ca="1" si="32"/>
        <v/>
      </c>
      <c r="P228" s="2" t="str">
        <f t="shared" ca="1" si="33"/>
        <v/>
      </c>
    </row>
    <row r="229" spans="1:16">
      <c r="A229">
        <f t="shared" si="34"/>
        <v>226</v>
      </c>
      <c r="B229" t="str">
        <f ca="1">IFERROR(VLOOKUP($A229,'vbs,vba'!$G:$H,2,FALSE),"")</f>
        <v>グラフ Ｘ軸 目盛軸 色</v>
      </c>
      <c r="C229" t="str">
        <f ca="1">IFERROR(VLOOKUP($A229,python!$I:$J,2,FALSE),"")</f>
        <v/>
      </c>
      <c r="D229" t="str">
        <f ca="1">IFERROR(VLOOKUP($A229,bat!$F:$G,2,FALSE),"")</f>
        <v/>
      </c>
      <c r="E229" t="str">
        <f ca="1">IFERROR(VLOOKUP($A229,shell!$F:$G,2,FALSE),"")</f>
        <v/>
      </c>
      <c r="F229" t="str">
        <f t="shared" ca="1" si="30"/>
        <v>グラフ Ｘ軸 目盛軸 色</v>
      </c>
      <c r="G229">
        <f ca="1">IF($F229="","",COUNTIF($F$3:$F229,$F229))</f>
        <v>1</v>
      </c>
      <c r="H229">
        <f ca="1">IF(OR(G229&gt;1,G229=""),"",COUNTIF($G$3:$G229,1))</f>
        <v>221</v>
      </c>
      <c r="I229" t="str">
        <f t="shared" ca="1" si="31"/>
        <v>グラフ Ｘ軸 目盛軸 色</v>
      </c>
      <c r="K229">
        <f t="shared" si="35"/>
        <v>226</v>
      </c>
      <c r="L229" t="str">
        <f t="shared" ca="1" si="27"/>
        <v>グラフ Ｘ軸 最大値 自動</v>
      </c>
      <c r="M229" s="2" t="str">
        <f t="shared" ca="1" si="28"/>
        <v>○</v>
      </c>
      <c r="N229" s="2" t="str">
        <f t="shared" ca="1" si="29"/>
        <v/>
      </c>
      <c r="O229" s="2" t="str">
        <f t="shared" ca="1" si="32"/>
        <v/>
      </c>
      <c r="P229" s="2" t="str">
        <f t="shared" ca="1" si="33"/>
        <v/>
      </c>
    </row>
    <row r="230" spans="1:16">
      <c r="A230">
        <f t="shared" si="34"/>
        <v>227</v>
      </c>
      <c r="B230" t="str">
        <f ca="1">IFERROR(VLOOKUP($A230,'vbs,vba'!$G:$H,2,FALSE),"")</f>
        <v>グラフ Ｘ軸 目盛軸 太さ</v>
      </c>
      <c r="C230" t="str">
        <f ca="1">IFERROR(VLOOKUP($A230,python!$I:$J,2,FALSE),"")</f>
        <v/>
      </c>
      <c r="D230" t="str">
        <f ca="1">IFERROR(VLOOKUP($A230,bat!$F:$G,2,FALSE),"")</f>
        <v/>
      </c>
      <c r="E230" t="str">
        <f ca="1">IFERROR(VLOOKUP($A230,shell!$F:$G,2,FALSE),"")</f>
        <v/>
      </c>
      <c r="F230" t="str">
        <f t="shared" ca="1" si="30"/>
        <v>グラフ Ｘ軸 目盛軸 太さ</v>
      </c>
      <c r="G230">
        <f ca="1">IF($F230="","",COUNTIF($F$3:$F230,$F230))</f>
        <v>1</v>
      </c>
      <c r="H230">
        <f ca="1">IF(OR(G230&gt;1,G230=""),"",COUNTIF($G$3:$G230,1))</f>
        <v>222</v>
      </c>
      <c r="I230" t="str">
        <f t="shared" ca="1" si="31"/>
        <v>グラフ Ｘ軸 目盛軸 太さ</v>
      </c>
      <c r="K230">
        <f t="shared" si="35"/>
        <v>227</v>
      </c>
      <c r="L230" t="str">
        <f t="shared" ca="1" si="27"/>
        <v>グラフ Ｘ軸 最小値 設定</v>
      </c>
      <c r="M230" s="2" t="str">
        <f t="shared" ca="1" si="28"/>
        <v>○</v>
      </c>
      <c r="N230" s="2" t="str">
        <f t="shared" ca="1" si="29"/>
        <v/>
      </c>
      <c r="O230" s="2" t="str">
        <f t="shared" ca="1" si="32"/>
        <v/>
      </c>
      <c r="P230" s="2" t="str">
        <f t="shared" ca="1" si="33"/>
        <v/>
      </c>
    </row>
    <row r="231" spans="1:16">
      <c r="A231">
        <f t="shared" si="34"/>
        <v>228</v>
      </c>
      <c r="B231" t="str">
        <f ca="1">IFERROR(VLOOKUP($A231,'vbs,vba'!$G:$H,2,FALSE),"")</f>
        <v>グラフ Ｘ軸 目盛軸 スタイル</v>
      </c>
      <c r="C231" t="str">
        <f ca="1">IFERROR(VLOOKUP($A231,python!$I:$J,2,FALSE),"")</f>
        <v/>
      </c>
      <c r="D231" t="str">
        <f ca="1">IFERROR(VLOOKUP($A231,bat!$F:$G,2,FALSE),"")</f>
        <v/>
      </c>
      <c r="E231" t="str">
        <f ca="1">IFERROR(VLOOKUP($A231,shell!$F:$G,2,FALSE),"")</f>
        <v/>
      </c>
      <c r="F231" t="str">
        <f t="shared" ca="1" si="30"/>
        <v>グラフ Ｘ軸 目盛軸 スタイル</v>
      </c>
      <c r="G231">
        <f ca="1">IF($F231="","",COUNTIF($F$3:$F231,$F231))</f>
        <v>1</v>
      </c>
      <c r="H231">
        <f ca="1">IF(OR(G231&gt;1,G231=""),"",COUNTIF($G$3:$G231,1))</f>
        <v>223</v>
      </c>
      <c r="I231" t="str">
        <f t="shared" ca="1" si="31"/>
        <v>グラフ Ｘ軸 目盛軸 スタイル</v>
      </c>
      <c r="K231">
        <f t="shared" si="35"/>
        <v>228</v>
      </c>
      <c r="L231" t="str">
        <f t="shared" ca="1" si="27"/>
        <v>グラフ Ｘ軸 最大値 設定</v>
      </c>
      <c r="M231" s="2" t="str">
        <f t="shared" ca="1" si="28"/>
        <v>○</v>
      </c>
      <c r="N231" s="2" t="str">
        <f t="shared" ca="1" si="29"/>
        <v/>
      </c>
      <c r="O231" s="2" t="str">
        <f t="shared" ca="1" si="32"/>
        <v/>
      </c>
      <c r="P231" s="2" t="str">
        <f t="shared" ca="1" si="33"/>
        <v/>
      </c>
    </row>
    <row r="232" spans="1:16">
      <c r="A232">
        <f t="shared" si="34"/>
        <v>229</v>
      </c>
      <c r="B232" t="str">
        <f ca="1">IFERROR(VLOOKUP($A232,'vbs,vba'!$G:$H,2,FALSE),"")</f>
        <v>グラフ Ｘ軸 補助目盛軸 〃</v>
      </c>
      <c r="C232" t="str">
        <f ca="1">IFERROR(VLOOKUP($A232,python!$I:$J,2,FALSE),"")</f>
        <v/>
      </c>
      <c r="D232" t="str">
        <f ca="1">IFERROR(VLOOKUP($A232,bat!$F:$G,2,FALSE),"")</f>
        <v/>
      </c>
      <c r="E232" t="str">
        <f ca="1">IFERROR(VLOOKUP($A232,shell!$F:$G,2,FALSE),"")</f>
        <v/>
      </c>
      <c r="F232" t="str">
        <f t="shared" ca="1" si="30"/>
        <v>グラフ Ｘ軸 補助目盛軸 〃</v>
      </c>
      <c r="G232">
        <f ca="1">IF($F232="","",COUNTIF($F$3:$F232,$F232))</f>
        <v>1</v>
      </c>
      <c r="H232">
        <f ca="1">IF(OR(G232&gt;1,G232=""),"",COUNTIF($G$3:$G232,1))</f>
        <v>224</v>
      </c>
      <c r="I232" t="str">
        <f t="shared" ca="1" si="31"/>
        <v>グラフ Ｘ軸 補助目盛軸 〃</v>
      </c>
      <c r="K232">
        <f t="shared" si="35"/>
        <v>229</v>
      </c>
      <c r="L232" t="str">
        <f t="shared" ca="1" si="27"/>
        <v>グラフ Ｘ軸 縦軸との交点</v>
      </c>
      <c r="M232" s="2" t="str">
        <f t="shared" ca="1" si="28"/>
        <v>○</v>
      </c>
      <c r="N232" s="2" t="str">
        <f t="shared" ca="1" si="29"/>
        <v/>
      </c>
      <c r="O232" s="2" t="str">
        <f t="shared" ca="1" si="32"/>
        <v/>
      </c>
      <c r="P232" s="2" t="str">
        <f t="shared" ca="1" si="33"/>
        <v/>
      </c>
    </row>
    <row r="233" spans="1:16">
      <c r="A233">
        <f t="shared" si="34"/>
        <v>230</v>
      </c>
      <c r="B233" t="str">
        <f ca="1">IFERROR(VLOOKUP($A233,'vbs,vba'!$G:$H,2,FALSE),"")</f>
        <v>グラフ Ｘ軸 最小値 自動</v>
      </c>
      <c r="C233" t="str">
        <f ca="1">IFERROR(VLOOKUP($A233,python!$I:$J,2,FALSE),"")</f>
        <v/>
      </c>
      <c r="D233" t="str">
        <f ca="1">IFERROR(VLOOKUP($A233,bat!$F:$G,2,FALSE),"")</f>
        <v/>
      </c>
      <c r="E233" t="str">
        <f ca="1">IFERROR(VLOOKUP($A233,shell!$F:$G,2,FALSE),"")</f>
        <v/>
      </c>
      <c r="F233" t="str">
        <f t="shared" ca="1" si="30"/>
        <v>グラフ Ｘ軸 最小値 自動</v>
      </c>
      <c r="G233">
        <f ca="1">IF($F233="","",COUNTIF($F$3:$F233,$F233))</f>
        <v>1</v>
      </c>
      <c r="H233">
        <f ca="1">IF(OR(G233&gt;1,G233=""),"",COUNTIF($G$3:$G233,1))</f>
        <v>225</v>
      </c>
      <c r="I233" t="str">
        <f t="shared" ca="1" si="31"/>
        <v>グラフ Ｘ軸 最小値 自動</v>
      </c>
      <c r="K233">
        <f t="shared" si="35"/>
        <v>230</v>
      </c>
      <c r="L233" t="str">
        <f t="shared" ca="1" si="27"/>
        <v>グラフ Ｙ軸 〃</v>
      </c>
      <c r="M233" s="2" t="str">
        <f t="shared" ca="1" si="28"/>
        <v>○</v>
      </c>
      <c r="N233" s="2" t="str">
        <f t="shared" ca="1" si="29"/>
        <v/>
      </c>
      <c r="O233" s="2" t="str">
        <f t="shared" ca="1" si="32"/>
        <v/>
      </c>
      <c r="P233" s="2" t="str">
        <f t="shared" ca="1" si="33"/>
        <v/>
      </c>
    </row>
    <row r="234" spans="1:16">
      <c r="A234">
        <f t="shared" si="34"/>
        <v>231</v>
      </c>
      <c r="B234" t="str">
        <f ca="1">IFERROR(VLOOKUP($A234,'vbs,vba'!$G:$H,2,FALSE),"")</f>
        <v>グラフ Ｘ軸 最大値 自動</v>
      </c>
      <c r="C234" t="str">
        <f ca="1">IFERROR(VLOOKUP($A234,python!$I:$J,2,FALSE),"")</f>
        <v/>
      </c>
      <c r="D234" t="str">
        <f ca="1">IFERROR(VLOOKUP($A234,bat!$F:$G,2,FALSE),"")</f>
        <v/>
      </c>
      <c r="E234" t="str">
        <f ca="1">IFERROR(VLOOKUP($A234,shell!$F:$G,2,FALSE),"")</f>
        <v/>
      </c>
      <c r="F234" t="str">
        <f t="shared" ca="1" si="30"/>
        <v>グラフ Ｘ軸 最大値 自動</v>
      </c>
      <c r="G234">
        <f ca="1">IF($F234="","",COUNTIF($F$3:$F234,$F234))</f>
        <v>1</v>
      </c>
      <c r="H234">
        <f ca="1">IF(OR(G234&gt;1,G234=""),"",COUNTIF($G$3:$G234,1))</f>
        <v>226</v>
      </c>
      <c r="I234" t="str">
        <f t="shared" ca="1" si="31"/>
        <v>グラフ Ｘ軸 最大値 自動</v>
      </c>
      <c r="K234">
        <f t="shared" si="35"/>
        <v>231</v>
      </c>
      <c r="L234" t="str">
        <f t="shared" ca="1" si="27"/>
        <v>グラフ タイトル 有無</v>
      </c>
      <c r="M234" s="2" t="str">
        <f t="shared" ca="1" si="28"/>
        <v>○</v>
      </c>
      <c r="N234" s="2" t="str">
        <f t="shared" ca="1" si="29"/>
        <v/>
      </c>
      <c r="O234" s="2" t="str">
        <f t="shared" ca="1" si="32"/>
        <v/>
      </c>
      <c r="P234" s="2" t="str">
        <f t="shared" ca="1" si="33"/>
        <v/>
      </c>
    </row>
    <row r="235" spans="1:16">
      <c r="A235">
        <f t="shared" si="34"/>
        <v>232</v>
      </c>
      <c r="B235" t="str">
        <f ca="1">IFERROR(VLOOKUP($A235,'vbs,vba'!$G:$H,2,FALSE),"")</f>
        <v>グラフ Ｘ軸 最小値 設定</v>
      </c>
      <c r="C235" t="str">
        <f ca="1">IFERROR(VLOOKUP($A235,python!$I:$J,2,FALSE),"")</f>
        <v/>
      </c>
      <c r="D235" t="str">
        <f ca="1">IFERROR(VLOOKUP($A235,bat!$F:$G,2,FALSE),"")</f>
        <v/>
      </c>
      <c r="E235" t="str">
        <f ca="1">IFERROR(VLOOKUP($A235,shell!$F:$G,2,FALSE),"")</f>
        <v/>
      </c>
      <c r="F235" t="str">
        <f t="shared" ca="1" si="30"/>
        <v>グラフ Ｘ軸 最小値 設定</v>
      </c>
      <c r="G235">
        <f ca="1">IF($F235="","",COUNTIF($F$3:$F235,$F235))</f>
        <v>1</v>
      </c>
      <c r="H235">
        <f ca="1">IF(OR(G235&gt;1,G235=""),"",COUNTIF($G$3:$G235,1))</f>
        <v>227</v>
      </c>
      <c r="I235" t="str">
        <f t="shared" ca="1" si="31"/>
        <v>グラフ Ｘ軸 最小値 設定</v>
      </c>
      <c r="K235">
        <f t="shared" si="35"/>
        <v>232</v>
      </c>
      <c r="L235" t="str">
        <f t="shared" ca="1" si="27"/>
        <v>グラフ タイトル 変更</v>
      </c>
      <c r="M235" s="2" t="str">
        <f t="shared" ca="1" si="28"/>
        <v>○</v>
      </c>
      <c r="N235" s="2" t="str">
        <f t="shared" ca="1" si="29"/>
        <v/>
      </c>
      <c r="O235" s="2" t="str">
        <f t="shared" ca="1" si="32"/>
        <v/>
      </c>
      <c r="P235" s="2" t="str">
        <f t="shared" ca="1" si="33"/>
        <v/>
      </c>
    </row>
    <row r="236" spans="1:16">
      <c r="A236">
        <f t="shared" si="34"/>
        <v>233</v>
      </c>
      <c r="B236" t="str">
        <f ca="1">IFERROR(VLOOKUP($A236,'vbs,vba'!$G:$H,2,FALSE),"")</f>
        <v>グラフ Ｘ軸 最大値 設定</v>
      </c>
      <c r="C236" t="str">
        <f ca="1">IFERROR(VLOOKUP($A236,python!$I:$J,2,FALSE),"")</f>
        <v/>
      </c>
      <c r="D236" t="str">
        <f ca="1">IFERROR(VLOOKUP($A236,bat!$F:$G,2,FALSE),"")</f>
        <v/>
      </c>
      <c r="E236" t="str">
        <f ca="1">IFERROR(VLOOKUP($A236,shell!$F:$G,2,FALSE),"")</f>
        <v/>
      </c>
      <c r="F236" t="str">
        <f t="shared" ca="1" si="30"/>
        <v>グラフ Ｘ軸 最大値 設定</v>
      </c>
      <c r="G236">
        <f ca="1">IF($F236="","",COUNTIF($F$3:$F236,$F236))</f>
        <v>1</v>
      </c>
      <c r="H236">
        <f ca="1">IF(OR(G236&gt;1,G236=""),"",COUNTIF($G$3:$G236,1))</f>
        <v>228</v>
      </c>
      <c r="I236" t="str">
        <f t="shared" ca="1" si="31"/>
        <v>グラフ Ｘ軸 最大値 設定</v>
      </c>
      <c r="K236">
        <f t="shared" si="35"/>
        <v>233</v>
      </c>
      <c r="L236" t="str">
        <f t="shared" ca="1" si="27"/>
        <v>グラフ タイトル グラフに重ねる</v>
      </c>
      <c r="M236" s="2" t="str">
        <f t="shared" ca="1" si="28"/>
        <v>○</v>
      </c>
      <c r="N236" s="2" t="str">
        <f t="shared" ca="1" si="29"/>
        <v/>
      </c>
      <c r="O236" s="2" t="str">
        <f t="shared" ca="1" si="32"/>
        <v/>
      </c>
      <c r="P236" s="2" t="str">
        <f t="shared" ca="1" si="33"/>
        <v/>
      </c>
    </row>
    <row r="237" spans="1:16">
      <c r="A237">
        <f t="shared" si="34"/>
        <v>234</v>
      </c>
      <c r="B237" t="str">
        <f ca="1">IFERROR(VLOOKUP($A237,'vbs,vba'!$G:$H,2,FALSE),"")</f>
        <v>グラフ Ｘ軸 縦軸との交点</v>
      </c>
      <c r="C237" t="str">
        <f ca="1">IFERROR(VLOOKUP($A237,python!$I:$J,2,FALSE),"")</f>
        <v/>
      </c>
      <c r="D237" t="str">
        <f ca="1">IFERROR(VLOOKUP($A237,bat!$F:$G,2,FALSE),"")</f>
        <v/>
      </c>
      <c r="E237" t="str">
        <f ca="1">IFERROR(VLOOKUP($A237,shell!$F:$G,2,FALSE),"")</f>
        <v/>
      </c>
      <c r="F237" t="str">
        <f t="shared" ca="1" si="30"/>
        <v>グラフ Ｘ軸 縦軸との交点</v>
      </c>
      <c r="G237">
        <f ca="1">IF($F237="","",COUNTIF($F$3:$F237,$F237))</f>
        <v>1</v>
      </c>
      <c r="H237">
        <f ca="1">IF(OR(G237&gt;1,G237=""),"",COUNTIF($G$3:$G237,1))</f>
        <v>229</v>
      </c>
      <c r="I237" t="str">
        <f t="shared" ca="1" si="31"/>
        <v>グラフ Ｘ軸 縦軸との交点</v>
      </c>
      <c r="K237">
        <f t="shared" si="35"/>
        <v>234</v>
      </c>
      <c r="L237" t="str">
        <f t="shared" ca="1" si="27"/>
        <v>グラフ 凡例 有無</v>
      </c>
      <c r="M237" s="2" t="str">
        <f t="shared" ca="1" si="28"/>
        <v>○</v>
      </c>
      <c r="N237" s="2" t="str">
        <f t="shared" ca="1" si="29"/>
        <v/>
      </c>
      <c r="O237" s="2" t="str">
        <f t="shared" ca="1" si="32"/>
        <v/>
      </c>
      <c r="P237" s="2" t="str">
        <f t="shared" ca="1" si="33"/>
        <v/>
      </c>
    </row>
    <row r="238" spans="1:16">
      <c r="A238">
        <f t="shared" si="34"/>
        <v>235</v>
      </c>
      <c r="B238" t="str">
        <f ca="1">IFERROR(VLOOKUP($A238,'vbs,vba'!$G:$H,2,FALSE),"")</f>
        <v>グラフ Ｙ軸 〃</v>
      </c>
      <c r="C238" t="str">
        <f ca="1">IFERROR(VLOOKUP($A238,python!$I:$J,2,FALSE),"")</f>
        <v/>
      </c>
      <c r="D238" t="str">
        <f ca="1">IFERROR(VLOOKUP($A238,bat!$F:$G,2,FALSE),"")</f>
        <v/>
      </c>
      <c r="E238" t="str">
        <f ca="1">IFERROR(VLOOKUP($A238,shell!$F:$G,2,FALSE),"")</f>
        <v/>
      </c>
      <c r="F238" t="str">
        <f t="shared" ca="1" si="30"/>
        <v>グラフ Ｙ軸 〃</v>
      </c>
      <c r="G238">
        <f ca="1">IF($F238="","",COUNTIF($F$3:$F238,$F238))</f>
        <v>1</v>
      </c>
      <c r="H238">
        <f ca="1">IF(OR(G238&gt;1,G238=""),"",COUNTIF($G$3:$G238,1))</f>
        <v>230</v>
      </c>
      <c r="I238" t="str">
        <f t="shared" ca="1" si="31"/>
        <v>グラフ Ｙ軸 〃</v>
      </c>
      <c r="K238">
        <f t="shared" si="35"/>
        <v>235</v>
      </c>
      <c r="L238" t="str">
        <f t="shared" ca="1" si="27"/>
        <v>グラフ 凡例 位置</v>
      </c>
      <c r="M238" s="2" t="str">
        <f t="shared" ca="1" si="28"/>
        <v>○</v>
      </c>
      <c r="N238" s="2" t="str">
        <f t="shared" ca="1" si="29"/>
        <v/>
      </c>
      <c r="O238" s="2" t="str">
        <f t="shared" ca="1" si="32"/>
        <v/>
      </c>
      <c r="P238" s="2" t="str">
        <f t="shared" ca="1" si="33"/>
        <v/>
      </c>
    </row>
    <row r="239" spans="1:16">
      <c r="A239">
        <f t="shared" si="34"/>
        <v>236</v>
      </c>
      <c r="B239" t="str">
        <f ca="1">IFERROR(VLOOKUP($A239,'vbs,vba'!$G:$H,2,FALSE),"")</f>
        <v>グラフ タイトル 有無</v>
      </c>
      <c r="C239" t="str">
        <f ca="1">IFERROR(VLOOKUP($A239,python!$I:$J,2,FALSE),"")</f>
        <v/>
      </c>
      <c r="D239" t="str">
        <f ca="1">IFERROR(VLOOKUP($A239,bat!$F:$G,2,FALSE),"")</f>
        <v/>
      </c>
      <c r="E239" t="str">
        <f ca="1">IFERROR(VLOOKUP($A239,shell!$F:$G,2,FALSE),"")</f>
        <v/>
      </c>
      <c r="F239" t="str">
        <f t="shared" ca="1" si="30"/>
        <v>グラフ タイトル 有無</v>
      </c>
      <c r="G239">
        <f ca="1">IF($F239="","",COUNTIF($F$3:$F239,$F239))</f>
        <v>1</v>
      </c>
      <c r="H239">
        <f ca="1">IF(OR(G239&gt;1,G239=""),"",COUNTIF($G$3:$G239,1))</f>
        <v>231</v>
      </c>
      <c r="I239" t="str">
        <f t="shared" ca="1" si="31"/>
        <v>グラフ タイトル 有無</v>
      </c>
      <c r="K239">
        <f t="shared" si="35"/>
        <v>236</v>
      </c>
      <c r="L239" t="str">
        <f t="shared" ca="1" si="27"/>
        <v>グラフ 凡例 グラフに重ねる</v>
      </c>
      <c r="M239" s="2" t="str">
        <f t="shared" ca="1" si="28"/>
        <v>○</v>
      </c>
      <c r="N239" s="2" t="str">
        <f t="shared" ca="1" si="29"/>
        <v/>
      </c>
      <c r="O239" s="2" t="str">
        <f t="shared" ca="1" si="32"/>
        <v/>
      </c>
      <c r="P239" s="2" t="str">
        <f t="shared" ca="1" si="33"/>
        <v/>
      </c>
    </row>
    <row r="240" spans="1:16">
      <c r="A240">
        <f t="shared" si="34"/>
        <v>237</v>
      </c>
      <c r="B240" t="str">
        <f ca="1">IFERROR(VLOOKUP($A240,'vbs,vba'!$G:$H,2,FALSE),"")</f>
        <v>グラフ タイトル 変更</v>
      </c>
      <c r="C240" t="str">
        <f ca="1">IFERROR(VLOOKUP($A240,python!$I:$J,2,FALSE),"")</f>
        <v/>
      </c>
      <c r="D240" t="str">
        <f ca="1">IFERROR(VLOOKUP($A240,bat!$F:$G,2,FALSE),"")</f>
        <v/>
      </c>
      <c r="E240" t="str">
        <f ca="1">IFERROR(VLOOKUP($A240,shell!$F:$G,2,FALSE),"")</f>
        <v/>
      </c>
      <c r="F240" t="str">
        <f t="shared" ca="1" si="30"/>
        <v>グラフ タイトル 変更</v>
      </c>
      <c r="G240">
        <f ca="1">IF($F240="","",COUNTIF($F$3:$F240,$F240))</f>
        <v>1</v>
      </c>
      <c r="H240">
        <f ca="1">IF(OR(G240&gt;1,G240=""),"",COUNTIF($G$3:$G240,1))</f>
        <v>232</v>
      </c>
      <c r="I240" t="str">
        <f t="shared" ca="1" si="31"/>
        <v>グラフ タイトル 変更</v>
      </c>
      <c r="K240">
        <f t="shared" si="35"/>
        <v>237</v>
      </c>
      <c r="L240" t="str">
        <f t="shared" ca="1" si="27"/>
        <v>グラフ 画像として貼り付け</v>
      </c>
      <c r="M240" s="2" t="str">
        <f t="shared" ca="1" si="28"/>
        <v>○</v>
      </c>
      <c r="N240" s="2" t="str">
        <f t="shared" ca="1" si="29"/>
        <v/>
      </c>
      <c r="O240" s="2" t="str">
        <f t="shared" ca="1" si="32"/>
        <v/>
      </c>
      <c r="P240" s="2" t="str">
        <f t="shared" ca="1" si="33"/>
        <v/>
      </c>
    </row>
    <row r="241" spans="1:16">
      <c r="A241">
        <f t="shared" si="34"/>
        <v>238</v>
      </c>
      <c r="B241" t="str">
        <f ca="1">IFERROR(VLOOKUP($A241,'vbs,vba'!$G:$H,2,FALSE),"")</f>
        <v>グラフ タイトル グラフに重ねる</v>
      </c>
      <c r="C241" t="str">
        <f ca="1">IFERROR(VLOOKUP($A241,python!$I:$J,2,FALSE),"")</f>
        <v/>
      </c>
      <c r="D241" t="str">
        <f ca="1">IFERROR(VLOOKUP($A241,bat!$F:$G,2,FALSE),"")</f>
        <v/>
      </c>
      <c r="E241" t="str">
        <f ca="1">IFERROR(VLOOKUP($A241,shell!$F:$G,2,FALSE),"")</f>
        <v/>
      </c>
      <c r="F241" t="str">
        <f t="shared" ca="1" si="30"/>
        <v>グラフ タイトル グラフに重ねる</v>
      </c>
      <c r="G241">
        <f ca="1">IF($F241="","",COUNTIF($F$3:$F241,$F241))</f>
        <v>1</v>
      </c>
      <c r="H241">
        <f ca="1">IF(OR(G241&gt;1,G241=""),"",COUNTIF($G$3:$G241,1))</f>
        <v>233</v>
      </c>
      <c r="I241" t="str">
        <f t="shared" ca="1" si="31"/>
        <v>グラフ タイトル グラフに重ねる</v>
      </c>
      <c r="K241">
        <f t="shared" si="35"/>
        <v>238</v>
      </c>
      <c r="L241" t="str">
        <f t="shared" ca="1" si="27"/>
        <v>フォーム ロード</v>
      </c>
      <c r="M241" s="2" t="str">
        <f t="shared" ca="1" si="28"/>
        <v>○</v>
      </c>
      <c r="N241" s="2" t="str">
        <f t="shared" ca="1" si="29"/>
        <v/>
      </c>
      <c r="O241" s="2" t="str">
        <f t="shared" ca="1" si="32"/>
        <v/>
      </c>
      <c r="P241" s="2" t="str">
        <f t="shared" ca="1" si="33"/>
        <v/>
      </c>
    </row>
    <row r="242" spans="1:16">
      <c r="A242">
        <f t="shared" si="34"/>
        <v>239</v>
      </c>
      <c r="B242" t="str">
        <f ca="1">IFERROR(VLOOKUP($A242,'vbs,vba'!$G:$H,2,FALSE),"")</f>
        <v>グラフ 凡例 有無</v>
      </c>
      <c r="C242" t="str">
        <f ca="1">IFERROR(VLOOKUP($A242,python!$I:$J,2,FALSE),"")</f>
        <v/>
      </c>
      <c r="D242" t="str">
        <f ca="1">IFERROR(VLOOKUP($A242,bat!$F:$G,2,FALSE),"")</f>
        <v/>
      </c>
      <c r="E242" t="str">
        <f ca="1">IFERROR(VLOOKUP($A242,shell!$F:$G,2,FALSE),"")</f>
        <v/>
      </c>
      <c r="F242" t="str">
        <f t="shared" ca="1" si="30"/>
        <v>グラフ 凡例 有無</v>
      </c>
      <c r="G242">
        <f ca="1">IF($F242="","",COUNTIF($F$3:$F242,$F242))</f>
        <v>1</v>
      </c>
      <c r="H242">
        <f ca="1">IF(OR(G242&gt;1,G242=""),"",COUNTIF($G$3:$G242,1))</f>
        <v>234</v>
      </c>
      <c r="I242" t="str">
        <f t="shared" ca="1" si="31"/>
        <v>グラフ 凡例 有無</v>
      </c>
      <c r="K242">
        <f t="shared" si="35"/>
        <v>239</v>
      </c>
      <c r="L242" t="str">
        <f t="shared" ca="1" si="27"/>
        <v>フォーム アンロード</v>
      </c>
      <c r="M242" s="2" t="str">
        <f t="shared" ca="1" si="28"/>
        <v>○</v>
      </c>
      <c r="N242" s="2" t="str">
        <f t="shared" ca="1" si="29"/>
        <v/>
      </c>
      <c r="O242" s="2" t="str">
        <f t="shared" ca="1" si="32"/>
        <v/>
      </c>
      <c r="P242" s="2" t="str">
        <f t="shared" ca="1" si="33"/>
        <v/>
      </c>
    </row>
    <row r="243" spans="1:16">
      <c r="A243">
        <f t="shared" si="34"/>
        <v>240</v>
      </c>
      <c r="B243" t="str">
        <f ca="1">IFERROR(VLOOKUP($A243,'vbs,vba'!$G:$H,2,FALSE),"")</f>
        <v>グラフ 凡例 位置</v>
      </c>
      <c r="C243" t="str">
        <f ca="1">IFERROR(VLOOKUP($A243,python!$I:$J,2,FALSE),"")</f>
        <v/>
      </c>
      <c r="D243" t="str">
        <f ca="1">IFERROR(VLOOKUP($A243,bat!$F:$G,2,FALSE),"")</f>
        <v/>
      </c>
      <c r="E243" t="str">
        <f ca="1">IFERROR(VLOOKUP($A243,shell!$F:$G,2,FALSE),"")</f>
        <v/>
      </c>
      <c r="F243" t="str">
        <f t="shared" ca="1" si="30"/>
        <v>グラフ 凡例 位置</v>
      </c>
      <c r="G243">
        <f ca="1">IF($F243="","",COUNTIF($F$3:$F243,$F243))</f>
        <v>1</v>
      </c>
      <c r="H243">
        <f ca="1">IF(OR(G243&gt;1,G243=""),"",COUNTIF($G$3:$G243,1))</f>
        <v>235</v>
      </c>
      <c r="I243" t="str">
        <f t="shared" ca="1" si="31"/>
        <v>グラフ 凡例 位置</v>
      </c>
      <c r="K243">
        <f t="shared" si="35"/>
        <v>240</v>
      </c>
      <c r="L243" t="str">
        <f t="shared" ca="1" si="27"/>
        <v>チェックボックス値取得（フォームコントロール）</v>
      </c>
      <c r="M243" s="2" t="str">
        <f t="shared" ca="1" si="28"/>
        <v>○</v>
      </c>
      <c r="N243" s="2" t="str">
        <f t="shared" ca="1" si="29"/>
        <v/>
      </c>
      <c r="O243" s="2" t="str">
        <f t="shared" ca="1" si="32"/>
        <v/>
      </c>
      <c r="P243" s="2" t="str">
        <f t="shared" ca="1" si="33"/>
        <v/>
      </c>
    </row>
    <row r="244" spans="1:16">
      <c r="A244">
        <f t="shared" si="34"/>
        <v>241</v>
      </c>
      <c r="B244" t="str">
        <f ca="1">IFERROR(VLOOKUP($A244,'vbs,vba'!$G:$H,2,FALSE),"")</f>
        <v>グラフ 凡例 グラフに重ねる</v>
      </c>
      <c r="C244" t="str">
        <f ca="1">IFERROR(VLOOKUP($A244,python!$I:$J,2,FALSE),"")</f>
        <v/>
      </c>
      <c r="D244" t="str">
        <f ca="1">IFERROR(VLOOKUP($A244,bat!$F:$G,2,FALSE),"")</f>
        <v/>
      </c>
      <c r="E244" t="str">
        <f ca="1">IFERROR(VLOOKUP($A244,shell!$F:$G,2,FALSE),"")</f>
        <v/>
      </c>
      <c r="F244" t="str">
        <f t="shared" ca="1" si="30"/>
        <v>グラフ 凡例 グラフに重ねる</v>
      </c>
      <c r="G244">
        <f ca="1">IF($F244="","",COUNTIF($F$3:$F244,$F244))</f>
        <v>1</v>
      </c>
      <c r="H244">
        <f ca="1">IF(OR(G244&gt;1,G244=""),"",COUNTIF($G$3:$G244,1))</f>
        <v>236</v>
      </c>
      <c r="I244" t="str">
        <f t="shared" ca="1" si="31"/>
        <v>グラフ 凡例 グラフに重ねる</v>
      </c>
      <c r="K244">
        <f t="shared" si="35"/>
        <v>241</v>
      </c>
      <c r="L244" t="str">
        <f t="shared" ca="1" si="27"/>
        <v>ユーザフォーム表示中のキー操作</v>
      </c>
      <c r="M244" s="2" t="str">
        <f t="shared" ca="1" si="28"/>
        <v>○</v>
      </c>
      <c r="N244" s="2" t="str">
        <f t="shared" ca="1" si="29"/>
        <v/>
      </c>
      <c r="O244" s="2" t="str">
        <f t="shared" ca="1" si="32"/>
        <v/>
      </c>
      <c r="P244" s="2" t="str">
        <f t="shared" ca="1" si="33"/>
        <v/>
      </c>
    </row>
    <row r="245" spans="1:16">
      <c r="A245">
        <f t="shared" si="34"/>
        <v>242</v>
      </c>
      <c r="B245" t="str">
        <f ca="1">IFERROR(VLOOKUP($A245,'vbs,vba'!$G:$H,2,FALSE),"")</f>
        <v>グラフ 画像として貼り付け</v>
      </c>
      <c r="C245" t="str">
        <f ca="1">IFERROR(VLOOKUP($A245,python!$I:$J,2,FALSE),"")</f>
        <v/>
      </c>
      <c r="D245" t="str">
        <f ca="1">IFERROR(VLOOKUP($A245,bat!$F:$G,2,FALSE),"")</f>
        <v/>
      </c>
      <c r="E245" t="str">
        <f ca="1">IFERROR(VLOOKUP($A245,shell!$F:$G,2,FALSE),"")</f>
        <v/>
      </c>
      <c r="F245" t="str">
        <f t="shared" ca="1" si="30"/>
        <v>グラフ 画像として貼り付け</v>
      </c>
      <c r="G245">
        <f ca="1">IF($F245="","",COUNTIF($F$3:$F245,$F245))</f>
        <v>1</v>
      </c>
      <c r="H245">
        <f ca="1">IF(OR(G245&gt;1,G245=""),"",COUNTIF($G$3:$G245,1))</f>
        <v>237</v>
      </c>
      <c r="I245" t="str">
        <f t="shared" ca="1" si="31"/>
        <v>グラフ 画像として貼り付け</v>
      </c>
      <c r="K245">
        <f t="shared" si="35"/>
        <v>242</v>
      </c>
      <c r="L245" t="str">
        <f t="shared" ca="1" si="27"/>
        <v>ユーザフォルダパス</v>
      </c>
      <c r="M245" s="2" t="str">
        <f t="shared" ca="1" si="28"/>
        <v>○</v>
      </c>
      <c r="N245" s="2" t="str">
        <f t="shared" ca="1" si="29"/>
        <v>○</v>
      </c>
      <c r="O245" s="2" t="str">
        <f t="shared" ca="1" si="32"/>
        <v/>
      </c>
      <c r="P245" s="2" t="str">
        <f t="shared" ca="1" si="33"/>
        <v/>
      </c>
    </row>
    <row r="246" spans="1:16">
      <c r="A246">
        <f t="shared" si="34"/>
        <v>243</v>
      </c>
      <c r="B246" t="str">
        <f ca="1">IFERROR(VLOOKUP($A246,'vbs,vba'!$G:$H,2,FALSE),"")</f>
        <v>フォーム ロード</v>
      </c>
      <c r="C246" t="str">
        <f ca="1">IFERROR(VLOOKUP($A246,python!$I:$J,2,FALSE),"")</f>
        <v/>
      </c>
      <c r="D246" t="str">
        <f ca="1">IFERROR(VLOOKUP($A246,bat!$F:$G,2,FALSE),"")</f>
        <v/>
      </c>
      <c r="E246" t="str">
        <f ca="1">IFERROR(VLOOKUP($A246,shell!$F:$G,2,FALSE),"")</f>
        <v/>
      </c>
      <c r="F246" t="str">
        <f t="shared" ca="1" si="30"/>
        <v>フォーム ロード</v>
      </c>
      <c r="G246">
        <f ca="1">IF($F246="","",COUNTIF($F$3:$F246,$F246))</f>
        <v>1</v>
      </c>
      <c r="H246">
        <f ca="1">IF(OR(G246&gt;1,G246=""),"",COUNTIF($G$3:$G246,1))</f>
        <v>238</v>
      </c>
      <c r="I246" t="str">
        <f t="shared" ca="1" si="31"/>
        <v>フォーム ロード</v>
      </c>
      <c r="K246">
        <f t="shared" si="35"/>
        <v>243</v>
      </c>
      <c r="L246" t="str">
        <f t="shared" ca="1" si="27"/>
        <v>ワード起動</v>
      </c>
      <c r="M246" s="2" t="str">
        <f t="shared" ca="1" si="28"/>
        <v>○</v>
      </c>
      <c r="N246" s="2" t="str">
        <f t="shared" ca="1" si="29"/>
        <v/>
      </c>
      <c r="O246" s="2" t="str">
        <f t="shared" ca="1" si="32"/>
        <v/>
      </c>
      <c r="P246" s="2" t="str">
        <f t="shared" ca="1" si="33"/>
        <v/>
      </c>
    </row>
    <row r="247" spans="1:16">
      <c r="A247">
        <f t="shared" si="34"/>
        <v>244</v>
      </c>
      <c r="B247" t="str">
        <f ca="1">IFERROR(VLOOKUP($A247,'vbs,vba'!$G:$H,2,FALSE),"")</f>
        <v>フォーム アンロード</v>
      </c>
      <c r="C247" t="str">
        <f ca="1">IFERROR(VLOOKUP($A247,python!$I:$J,2,FALSE),"")</f>
        <v/>
      </c>
      <c r="D247" t="str">
        <f ca="1">IFERROR(VLOOKUP($A247,bat!$F:$G,2,FALSE),"")</f>
        <v/>
      </c>
      <c r="E247" t="str">
        <f ca="1">IFERROR(VLOOKUP($A247,shell!$F:$G,2,FALSE),"")</f>
        <v/>
      </c>
      <c r="F247" t="str">
        <f t="shared" ca="1" si="30"/>
        <v>フォーム アンロード</v>
      </c>
      <c r="G247">
        <f ca="1">IF($F247="","",COUNTIF($F$3:$F247,$F247))</f>
        <v>1</v>
      </c>
      <c r="H247">
        <f ca="1">IF(OR(G247&gt;1,G247=""),"",COUNTIF($G$3:$G247,1))</f>
        <v>239</v>
      </c>
      <c r="I247" t="str">
        <f t="shared" ca="1" si="31"/>
        <v>フォーム アンロード</v>
      </c>
      <c r="K247">
        <f t="shared" si="35"/>
        <v>244</v>
      </c>
      <c r="L247" t="str">
        <f t="shared" ca="1" si="27"/>
        <v>ワードファイルを閉じる</v>
      </c>
      <c r="M247" s="2" t="str">
        <f t="shared" ca="1" si="28"/>
        <v>○</v>
      </c>
      <c r="N247" s="2" t="str">
        <f t="shared" ca="1" si="29"/>
        <v/>
      </c>
      <c r="O247" s="2" t="str">
        <f t="shared" ca="1" si="32"/>
        <v/>
      </c>
      <c r="P247" s="2" t="str">
        <f t="shared" ca="1" si="33"/>
        <v/>
      </c>
    </row>
    <row r="248" spans="1:16">
      <c r="A248">
        <f t="shared" si="34"/>
        <v>245</v>
      </c>
      <c r="B248" t="str">
        <f ca="1">IFERROR(VLOOKUP($A248,'vbs,vba'!$G:$H,2,FALSE),"")</f>
        <v>チェックボックス値取得（フォームコントロール）</v>
      </c>
      <c r="C248" t="str">
        <f ca="1">IFERROR(VLOOKUP($A248,python!$I:$J,2,FALSE),"")</f>
        <v/>
      </c>
      <c r="D248" t="str">
        <f ca="1">IFERROR(VLOOKUP($A248,bat!$F:$G,2,FALSE),"")</f>
        <v/>
      </c>
      <c r="E248" t="str">
        <f ca="1">IFERROR(VLOOKUP($A248,shell!$F:$G,2,FALSE),"")</f>
        <v/>
      </c>
      <c r="F248" t="str">
        <f t="shared" ca="1" si="30"/>
        <v>チェックボックス値取得（フォームコントロール）</v>
      </c>
      <c r="G248">
        <f ca="1">IF($F248="","",COUNTIF($F$3:$F248,$F248))</f>
        <v>1</v>
      </c>
      <c r="H248">
        <f ca="1">IF(OR(G248&gt;1,G248=""),"",COUNTIF($G$3:$G248,1))</f>
        <v>240</v>
      </c>
      <c r="I248" t="str">
        <f t="shared" ca="1" si="31"/>
        <v>チェックボックス値取得（フォームコントロール）</v>
      </c>
      <c r="K248">
        <f t="shared" si="35"/>
        <v>245</v>
      </c>
      <c r="L248" t="str">
        <f t="shared" ca="1" si="27"/>
        <v>ワード終了</v>
      </c>
      <c r="M248" s="2" t="str">
        <f t="shared" ca="1" si="28"/>
        <v>○</v>
      </c>
      <c r="N248" s="2" t="str">
        <f t="shared" ca="1" si="29"/>
        <v/>
      </c>
      <c r="O248" s="2" t="str">
        <f t="shared" ca="1" si="32"/>
        <v/>
      </c>
      <c r="P248" s="2" t="str">
        <f t="shared" ca="1" si="33"/>
        <v/>
      </c>
    </row>
    <row r="249" spans="1:16">
      <c r="A249">
        <f t="shared" si="34"/>
        <v>246</v>
      </c>
      <c r="B249" t="str">
        <f ca="1">IFERROR(VLOOKUP($A249,'vbs,vba'!$G:$H,2,FALSE),"")</f>
        <v>ユーザフォーム表示中のキー操作</v>
      </c>
      <c r="C249" t="str">
        <f ca="1">IFERROR(VLOOKUP($A249,python!$I:$J,2,FALSE),"")</f>
        <v/>
      </c>
      <c r="D249" t="str">
        <f ca="1">IFERROR(VLOOKUP($A249,bat!$F:$G,2,FALSE),"")</f>
        <v/>
      </c>
      <c r="E249" t="str">
        <f ca="1">IFERROR(VLOOKUP($A249,shell!$F:$G,2,FALSE),"")</f>
        <v/>
      </c>
      <c r="F249" t="str">
        <f t="shared" ca="1" si="30"/>
        <v>ユーザフォーム表示中のキー操作</v>
      </c>
      <c r="G249">
        <f ca="1">IF($F249="","",COUNTIF($F$3:$F249,$F249))</f>
        <v>1</v>
      </c>
      <c r="H249">
        <f ca="1">IF(OR(G249&gt;1,G249=""),"",COUNTIF($G$3:$G249,1))</f>
        <v>241</v>
      </c>
      <c r="I249" t="str">
        <f t="shared" ca="1" si="31"/>
        <v>ユーザフォーム表示中のキー操作</v>
      </c>
      <c r="K249">
        <f t="shared" si="35"/>
        <v>246</v>
      </c>
      <c r="L249" t="str">
        <f t="shared" ca="1" si="27"/>
        <v>ワードファイルを開く</v>
      </c>
      <c r="M249" s="2" t="str">
        <f t="shared" ca="1" si="28"/>
        <v>○</v>
      </c>
      <c r="N249" s="2" t="str">
        <f t="shared" ca="1" si="29"/>
        <v/>
      </c>
      <c r="O249" s="2" t="str">
        <f t="shared" ca="1" si="32"/>
        <v/>
      </c>
      <c r="P249" s="2" t="str">
        <f t="shared" ca="1" si="33"/>
        <v/>
      </c>
    </row>
    <row r="250" spans="1:16">
      <c r="A250">
        <f t="shared" si="34"/>
        <v>247</v>
      </c>
      <c r="B250" t="str">
        <f ca="1">IFERROR(VLOOKUP($A250,'vbs,vba'!$G:$H,2,FALSE),"")</f>
        <v>ユーザフォルダパス</v>
      </c>
      <c r="C250" t="str">
        <f ca="1">IFERROR(VLOOKUP($A250,python!$I:$J,2,FALSE),"")</f>
        <v/>
      </c>
      <c r="D250" t="str">
        <f ca="1">IFERROR(VLOOKUP($A250,bat!$F:$G,2,FALSE),"")</f>
        <v/>
      </c>
      <c r="E250" t="str">
        <f ca="1">IFERROR(VLOOKUP($A250,shell!$F:$G,2,FALSE),"")</f>
        <v/>
      </c>
      <c r="F250" t="str">
        <f t="shared" ca="1" si="30"/>
        <v>ユーザフォルダパス</v>
      </c>
      <c r="G250">
        <f ca="1">IF($F250="","",COUNTIF($F$3:$F250,$F250))</f>
        <v>1</v>
      </c>
      <c r="H250">
        <f ca="1">IF(OR(G250&gt;1,G250=""),"",COUNTIF($G$3:$G250,1))</f>
        <v>242</v>
      </c>
      <c r="I250" t="str">
        <f t="shared" ca="1" si="31"/>
        <v>ユーザフォルダパス</v>
      </c>
      <c r="K250">
        <f t="shared" si="35"/>
        <v>247</v>
      </c>
      <c r="L250" t="str">
        <f t="shared" ca="1" si="27"/>
        <v>テキスト読み込み</v>
      </c>
      <c r="M250" s="2" t="str">
        <f t="shared" ca="1" si="28"/>
        <v>○</v>
      </c>
      <c r="N250" s="2" t="str">
        <f t="shared" ca="1" si="29"/>
        <v/>
      </c>
      <c r="O250" s="2" t="str">
        <f t="shared" ca="1" si="32"/>
        <v/>
      </c>
      <c r="P250" s="2" t="str">
        <f t="shared" ca="1" si="33"/>
        <v/>
      </c>
    </row>
    <row r="251" spans="1:16">
      <c r="A251">
        <f t="shared" si="34"/>
        <v>248</v>
      </c>
      <c r="B251" t="str">
        <f ca="1">IFERROR(VLOOKUP($A251,'vbs,vba'!$G:$H,2,FALSE),"")</f>
        <v>ワード起動</v>
      </c>
      <c r="C251" t="str">
        <f ca="1">IFERROR(VLOOKUP($A251,python!$I:$J,2,FALSE),"")</f>
        <v/>
      </c>
      <c r="D251" t="str">
        <f ca="1">IFERROR(VLOOKUP($A251,bat!$F:$G,2,FALSE),"")</f>
        <v/>
      </c>
      <c r="E251" t="str">
        <f ca="1">IFERROR(VLOOKUP($A251,shell!$F:$G,2,FALSE),"")</f>
        <v/>
      </c>
      <c r="F251" t="str">
        <f t="shared" ca="1" si="30"/>
        <v>ワード起動</v>
      </c>
      <c r="G251">
        <f ca="1">IF($F251="","",COUNTIF($F$3:$F251,$F251))</f>
        <v>1</v>
      </c>
      <c r="H251">
        <f ca="1">IF(OR(G251&gt;1,G251=""),"",COUNTIF($G$3:$G251,1))</f>
        <v>243</v>
      </c>
      <c r="I251" t="str">
        <f t="shared" ca="1" si="31"/>
        <v>ワード起動</v>
      </c>
      <c r="K251">
        <f t="shared" si="35"/>
        <v>248</v>
      </c>
      <c r="L251" t="str">
        <f t="shared" ca="1" si="27"/>
        <v>ブック指定（ブック名指定）</v>
      </c>
      <c r="M251" s="2" t="str">
        <f t="shared" ca="1" si="28"/>
        <v>○</v>
      </c>
      <c r="N251" s="2" t="str">
        <f t="shared" ca="1" si="29"/>
        <v/>
      </c>
      <c r="O251" s="2" t="str">
        <f t="shared" ca="1" si="32"/>
        <v/>
      </c>
      <c r="P251" s="2" t="str">
        <f t="shared" ca="1" si="33"/>
        <v/>
      </c>
    </row>
    <row r="252" spans="1:16">
      <c r="A252">
        <f t="shared" si="34"/>
        <v>249</v>
      </c>
      <c r="B252" t="str">
        <f ca="1">IFERROR(VLOOKUP($A252,'vbs,vba'!$G:$H,2,FALSE),"")</f>
        <v>ワードファイルを閉じる</v>
      </c>
      <c r="C252" t="str">
        <f ca="1">IFERROR(VLOOKUP($A252,python!$I:$J,2,FALSE),"")</f>
        <v/>
      </c>
      <c r="D252" t="str">
        <f ca="1">IFERROR(VLOOKUP($A252,bat!$F:$G,2,FALSE),"")</f>
        <v/>
      </c>
      <c r="E252" t="str">
        <f ca="1">IFERROR(VLOOKUP($A252,shell!$F:$G,2,FALSE),"")</f>
        <v/>
      </c>
      <c r="F252" t="str">
        <f t="shared" ca="1" si="30"/>
        <v>ワードファイルを閉じる</v>
      </c>
      <c r="G252">
        <f ca="1">IF($F252="","",COUNTIF($F$3:$F252,$F252))</f>
        <v>1</v>
      </c>
      <c r="H252">
        <f ca="1">IF(OR(G252&gt;1,G252=""),"",COUNTIF($G$3:$G252,1))</f>
        <v>244</v>
      </c>
      <c r="I252" t="str">
        <f t="shared" ca="1" si="31"/>
        <v>ワードファイルを閉じる</v>
      </c>
      <c r="K252">
        <f t="shared" si="35"/>
        <v>249</v>
      </c>
      <c r="L252" t="str">
        <f t="shared" ca="1" si="27"/>
        <v>ブック指定（インデックス指定）</v>
      </c>
      <c r="M252" s="2" t="str">
        <f t="shared" ca="1" si="28"/>
        <v>○</v>
      </c>
      <c r="N252" s="2" t="str">
        <f t="shared" ca="1" si="29"/>
        <v/>
      </c>
      <c r="O252" s="2" t="str">
        <f t="shared" ca="1" si="32"/>
        <v/>
      </c>
      <c r="P252" s="2" t="str">
        <f t="shared" ca="1" si="33"/>
        <v/>
      </c>
    </row>
    <row r="253" spans="1:16">
      <c r="A253">
        <f t="shared" si="34"/>
        <v>250</v>
      </c>
      <c r="B253" t="str">
        <f ca="1">IFERROR(VLOOKUP($A253,'vbs,vba'!$G:$H,2,FALSE),"")</f>
        <v>ワード終了</v>
      </c>
      <c r="C253" t="str">
        <f ca="1">IFERROR(VLOOKUP($A253,python!$I:$J,2,FALSE),"")</f>
        <v/>
      </c>
      <c r="D253" t="str">
        <f ca="1">IFERROR(VLOOKUP($A253,bat!$F:$G,2,FALSE),"")</f>
        <v/>
      </c>
      <c r="E253" t="str">
        <f ca="1">IFERROR(VLOOKUP($A253,shell!$F:$G,2,FALSE),"")</f>
        <v/>
      </c>
      <c r="F253" t="str">
        <f t="shared" ca="1" si="30"/>
        <v>ワード終了</v>
      </c>
      <c r="G253">
        <f ca="1">IF($F253="","",COUNTIF($F$3:$F253,$F253))</f>
        <v>1</v>
      </c>
      <c r="H253">
        <f ca="1">IF(OR(G253&gt;1,G253=""),"",COUNTIF($G$3:$G253,1))</f>
        <v>245</v>
      </c>
      <c r="I253" t="str">
        <f t="shared" ca="1" si="31"/>
        <v>ワード終了</v>
      </c>
      <c r="K253">
        <f t="shared" si="35"/>
        <v>250</v>
      </c>
      <c r="L253" t="str">
        <f t="shared" ca="1" si="27"/>
        <v>ブック指定（アクティブ）</v>
      </c>
      <c r="M253" s="2" t="str">
        <f t="shared" ca="1" si="28"/>
        <v>○</v>
      </c>
      <c r="N253" s="2" t="str">
        <f t="shared" ca="1" si="29"/>
        <v/>
      </c>
      <c r="O253" s="2" t="str">
        <f t="shared" ca="1" si="32"/>
        <v/>
      </c>
      <c r="P253" s="2" t="str">
        <f t="shared" ca="1" si="33"/>
        <v/>
      </c>
    </row>
    <row r="254" spans="1:16">
      <c r="A254">
        <f t="shared" si="34"/>
        <v>251</v>
      </c>
      <c r="B254" t="str">
        <f ca="1">IFERROR(VLOOKUP($A254,'vbs,vba'!$G:$H,2,FALSE),"")</f>
        <v>ワードファイルを開く</v>
      </c>
      <c r="C254" t="str">
        <f ca="1">IFERROR(VLOOKUP($A254,python!$I:$J,2,FALSE),"")</f>
        <v/>
      </c>
      <c r="D254" t="str">
        <f ca="1">IFERROR(VLOOKUP($A254,bat!$F:$G,2,FALSE),"")</f>
        <v/>
      </c>
      <c r="E254" t="str">
        <f ca="1">IFERROR(VLOOKUP($A254,shell!$F:$G,2,FALSE),"")</f>
        <v/>
      </c>
      <c r="F254" t="str">
        <f t="shared" ca="1" si="30"/>
        <v>ワードファイルを開く</v>
      </c>
      <c r="G254">
        <f ca="1">IF($F254="","",COUNTIF($F$3:$F254,$F254))</f>
        <v>1</v>
      </c>
      <c r="H254">
        <f ca="1">IF(OR(G254&gt;1,G254=""),"",COUNTIF($G$3:$G254,1))</f>
        <v>246</v>
      </c>
      <c r="I254" t="str">
        <f t="shared" ca="1" si="31"/>
        <v>ワードファイルを開く</v>
      </c>
      <c r="K254">
        <f t="shared" si="35"/>
        <v>251</v>
      </c>
      <c r="L254" t="str">
        <f t="shared" ca="1" si="27"/>
        <v>ブック指定（自ブック）</v>
      </c>
      <c r="M254" s="2" t="str">
        <f t="shared" ca="1" si="28"/>
        <v>○</v>
      </c>
      <c r="N254" s="2" t="str">
        <f t="shared" ca="1" si="29"/>
        <v/>
      </c>
      <c r="O254" s="2" t="str">
        <f t="shared" ca="1" si="32"/>
        <v/>
      </c>
      <c r="P254" s="2" t="str">
        <f t="shared" ca="1" si="33"/>
        <v/>
      </c>
    </row>
    <row r="255" spans="1:16">
      <c r="A255">
        <f t="shared" si="34"/>
        <v>252</v>
      </c>
      <c r="B255" t="str">
        <f ca="1">IFERROR(VLOOKUP($A255,'vbs,vba'!$G:$H,2,FALSE),"")</f>
        <v>テキスト読み込み</v>
      </c>
      <c r="C255" t="str">
        <f ca="1">IFERROR(VLOOKUP($A255,python!$I:$J,2,FALSE),"")</f>
        <v/>
      </c>
      <c r="D255" t="str">
        <f ca="1">IFERROR(VLOOKUP($A255,bat!$F:$G,2,FALSE),"")</f>
        <v/>
      </c>
      <c r="E255" t="str">
        <f ca="1">IFERROR(VLOOKUP($A255,shell!$F:$G,2,FALSE),"")</f>
        <v/>
      </c>
      <c r="F255" t="str">
        <f t="shared" ca="1" si="30"/>
        <v>テキスト読み込み</v>
      </c>
      <c r="G255">
        <f ca="1">IF($F255="","",COUNTIF($F$3:$F255,$F255))</f>
        <v>1</v>
      </c>
      <c r="H255">
        <f ca="1">IF(OR(G255&gt;1,G255=""),"",COUNTIF($G$3:$G255,1))</f>
        <v>247</v>
      </c>
      <c r="I255" t="str">
        <f t="shared" ca="1" si="31"/>
        <v>テキスト読み込み</v>
      </c>
      <c r="K255">
        <f t="shared" si="35"/>
        <v>252</v>
      </c>
      <c r="L255" t="str">
        <f t="shared" ca="1" si="27"/>
        <v>シート指定（シート名指定）</v>
      </c>
      <c r="M255" s="2" t="str">
        <f t="shared" ca="1" si="28"/>
        <v>○</v>
      </c>
      <c r="N255" s="2" t="str">
        <f t="shared" ca="1" si="29"/>
        <v/>
      </c>
      <c r="O255" s="2" t="str">
        <f t="shared" ca="1" si="32"/>
        <v/>
      </c>
      <c r="P255" s="2" t="str">
        <f t="shared" ca="1" si="33"/>
        <v/>
      </c>
    </row>
    <row r="256" spans="1:16">
      <c r="A256">
        <f t="shared" si="34"/>
        <v>253</v>
      </c>
      <c r="B256" t="str">
        <f ca="1">IFERROR(VLOOKUP($A256,'vbs,vba'!$G:$H,2,FALSE),"")</f>
        <v>ブック指定（ブック名指定）</v>
      </c>
      <c r="C256" t="str">
        <f ca="1">IFERROR(VLOOKUP($A256,python!$I:$J,2,FALSE),"")</f>
        <v/>
      </c>
      <c r="D256" t="str">
        <f ca="1">IFERROR(VLOOKUP($A256,bat!$F:$G,2,FALSE),"")</f>
        <v/>
      </c>
      <c r="E256" t="str">
        <f ca="1">IFERROR(VLOOKUP($A256,shell!$F:$G,2,FALSE),"")</f>
        <v/>
      </c>
      <c r="F256" t="str">
        <f t="shared" ca="1" si="30"/>
        <v>ブック指定（ブック名指定）</v>
      </c>
      <c r="G256">
        <f ca="1">IF($F256="","",COUNTIF($F$3:$F256,$F256))</f>
        <v>1</v>
      </c>
      <c r="H256">
        <f ca="1">IF(OR(G256&gt;1,G256=""),"",COUNTIF($G$3:$G256,1))</f>
        <v>248</v>
      </c>
      <c r="I256" t="str">
        <f t="shared" ca="1" si="31"/>
        <v>ブック指定（ブック名指定）</v>
      </c>
      <c r="K256">
        <f t="shared" si="35"/>
        <v>253</v>
      </c>
      <c r="L256" t="str">
        <f t="shared" ca="1" si="27"/>
        <v>シート指定（インデックス指定）</v>
      </c>
      <c r="M256" s="2" t="str">
        <f t="shared" ca="1" si="28"/>
        <v>○</v>
      </c>
      <c r="N256" s="2" t="str">
        <f t="shared" ca="1" si="29"/>
        <v/>
      </c>
      <c r="O256" s="2" t="str">
        <f t="shared" ca="1" si="32"/>
        <v/>
      </c>
      <c r="P256" s="2" t="str">
        <f t="shared" ca="1" si="33"/>
        <v/>
      </c>
    </row>
    <row r="257" spans="1:16">
      <c r="A257">
        <f t="shared" si="34"/>
        <v>254</v>
      </c>
      <c r="B257" t="str">
        <f ca="1">IFERROR(VLOOKUP($A257,'vbs,vba'!$G:$H,2,FALSE),"")</f>
        <v>ブック指定（インデックス指定）</v>
      </c>
      <c r="C257" t="str">
        <f ca="1">IFERROR(VLOOKUP($A257,python!$I:$J,2,FALSE),"")</f>
        <v/>
      </c>
      <c r="D257" t="str">
        <f ca="1">IFERROR(VLOOKUP($A257,bat!$F:$G,2,FALSE),"")</f>
        <v/>
      </c>
      <c r="E257" t="str">
        <f ca="1">IFERROR(VLOOKUP($A257,shell!$F:$G,2,FALSE),"")</f>
        <v/>
      </c>
      <c r="F257" t="str">
        <f t="shared" ca="1" si="30"/>
        <v>ブック指定（インデックス指定）</v>
      </c>
      <c r="G257">
        <f ca="1">IF($F257="","",COUNTIF($F$3:$F257,$F257))</f>
        <v>1</v>
      </c>
      <c r="H257">
        <f ca="1">IF(OR(G257&gt;1,G257=""),"",COUNTIF($G$3:$G257,1))</f>
        <v>249</v>
      </c>
      <c r="I257" t="str">
        <f t="shared" ca="1" si="31"/>
        <v>ブック指定（インデックス指定）</v>
      </c>
      <c r="K257">
        <f t="shared" si="35"/>
        <v>254</v>
      </c>
      <c r="L257" t="str">
        <f t="shared" ca="1" si="27"/>
        <v>シート指定（アクティブ）</v>
      </c>
      <c r="M257" s="2" t="str">
        <f t="shared" ca="1" si="28"/>
        <v>○</v>
      </c>
      <c r="N257" s="2" t="str">
        <f t="shared" ca="1" si="29"/>
        <v/>
      </c>
      <c r="O257" s="2" t="str">
        <f t="shared" ca="1" si="32"/>
        <v/>
      </c>
      <c r="P257" s="2" t="str">
        <f t="shared" ca="1" si="33"/>
        <v/>
      </c>
    </row>
    <row r="258" spans="1:16">
      <c r="A258">
        <f t="shared" si="34"/>
        <v>255</v>
      </c>
      <c r="B258" t="str">
        <f ca="1">IFERROR(VLOOKUP($A258,'vbs,vba'!$G:$H,2,FALSE),"")</f>
        <v>ブック指定（アクティブ）</v>
      </c>
      <c r="C258" t="str">
        <f ca="1">IFERROR(VLOOKUP($A258,python!$I:$J,2,FALSE),"")</f>
        <v/>
      </c>
      <c r="D258" t="str">
        <f ca="1">IFERROR(VLOOKUP($A258,bat!$F:$G,2,FALSE),"")</f>
        <v/>
      </c>
      <c r="E258" t="str">
        <f ca="1">IFERROR(VLOOKUP($A258,shell!$F:$G,2,FALSE),"")</f>
        <v/>
      </c>
      <c r="F258" t="str">
        <f t="shared" ca="1" si="30"/>
        <v>ブック指定（アクティブ）</v>
      </c>
      <c r="G258">
        <f ca="1">IF($F258="","",COUNTIF($F$3:$F258,$F258))</f>
        <v>1</v>
      </c>
      <c r="H258">
        <f ca="1">IF(OR(G258&gt;1,G258=""),"",COUNTIF($G$3:$G258,1))</f>
        <v>250</v>
      </c>
      <c r="I258" t="str">
        <f t="shared" ca="1" si="31"/>
        <v>ブック指定（アクティブ）</v>
      </c>
      <c r="K258">
        <f t="shared" si="35"/>
        <v>255</v>
      </c>
      <c r="L258" t="str">
        <f t="shared" ca="1" si="27"/>
        <v>シート指定（自シート）</v>
      </c>
      <c r="M258" s="2" t="str">
        <f t="shared" ca="1" si="28"/>
        <v>○</v>
      </c>
      <c r="N258" s="2" t="str">
        <f t="shared" ca="1" si="29"/>
        <v/>
      </c>
      <c r="O258" s="2" t="str">
        <f t="shared" ca="1" si="32"/>
        <v/>
      </c>
      <c r="P258" s="2" t="str">
        <f t="shared" ca="1" si="33"/>
        <v/>
      </c>
    </row>
    <row r="259" spans="1:16">
      <c r="A259">
        <f t="shared" si="34"/>
        <v>256</v>
      </c>
      <c r="B259" t="str">
        <f ca="1">IFERROR(VLOOKUP($A259,'vbs,vba'!$G:$H,2,FALSE),"")</f>
        <v>ブック指定（自ブック）</v>
      </c>
      <c r="C259" t="str">
        <f ca="1">IFERROR(VLOOKUP($A259,python!$I:$J,2,FALSE),"")</f>
        <v/>
      </c>
      <c r="D259" t="str">
        <f ca="1">IFERROR(VLOOKUP($A259,bat!$F:$G,2,FALSE),"")</f>
        <v/>
      </c>
      <c r="E259" t="str">
        <f ca="1">IFERROR(VLOOKUP($A259,shell!$F:$G,2,FALSE),"")</f>
        <v/>
      </c>
      <c r="F259" t="str">
        <f t="shared" ca="1" si="30"/>
        <v>ブック指定（自ブック）</v>
      </c>
      <c r="G259">
        <f ca="1">IF($F259="","",COUNTIF($F$3:$F259,$F259))</f>
        <v>1</v>
      </c>
      <c r="H259">
        <f ca="1">IF(OR(G259&gt;1,G259=""),"",COUNTIF($G$3:$G259,1))</f>
        <v>251</v>
      </c>
      <c r="I259" t="str">
        <f t="shared" ca="1" si="31"/>
        <v>ブック指定（自ブック）</v>
      </c>
      <c r="K259">
        <f t="shared" si="35"/>
        <v>256</v>
      </c>
      <c r="L259" t="str">
        <f t="shared" ca="1" si="27"/>
        <v>ブック作成</v>
      </c>
      <c r="M259" s="2" t="str">
        <f t="shared" ca="1" si="28"/>
        <v>○</v>
      </c>
      <c r="N259" s="2" t="str">
        <f t="shared" ca="1" si="29"/>
        <v/>
      </c>
      <c r="O259" s="2" t="str">
        <f t="shared" ca="1" si="32"/>
        <v/>
      </c>
      <c r="P259" s="2" t="str">
        <f t="shared" ca="1" si="33"/>
        <v/>
      </c>
    </row>
    <row r="260" spans="1:16">
      <c r="A260">
        <f t="shared" si="34"/>
        <v>257</v>
      </c>
      <c r="B260" t="str">
        <f ca="1">IFERROR(VLOOKUP($A260,'vbs,vba'!$G:$H,2,FALSE),"")</f>
        <v>シート指定（シート名指定）</v>
      </c>
      <c r="C260" t="str">
        <f ca="1">IFERROR(VLOOKUP($A260,python!$I:$J,2,FALSE),"")</f>
        <v/>
      </c>
      <c r="D260" t="str">
        <f ca="1">IFERROR(VLOOKUP($A260,bat!$F:$G,2,FALSE),"")</f>
        <v/>
      </c>
      <c r="E260" t="str">
        <f ca="1">IFERROR(VLOOKUP($A260,shell!$F:$G,2,FALSE),"")</f>
        <v/>
      </c>
      <c r="F260" t="str">
        <f t="shared" ca="1" si="30"/>
        <v>シート指定（シート名指定）</v>
      </c>
      <c r="G260">
        <f ca="1">IF($F260="","",COUNTIF($F$3:$F260,$F260))</f>
        <v>1</v>
      </c>
      <c r="H260">
        <f ca="1">IF(OR(G260&gt;1,G260=""),"",COUNTIF($G$3:$G260,1))</f>
        <v>252</v>
      </c>
      <c r="I260" t="str">
        <f t="shared" ca="1" si="31"/>
        <v>シート指定（シート名指定）</v>
      </c>
      <c r="K260">
        <f t="shared" si="35"/>
        <v>257</v>
      </c>
      <c r="L260" t="str">
        <f t="shared" ref="L260:L323" ca="1" si="36">IFERROR(VLOOKUP($K260,$H:$I,2,FALSE),"")</f>
        <v>ブック既に開いているか確認</v>
      </c>
      <c r="M260" s="2" t="str">
        <f t="shared" ref="M260:M323" ca="1" si="37">IF($L260="","",IF(COUNTIF(B$3:B$1004,$L260)&gt;0,"○",""))</f>
        <v>○</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シート指定（インデックス指定）</v>
      </c>
      <c r="C261" t="str">
        <f ca="1">IFERROR(VLOOKUP($A261,python!$I:$J,2,FALSE),"")</f>
        <v/>
      </c>
      <c r="D261" t="str">
        <f ca="1">IFERROR(VLOOKUP($A261,bat!$F:$G,2,FALSE),"")</f>
        <v/>
      </c>
      <c r="E261" t="str">
        <f ca="1">IFERROR(VLOOKUP($A261,shell!$F:$G,2,FALSE),"")</f>
        <v/>
      </c>
      <c r="F261" t="str">
        <f t="shared" ref="F261:F324" ca="1" si="39">B261&amp;C261&amp;D261&amp;E261</f>
        <v>シート指定（インデックス指定）</v>
      </c>
      <c r="G261">
        <f ca="1">IF($F261="","",COUNTIF($F$3:$F261,$F261))</f>
        <v>1</v>
      </c>
      <c r="H261">
        <f ca="1">IF(OR(G261&gt;1,G261=""),"",COUNTIF($G$3:$G261,1))</f>
        <v>253</v>
      </c>
      <c r="I261" t="str">
        <f t="shared" ref="I261:I324" ca="1" si="40">F261</f>
        <v>シート指定（インデックス指定）</v>
      </c>
      <c r="K261">
        <f t="shared" si="35"/>
        <v>258</v>
      </c>
      <c r="L261" t="str">
        <f t="shared" ca="1" si="36"/>
        <v>ブック追加</v>
      </c>
      <c r="M261" s="2" t="str">
        <f t="shared" ca="1" si="37"/>
        <v>○</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シート指定（アクティブ）</v>
      </c>
      <c r="C262" t="str">
        <f ca="1">IFERROR(VLOOKUP($A262,python!$I:$J,2,FALSE),"")</f>
        <v/>
      </c>
      <c r="D262" t="str">
        <f ca="1">IFERROR(VLOOKUP($A262,bat!$F:$G,2,FALSE),"")</f>
        <v/>
      </c>
      <c r="E262" t="str">
        <f ca="1">IFERROR(VLOOKUP($A262,shell!$F:$G,2,FALSE),"")</f>
        <v/>
      </c>
      <c r="F262" t="str">
        <f t="shared" ca="1" si="39"/>
        <v>シート指定（アクティブ）</v>
      </c>
      <c r="G262">
        <f ca="1">IF($F262="","",COUNTIF($F$3:$F262,$F262))</f>
        <v>1</v>
      </c>
      <c r="H262">
        <f ca="1">IF(OR(G262&gt;1,G262=""),"",COUNTIF($G$3:$G262,1))</f>
        <v>254</v>
      </c>
      <c r="I262" t="str">
        <f t="shared" ca="1" si="40"/>
        <v>シート指定（アクティブ）</v>
      </c>
      <c r="K262">
        <f t="shared" ref="K262:K325" si="44">K261+1</f>
        <v>259</v>
      </c>
      <c r="L262" t="str">
        <f t="shared" ca="1" si="36"/>
        <v>ブック作成＆シートコピー</v>
      </c>
      <c r="M262" s="2" t="str">
        <f t="shared" ca="1" si="37"/>
        <v>○</v>
      </c>
      <c r="N262" s="2" t="str">
        <f t="shared" ca="1" si="38"/>
        <v/>
      </c>
      <c r="O262" s="2" t="str">
        <f t="shared" ca="1" si="41"/>
        <v/>
      </c>
      <c r="P262" s="2" t="str">
        <f t="shared" ca="1" si="42"/>
        <v/>
      </c>
    </row>
    <row r="263" spans="1:16">
      <c r="A263">
        <f t="shared" si="43"/>
        <v>260</v>
      </c>
      <c r="B263" t="str">
        <f ca="1">IFERROR(VLOOKUP($A263,'vbs,vba'!$G:$H,2,FALSE),"")</f>
        <v>シート指定（自シート）</v>
      </c>
      <c r="C263" t="str">
        <f ca="1">IFERROR(VLOOKUP($A263,python!$I:$J,2,FALSE),"")</f>
        <v/>
      </c>
      <c r="D263" t="str">
        <f ca="1">IFERROR(VLOOKUP($A263,bat!$F:$G,2,FALSE),"")</f>
        <v/>
      </c>
      <c r="E263" t="str">
        <f ca="1">IFERROR(VLOOKUP($A263,shell!$F:$G,2,FALSE),"")</f>
        <v/>
      </c>
      <c r="F263" t="str">
        <f t="shared" ca="1" si="39"/>
        <v>シート指定（自シート）</v>
      </c>
      <c r="G263">
        <f ca="1">IF($F263="","",COUNTIF($F$3:$F263,$F263))</f>
        <v>1</v>
      </c>
      <c r="H263">
        <f ca="1">IF(OR(G263&gt;1,G263=""),"",COUNTIF($G$3:$G263,1))</f>
        <v>255</v>
      </c>
      <c r="I263" t="str">
        <f t="shared" ca="1" si="40"/>
        <v>シート指定（自シート）</v>
      </c>
      <c r="K263">
        <f t="shared" si="44"/>
        <v>260</v>
      </c>
      <c r="L263" t="str">
        <f t="shared" ca="1" si="36"/>
        <v>ブック新規保存</v>
      </c>
      <c r="M263" s="2" t="str">
        <f t="shared" ca="1" si="37"/>
        <v>○</v>
      </c>
      <c r="N263" s="2" t="str">
        <f t="shared" ca="1" si="38"/>
        <v/>
      </c>
      <c r="O263" s="2" t="str">
        <f t="shared" ca="1" si="41"/>
        <v/>
      </c>
      <c r="P263" s="2" t="str">
        <f t="shared" ca="1" si="42"/>
        <v/>
      </c>
    </row>
    <row r="264" spans="1:16">
      <c r="A264">
        <f t="shared" si="43"/>
        <v>261</v>
      </c>
      <c r="B264" t="str">
        <f ca="1">IFERROR(VLOOKUP($A264,'vbs,vba'!$G:$H,2,FALSE),"")</f>
        <v>ブック作成</v>
      </c>
      <c r="C264" t="str">
        <f ca="1">IFERROR(VLOOKUP($A264,python!$I:$J,2,FALSE),"")</f>
        <v/>
      </c>
      <c r="D264" t="str">
        <f ca="1">IFERROR(VLOOKUP($A264,bat!$F:$G,2,FALSE),"")</f>
        <v/>
      </c>
      <c r="E264" t="str">
        <f ca="1">IFERROR(VLOOKUP($A264,shell!$F:$G,2,FALSE),"")</f>
        <v/>
      </c>
      <c r="F264" t="str">
        <f t="shared" ca="1" si="39"/>
        <v>ブック作成</v>
      </c>
      <c r="G264">
        <f ca="1">IF($F264="","",COUNTIF($F$3:$F264,$F264))</f>
        <v>1</v>
      </c>
      <c r="H264">
        <f ca="1">IF(OR(G264&gt;1,G264=""),"",COUNTIF($G$3:$G264,1))</f>
        <v>256</v>
      </c>
      <c r="I264" t="str">
        <f t="shared" ca="1" si="40"/>
        <v>ブック作成</v>
      </c>
      <c r="K264">
        <f t="shared" si="44"/>
        <v>261</v>
      </c>
      <c r="L264" t="str">
        <f t="shared" ca="1" si="36"/>
        <v>シート数取得</v>
      </c>
      <c r="M264" s="2" t="str">
        <f t="shared" ca="1" si="37"/>
        <v>○</v>
      </c>
      <c r="N264" s="2" t="str">
        <f t="shared" ca="1" si="38"/>
        <v/>
      </c>
      <c r="O264" s="2" t="str">
        <f t="shared" ca="1" si="41"/>
        <v/>
      </c>
      <c r="P264" s="2" t="str">
        <f t="shared" ca="1" si="42"/>
        <v/>
      </c>
    </row>
    <row r="265" spans="1:16">
      <c r="A265">
        <f t="shared" si="43"/>
        <v>262</v>
      </c>
      <c r="B265" t="str">
        <f ca="1">IFERROR(VLOOKUP($A265,'vbs,vba'!$G:$H,2,FALSE),"")</f>
        <v>ブック既に開いているか確認</v>
      </c>
      <c r="C265" t="str">
        <f ca="1">IFERROR(VLOOKUP($A265,python!$I:$J,2,FALSE),"")</f>
        <v/>
      </c>
      <c r="D265" t="str">
        <f ca="1">IFERROR(VLOOKUP($A265,bat!$F:$G,2,FALSE),"")</f>
        <v/>
      </c>
      <c r="E265" t="str">
        <f ca="1">IFERROR(VLOOKUP($A265,shell!$F:$G,2,FALSE),"")</f>
        <v/>
      </c>
      <c r="F265" t="str">
        <f t="shared" ca="1" si="39"/>
        <v>ブック既に開いているか確認</v>
      </c>
      <c r="G265">
        <f ca="1">IF($F265="","",COUNTIF($F$3:$F265,$F265))</f>
        <v>1</v>
      </c>
      <c r="H265">
        <f ca="1">IF(OR(G265&gt;1,G265=""),"",COUNTIF($G$3:$G265,1))</f>
        <v>257</v>
      </c>
      <c r="I265" t="str">
        <f t="shared" ca="1" si="40"/>
        <v>ブック既に開いているか確認</v>
      </c>
      <c r="K265">
        <f t="shared" si="44"/>
        <v>262</v>
      </c>
      <c r="L265" t="str">
        <f t="shared" ca="1" si="36"/>
        <v>シート追加</v>
      </c>
      <c r="M265" s="2" t="str">
        <f t="shared" ca="1" si="37"/>
        <v>○</v>
      </c>
      <c r="N265" s="2" t="str">
        <f t="shared" ca="1" si="38"/>
        <v/>
      </c>
      <c r="O265" s="2" t="str">
        <f t="shared" ca="1" si="41"/>
        <v/>
      </c>
      <c r="P265" s="2" t="str">
        <f t="shared" ca="1" si="42"/>
        <v/>
      </c>
    </row>
    <row r="266" spans="1:16">
      <c r="A266">
        <f t="shared" si="43"/>
        <v>263</v>
      </c>
      <c r="B266" t="str">
        <f ca="1">IFERROR(VLOOKUP($A266,'vbs,vba'!$G:$H,2,FALSE),"")</f>
        <v>ブック追加</v>
      </c>
      <c r="C266" t="str">
        <f ca="1">IFERROR(VLOOKUP($A266,python!$I:$J,2,FALSE),"")</f>
        <v/>
      </c>
      <c r="D266" t="str">
        <f ca="1">IFERROR(VLOOKUP($A266,bat!$F:$G,2,FALSE),"")</f>
        <v/>
      </c>
      <c r="E266" t="str">
        <f ca="1">IFERROR(VLOOKUP($A266,shell!$F:$G,2,FALSE),"")</f>
        <v/>
      </c>
      <c r="F266" t="str">
        <f t="shared" ca="1" si="39"/>
        <v>ブック追加</v>
      </c>
      <c r="G266">
        <f ca="1">IF($F266="","",COUNTIF($F$3:$F266,$F266))</f>
        <v>1</v>
      </c>
      <c r="H266">
        <f ca="1">IF(OR(G266&gt;1,G266=""),"",COUNTIF($G$3:$G266,1))</f>
        <v>258</v>
      </c>
      <c r="I266" t="str">
        <f t="shared" ca="1" si="40"/>
        <v>ブック追加</v>
      </c>
      <c r="K266">
        <f t="shared" si="44"/>
        <v>263</v>
      </c>
      <c r="L266" t="str">
        <f t="shared" ca="1" si="36"/>
        <v>シート移動（末尾）</v>
      </c>
      <c r="M266" s="2" t="str">
        <f t="shared" ca="1" si="37"/>
        <v>○</v>
      </c>
      <c r="N266" s="2" t="str">
        <f t="shared" ca="1" si="38"/>
        <v/>
      </c>
      <c r="O266" s="2" t="str">
        <f t="shared" ca="1" si="41"/>
        <v/>
      </c>
      <c r="P266" s="2" t="str">
        <f t="shared" ca="1" si="42"/>
        <v/>
      </c>
    </row>
    <row r="267" spans="1:16">
      <c r="A267">
        <f t="shared" si="43"/>
        <v>264</v>
      </c>
      <c r="B267" t="str">
        <f ca="1">IFERROR(VLOOKUP($A267,'vbs,vba'!$G:$H,2,FALSE),"")</f>
        <v>ブック作成＆シートコピー</v>
      </c>
      <c r="C267" t="str">
        <f ca="1">IFERROR(VLOOKUP($A267,python!$I:$J,2,FALSE),"")</f>
        <v/>
      </c>
      <c r="D267" t="str">
        <f ca="1">IFERROR(VLOOKUP($A267,bat!$F:$G,2,FALSE),"")</f>
        <v/>
      </c>
      <c r="E267" t="str">
        <f ca="1">IFERROR(VLOOKUP($A267,shell!$F:$G,2,FALSE),"")</f>
        <v/>
      </c>
      <c r="F267" t="str">
        <f t="shared" ca="1" si="39"/>
        <v>ブック作成＆シートコピー</v>
      </c>
      <c r="G267">
        <f ca="1">IF($F267="","",COUNTIF($F$3:$F267,$F267))</f>
        <v>1</v>
      </c>
      <c r="H267">
        <f ca="1">IF(OR(G267&gt;1,G267=""),"",COUNTIF($G$3:$G267,1))</f>
        <v>259</v>
      </c>
      <c r="I267" t="str">
        <f t="shared" ca="1" si="40"/>
        <v>ブック作成＆シートコピー</v>
      </c>
      <c r="K267">
        <f t="shared" si="44"/>
        <v>264</v>
      </c>
      <c r="L267" t="str">
        <f t="shared" ca="1" si="36"/>
        <v>シート削除</v>
      </c>
      <c r="M267" s="2" t="str">
        <f t="shared" ca="1" si="37"/>
        <v>○</v>
      </c>
      <c r="N267" s="2" t="str">
        <f t="shared" ca="1" si="38"/>
        <v/>
      </c>
      <c r="O267" s="2" t="str">
        <f t="shared" ca="1" si="41"/>
        <v/>
      </c>
      <c r="P267" s="2" t="str">
        <f t="shared" ca="1" si="42"/>
        <v/>
      </c>
    </row>
    <row r="268" spans="1:16">
      <c r="A268">
        <f t="shared" si="43"/>
        <v>265</v>
      </c>
      <c r="B268" t="str">
        <f ca="1">IFERROR(VLOOKUP($A268,'vbs,vba'!$G:$H,2,FALSE),"")</f>
        <v>ブック新規保存</v>
      </c>
      <c r="C268" t="str">
        <f ca="1">IFERROR(VLOOKUP($A268,python!$I:$J,2,FALSE),"")</f>
        <v/>
      </c>
      <c r="D268" t="str">
        <f ca="1">IFERROR(VLOOKUP($A268,bat!$F:$G,2,FALSE),"")</f>
        <v/>
      </c>
      <c r="E268" t="str">
        <f ca="1">IFERROR(VLOOKUP($A268,shell!$F:$G,2,FALSE),"")</f>
        <v/>
      </c>
      <c r="F268" t="str">
        <f t="shared" ca="1" si="39"/>
        <v>ブック新規保存</v>
      </c>
      <c r="G268">
        <f ca="1">IF($F268="","",COUNTIF($F$3:$F268,$F268))</f>
        <v>1</v>
      </c>
      <c r="H268">
        <f ca="1">IF(OR(G268&gt;1,G268=""),"",COUNTIF($G$3:$G268,1))</f>
        <v>260</v>
      </c>
      <c r="I268" t="str">
        <f t="shared" ca="1" si="40"/>
        <v>ブック新規保存</v>
      </c>
      <c r="K268">
        <f t="shared" si="44"/>
        <v>265</v>
      </c>
      <c r="L268" t="str">
        <f t="shared" ca="1" si="36"/>
        <v>シート表示/非表示</v>
      </c>
      <c r="M268" s="2" t="str">
        <f t="shared" ca="1" si="37"/>
        <v>○</v>
      </c>
      <c r="N268" s="2" t="str">
        <f t="shared" ca="1" si="38"/>
        <v/>
      </c>
      <c r="O268" s="2" t="str">
        <f t="shared" ca="1" si="41"/>
        <v/>
      </c>
      <c r="P268" s="2" t="str">
        <f t="shared" ca="1" si="42"/>
        <v/>
      </c>
    </row>
    <row r="269" spans="1:16">
      <c r="A269">
        <f t="shared" si="43"/>
        <v>266</v>
      </c>
      <c r="B269" t="str">
        <f ca="1">IFERROR(VLOOKUP($A269,'vbs,vba'!$G:$H,2,FALSE),"")</f>
        <v>シート数取得</v>
      </c>
      <c r="C269" t="str">
        <f ca="1">IFERROR(VLOOKUP($A269,python!$I:$J,2,FALSE),"")</f>
        <v/>
      </c>
      <c r="D269" t="str">
        <f ca="1">IFERROR(VLOOKUP($A269,bat!$F:$G,2,FALSE),"")</f>
        <v/>
      </c>
      <c r="E269" t="str">
        <f ca="1">IFERROR(VLOOKUP($A269,shell!$F:$G,2,FALSE),"")</f>
        <v/>
      </c>
      <c r="F269" t="str">
        <f t="shared" ca="1" si="39"/>
        <v>シート数取得</v>
      </c>
      <c r="G269">
        <f ca="1">IF($F269="","",COUNTIF($F$3:$F269,$F269))</f>
        <v>1</v>
      </c>
      <c r="H269">
        <f ca="1">IF(OR(G269&gt;1,G269=""),"",COUNTIF($G$3:$G269,1))</f>
        <v>261</v>
      </c>
      <c r="I269" t="str">
        <f t="shared" ca="1" si="40"/>
        <v>シート数取得</v>
      </c>
      <c r="K269">
        <f t="shared" si="44"/>
        <v>266</v>
      </c>
      <c r="L269" t="str">
        <f t="shared" ca="1" si="36"/>
        <v>シート並べ替え</v>
      </c>
      <c r="M269" s="2" t="str">
        <f t="shared" ca="1" si="37"/>
        <v>○</v>
      </c>
      <c r="N269" s="2" t="str">
        <f t="shared" ca="1" si="38"/>
        <v/>
      </c>
      <c r="O269" s="2" t="str">
        <f t="shared" ca="1" si="41"/>
        <v/>
      </c>
      <c r="P269" s="2" t="str">
        <f t="shared" ca="1" si="42"/>
        <v/>
      </c>
    </row>
    <row r="270" spans="1:16">
      <c r="A270">
        <f t="shared" si="43"/>
        <v>267</v>
      </c>
      <c r="B270" t="str">
        <f ca="1">IFERROR(VLOOKUP($A270,'vbs,vba'!$G:$H,2,FALSE),"")</f>
        <v>シート追加</v>
      </c>
      <c r="C270" t="str">
        <f ca="1">IFERROR(VLOOKUP($A270,python!$I:$J,2,FALSE),"")</f>
        <v/>
      </c>
      <c r="D270" t="str">
        <f ca="1">IFERROR(VLOOKUP($A270,bat!$F:$G,2,FALSE),"")</f>
        <v/>
      </c>
      <c r="E270" t="str">
        <f ca="1">IFERROR(VLOOKUP($A270,shell!$F:$G,2,FALSE),"")</f>
        <v/>
      </c>
      <c r="F270" t="str">
        <f t="shared" ca="1" si="39"/>
        <v>シート追加</v>
      </c>
      <c r="G270">
        <f ca="1">IF($F270="","",COUNTIF($F$3:$F270,$F270))</f>
        <v>1</v>
      </c>
      <c r="H270">
        <f ca="1">IF(OR(G270&gt;1,G270=""),"",COUNTIF($G$3:$G270,1))</f>
        <v>262</v>
      </c>
      <c r="I270" t="str">
        <f t="shared" ca="1" si="40"/>
        <v>シート追加</v>
      </c>
      <c r="K270">
        <f t="shared" si="44"/>
        <v>267</v>
      </c>
      <c r="L270" t="str">
        <f t="shared" ca="1" si="36"/>
        <v>シート名変更</v>
      </c>
      <c r="M270" s="2" t="str">
        <f t="shared" ca="1" si="37"/>
        <v>○</v>
      </c>
      <c r="N270" s="2" t="str">
        <f t="shared" ca="1" si="38"/>
        <v/>
      </c>
      <c r="O270" s="2" t="str">
        <f t="shared" ca="1" si="41"/>
        <v/>
      </c>
      <c r="P270" s="2" t="str">
        <f t="shared" ca="1" si="42"/>
        <v/>
      </c>
    </row>
    <row r="271" spans="1:16">
      <c r="A271">
        <f t="shared" si="43"/>
        <v>268</v>
      </c>
      <c r="B271" t="str">
        <f ca="1">IFERROR(VLOOKUP($A271,'vbs,vba'!$G:$H,2,FALSE),"")</f>
        <v>シート移動（末尾）</v>
      </c>
      <c r="C271" t="str">
        <f ca="1">IFERROR(VLOOKUP($A271,python!$I:$J,2,FALSE),"")</f>
        <v/>
      </c>
      <c r="D271" t="str">
        <f ca="1">IFERROR(VLOOKUP($A271,bat!$F:$G,2,FALSE),"")</f>
        <v/>
      </c>
      <c r="E271" t="str">
        <f ca="1">IFERROR(VLOOKUP($A271,shell!$F:$G,2,FALSE),"")</f>
        <v/>
      </c>
      <c r="F271" t="str">
        <f t="shared" ca="1" si="39"/>
        <v>シート移動（末尾）</v>
      </c>
      <c r="G271">
        <f ca="1">IF($F271="","",COUNTIF($F$3:$F271,$F271))</f>
        <v>1</v>
      </c>
      <c r="H271">
        <f ca="1">IF(OR(G271&gt;1,G271=""),"",COUNTIF($G$3:$G271,1))</f>
        <v>263</v>
      </c>
      <c r="I271" t="str">
        <f t="shared" ca="1" si="40"/>
        <v>シート移動（末尾）</v>
      </c>
      <c r="K271">
        <f t="shared" si="44"/>
        <v>268</v>
      </c>
      <c r="L271" t="str">
        <f t="shared" ca="1" si="36"/>
        <v>画面表示 ON</v>
      </c>
      <c r="M271" s="2" t="str">
        <f t="shared" ca="1" si="37"/>
        <v>○</v>
      </c>
      <c r="N271" s="2" t="str">
        <f t="shared" ca="1" si="38"/>
        <v/>
      </c>
      <c r="O271" s="2" t="str">
        <f t="shared" ca="1" si="41"/>
        <v/>
      </c>
      <c r="P271" s="2" t="str">
        <f t="shared" ca="1" si="42"/>
        <v/>
      </c>
    </row>
    <row r="272" spans="1:16">
      <c r="A272">
        <f t="shared" si="43"/>
        <v>269</v>
      </c>
      <c r="B272" t="str">
        <f ca="1">IFERROR(VLOOKUP($A272,'vbs,vba'!$G:$H,2,FALSE),"")</f>
        <v>シート削除</v>
      </c>
      <c r="C272" t="str">
        <f ca="1">IFERROR(VLOOKUP($A272,python!$I:$J,2,FALSE),"")</f>
        <v/>
      </c>
      <c r="D272" t="str">
        <f ca="1">IFERROR(VLOOKUP($A272,bat!$F:$G,2,FALSE),"")</f>
        <v/>
      </c>
      <c r="E272" t="str">
        <f ca="1">IFERROR(VLOOKUP($A272,shell!$F:$G,2,FALSE),"")</f>
        <v/>
      </c>
      <c r="F272" t="str">
        <f t="shared" ca="1" si="39"/>
        <v>シート削除</v>
      </c>
      <c r="G272">
        <f ca="1">IF($F272="","",COUNTIF($F$3:$F272,$F272))</f>
        <v>1</v>
      </c>
      <c r="H272">
        <f ca="1">IF(OR(G272&gt;1,G272=""),"",COUNTIF($G$3:$G272,1))</f>
        <v>264</v>
      </c>
      <c r="I272" t="str">
        <f t="shared" ca="1" si="40"/>
        <v>シート削除</v>
      </c>
      <c r="K272">
        <f t="shared" si="44"/>
        <v>269</v>
      </c>
      <c r="L272" t="str">
        <f t="shared" ca="1" si="36"/>
        <v>画面表示 OFF</v>
      </c>
      <c r="M272" s="2" t="str">
        <f t="shared" ca="1" si="37"/>
        <v>○</v>
      </c>
      <c r="N272" s="2" t="str">
        <f t="shared" ca="1" si="38"/>
        <v/>
      </c>
      <c r="O272" s="2" t="str">
        <f t="shared" ca="1" si="41"/>
        <v/>
      </c>
      <c r="P272" s="2" t="str">
        <f t="shared" ca="1" si="42"/>
        <v/>
      </c>
    </row>
    <row r="273" spans="1:16">
      <c r="A273">
        <f t="shared" si="43"/>
        <v>270</v>
      </c>
      <c r="B273" t="str">
        <f ca="1">IFERROR(VLOOKUP($A273,'vbs,vba'!$G:$H,2,FALSE),"")</f>
        <v>シート表示/非表示</v>
      </c>
      <c r="C273" t="str">
        <f ca="1">IFERROR(VLOOKUP($A273,python!$I:$J,2,FALSE),"")</f>
        <v/>
      </c>
      <c r="D273" t="str">
        <f ca="1">IFERROR(VLOOKUP($A273,bat!$F:$G,2,FALSE),"")</f>
        <v/>
      </c>
      <c r="E273" t="str">
        <f ca="1">IFERROR(VLOOKUP($A273,shell!$F:$G,2,FALSE),"")</f>
        <v/>
      </c>
      <c r="F273" t="str">
        <f t="shared" ca="1" si="39"/>
        <v>シート表示/非表示</v>
      </c>
      <c r="G273">
        <f ca="1">IF($F273="","",COUNTIF($F$3:$F273,$F273))</f>
        <v>1</v>
      </c>
      <c r="H273">
        <f ca="1">IF(OR(G273&gt;1,G273=""),"",COUNTIF($G$3:$G273,1))</f>
        <v>265</v>
      </c>
      <c r="I273" t="str">
        <f t="shared" ca="1" si="40"/>
        <v>シート表示/非表示</v>
      </c>
      <c r="K273">
        <f t="shared" si="44"/>
        <v>270</v>
      </c>
      <c r="L273" t="str">
        <f t="shared" ca="1" si="36"/>
        <v>計算方法切替 自動</v>
      </c>
      <c r="M273" s="2" t="str">
        <f t="shared" ca="1" si="37"/>
        <v>○</v>
      </c>
      <c r="N273" s="2" t="str">
        <f t="shared" ca="1" si="38"/>
        <v/>
      </c>
      <c r="O273" s="2" t="str">
        <f t="shared" ca="1" si="41"/>
        <v/>
      </c>
      <c r="P273" s="2" t="str">
        <f t="shared" ca="1" si="42"/>
        <v/>
      </c>
    </row>
    <row r="274" spans="1:16">
      <c r="A274">
        <f t="shared" si="43"/>
        <v>271</v>
      </c>
      <c r="B274" t="str">
        <f ca="1">IFERROR(VLOOKUP($A274,'vbs,vba'!$G:$H,2,FALSE),"")</f>
        <v>シート並べ替え</v>
      </c>
      <c r="C274" t="str">
        <f ca="1">IFERROR(VLOOKUP($A274,python!$I:$J,2,FALSE),"")</f>
        <v/>
      </c>
      <c r="D274" t="str">
        <f ca="1">IFERROR(VLOOKUP($A274,bat!$F:$G,2,FALSE),"")</f>
        <v/>
      </c>
      <c r="E274" t="str">
        <f ca="1">IFERROR(VLOOKUP($A274,shell!$F:$G,2,FALSE),"")</f>
        <v/>
      </c>
      <c r="F274" t="str">
        <f t="shared" ca="1" si="39"/>
        <v>シート並べ替え</v>
      </c>
      <c r="G274">
        <f ca="1">IF($F274="","",COUNTIF($F$3:$F274,$F274))</f>
        <v>1</v>
      </c>
      <c r="H274">
        <f ca="1">IF(OR(G274&gt;1,G274=""),"",COUNTIF($G$3:$G274,1))</f>
        <v>266</v>
      </c>
      <c r="I274" t="str">
        <f t="shared" ca="1" si="40"/>
        <v>シート並べ替え</v>
      </c>
      <c r="K274">
        <f t="shared" si="44"/>
        <v>271</v>
      </c>
      <c r="L274" t="str">
        <f t="shared" ca="1" si="36"/>
        <v>計算方法切替 手動</v>
      </c>
      <c r="M274" s="2" t="str">
        <f t="shared" ca="1" si="37"/>
        <v>○</v>
      </c>
      <c r="N274" s="2" t="str">
        <f t="shared" ca="1" si="38"/>
        <v/>
      </c>
      <c r="O274" s="2" t="str">
        <f t="shared" ca="1" si="41"/>
        <v/>
      </c>
      <c r="P274" s="2" t="str">
        <f t="shared" ca="1" si="42"/>
        <v/>
      </c>
    </row>
    <row r="275" spans="1:16">
      <c r="A275">
        <f t="shared" si="43"/>
        <v>272</v>
      </c>
      <c r="B275" t="str">
        <f ca="1">IFERROR(VLOOKUP($A275,'vbs,vba'!$G:$H,2,FALSE),"")</f>
        <v>シート名変更</v>
      </c>
      <c r="C275" t="str">
        <f ca="1">IFERROR(VLOOKUP($A275,python!$I:$J,2,FALSE),"")</f>
        <v/>
      </c>
      <c r="D275" t="str">
        <f ca="1">IFERROR(VLOOKUP($A275,bat!$F:$G,2,FALSE),"")</f>
        <v/>
      </c>
      <c r="E275" t="str">
        <f ca="1">IFERROR(VLOOKUP($A275,shell!$F:$G,2,FALSE),"")</f>
        <v/>
      </c>
      <c r="F275" t="str">
        <f t="shared" ca="1" si="39"/>
        <v>シート名変更</v>
      </c>
      <c r="G275">
        <f ca="1">IF($F275="","",COUNTIF($F$3:$F275,$F275))</f>
        <v>1</v>
      </c>
      <c r="H275">
        <f ca="1">IF(OR(G275&gt;1,G275=""),"",COUNTIF($G$3:$G275,1))</f>
        <v>267</v>
      </c>
      <c r="I275" t="str">
        <f t="shared" ca="1" si="40"/>
        <v>シート名変更</v>
      </c>
      <c r="K275">
        <f t="shared" si="44"/>
        <v>272</v>
      </c>
      <c r="L275" t="str">
        <f t="shared" ca="1" si="36"/>
        <v>ブック再計算</v>
      </c>
      <c r="M275" s="2" t="str">
        <f t="shared" ca="1" si="37"/>
        <v>○</v>
      </c>
      <c r="N275" s="2" t="str">
        <f t="shared" ca="1" si="38"/>
        <v/>
      </c>
      <c r="O275" s="2" t="str">
        <f t="shared" ca="1" si="41"/>
        <v/>
      </c>
      <c r="P275" s="2" t="str">
        <f t="shared" ca="1" si="42"/>
        <v/>
      </c>
    </row>
    <row r="276" spans="1:16">
      <c r="A276">
        <f t="shared" si="43"/>
        <v>273</v>
      </c>
      <c r="B276" t="str">
        <f ca="1">IFERROR(VLOOKUP($A276,'vbs,vba'!$G:$H,2,FALSE),"")</f>
        <v>画面表示 ON</v>
      </c>
      <c r="C276" t="str">
        <f ca="1">IFERROR(VLOOKUP($A276,python!$I:$J,2,FALSE),"")</f>
        <v/>
      </c>
      <c r="D276" t="str">
        <f ca="1">IFERROR(VLOOKUP($A276,bat!$F:$G,2,FALSE),"")</f>
        <v/>
      </c>
      <c r="E276" t="str">
        <f ca="1">IFERROR(VLOOKUP($A276,shell!$F:$G,2,FALSE),"")</f>
        <v/>
      </c>
      <c r="F276" t="str">
        <f t="shared" ca="1" si="39"/>
        <v>画面表示 ON</v>
      </c>
      <c r="G276">
        <f ca="1">IF($F276="","",COUNTIF($F$3:$F276,$F276))</f>
        <v>1</v>
      </c>
      <c r="H276">
        <f ca="1">IF(OR(G276&gt;1,G276=""),"",COUNTIF($G$3:$G276,1))</f>
        <v>268</v>
      </c>
      <c r="I276" t="str">
        <f t="shared" ca="1" si="40"/>
        <v>画面表示 ON</v>
      </c>
      <c r="K276">
        <f t="shared" si="44"/>
        <v>273</v>
      </c>
      <c r="L276" t="str">
        <f t="shared" ca="1" si="36"/>
        <v>ブック強制再計算</v>
      </c>
      <c r="M276" s="2" t="str">
        <f t="shared" ca="1" si="37"/>
        <v>○</v>
      </c>
      <c r="N276" s="2" t="str">
        <f t="shared" ca="1" si="38"/>
        <v/>
      </c>
      <c r="O276" s="2" t="str">
        <f t="shared" ca="1" si="41"/>
        <v/>
      </c>
      <c r="P276" s="2" t="str">
        <f t="shared" ca="1" si="42"/>
        <v/>
      </c>
    </row>
    <row r="277" spans="1:16">
      <c r="A277">
        <f t="shared" si="43"/>
        <v>274</v>
      </c>
      <c r="B277" t="str">
        <f ca="1">IFERROR(VLOOKUP($A277,'vbs,vba'!$G:$H,2,FALSE),"")</f>
        <v>画面表示 OFF</v>
      </c>
      <c r="C277" t="str">
        <f ca="1">IFERROR(VLOOKUP($A277,python!$I:$J,2,FALSE),"")</f>
        <v/>
      </c>
      <c r="D277" t="str">
        <f ca="1">IFERROR(VLOOKUP($A277,bat!$F:$G,2,FALSE),"")</f>
        <v/>
      </c>
      <c r="E277" t="str">
        <f ca="1">IFERROR(VLOOKUP($A277,shell!$F:$G,2,FALSE),"")</f>
        <v/>
      </c>
      <c r="F277" t="str">
        <f t="shared" ca="1" si="39"/>
        <v>画面表示 OFF</v>
      </c>
      <c r="G277">
        <f ca="1">IF($F277="","",COUNTIF($F$3:$F277,$F277))</f>
        <v>1</v>
      </c>
      <c r="H277">
        <f ca="1">IF(OR(G277&gt;1,G277=""),"",COUNTIF($G$3:$G277,1))</f>
        <v>269</v>
      </c>
      <c r="I277" t="str">
        <f t="shared" ca="1" si="40"/>
        <v>画面表示 OFF</v>
      </c>
      <c r="K277">
        <f t="shared" si="44"/>
        <v>274</v>
      </c>
      <c r="L277" t="str">
        <f t="shared" ca="1" si="36"/>
        <v>範囲の共通部分取り出し</v>
      </c>
      <c r="M277" s="2" t="str">
        <f t="shared" ca="1" si="37"/>
        <v>○</v>
      </c>
      <c r="N277" s="2" t="str">
        <f t="shared" ca="1" si="38"/>
        <v/>
      </c>
      <c r="O277" s="2" t="str">
        <f t="shared" ca="1" si="41"/>
        <v/>
      </c>
      <c r="P277" s="2" t="str">
        <f t="shared" ca="1" si="42"/>
        <v/>
      </c>
    </row>
    <row r="278" spans="1:16">
      <c r="A278">
        <f t="shared" si="43"/>
        <v>275</v>
      </c>
      <c r="B278" t="str">
        <f ca="1">IFERROR(VLOOKUP($A278,'vbs,vba'!$G:$H,2,FALSE),"")</f>
        <v>計算方法切替 自動</v>
      </c>
      <c r="C278" t="str">
        <f ca="1">IFERROR(VLOOKUP($A278,python!$I:$J,2,FALSE),"")</f>
        <v/>
      </c>
      <c r="D278" t="str">
        <f ca="1">IFERROR(VLOOKUP($A278,bat!$F:$G,2,FALSE),"")</f>
        <v/>
      </c>
      <c r="E278" t="str">
        <f ca="1">IFERROR(VLOOKUP($A278,shell!$F:$G,2,FALSE),"")</f>
        <v/>
      </c>
      <c r="F278" t="str">
        <f t="shared" ca="1" si="39"/>
        <v>計算方法切替 自動</v>
      </c>
      <c r="G278">
        <f ca="1">IF($F278="","",COUNTIF($F$3:$F278,$F278))</f>
        <v>1</v>
      </c>
      <c r="H278">
        <f ca="1">IF(OR(G278&gt;1,G278=""),"",COUNTIF($G$3:$G278,1))</f>
        <v>270</v>
      </c>
      <c r="I278" t="str">
        <f t="shared" ca="1" si="40"/>
        <v>計算方法切替 自動</v>
      </c>
      <c r="K278">
        <f t="shared" si="44"/>
        <v>275</v>
      </c>
      <c r="L278" t="str">
        <f t="shared" ca="1" si="36"/>
        <v>範囲チェック</v>
      </c>
      <c r="M278" s="2" t="str">
        <f t="shared" ca="1" si="37"/>
        <v>○</v>
      </c>
      <c r="N278" s="2" t="str">
        <f t="shared" ca="1" si="38"/>
        <v/>
      </c>
      <c r="O278" s="2" t="str">
        <f t="shared" ca="1" si="41"/>
        <v/>
      </c>
      <c r="P278" s="2" t="str">
        <f t="shared" ca="1" si="42"/>
        <v/>
      </c>
    </row>
    <row r="279" spans="1:16">
      <c r="A279">
        <f t="shared" si="43"/>
        <v>276</v>
      </c>
      <c r="B279" t="str">
        <f ca="1">IFERROR(VLOOKUP($A279,'vbs,vba'!$G:$H,2,FALSE),"")</f>
        <v>計算方法切替 手動</v>
      </c>
      <c r="C279" t="str">
        <f ca="1">IFERROR(VLOOKUP($A279,python!$I:$J,2,FALSE),"")</f>
        <v/>
      </c>
      <c r="D279" t="str">
        <f ca="1">IFERROR(VLOOKUP($A279,bat!$F:$G,2,FALSE),"")</f>
        <v/>
      </c>
      <c r="E279" t="str">
        <f ca="1">IFERROR(VLOOKUP($A279,shell!$F:$G,2,FALSE),"")</f>
        <v/>
      </c>
      <c r="F279" t="str">
        <f t="shared" ca="1" si="39"/>
        <v>計算方法切替 手動</v>
      </c>
      <c r="G279">
        <f ca="1">IF($F279="","",COUNTIF($F$3:$F279,$F279))</f>
        <v>1</v>
      </c>
      <c r="H279">
        <f ca="1">IF(OR(G279&gt;1,G279=""),"",COUNTIF($G$3:$G279,1))</f>
        <v>271</v>
      </c>
      <c r="I279" t="str">
        <f t="shared" ca="1" si="40"/>
        <v>計算方法切替 手動</v>
      </c>
      <c r="K279">
        <f t="shared" si="44"/>
        <v>276</v>
      </c>
      <c r="L279" t="str">
        <f t="shared" ca="1" si="36"/>
        <v>確認メッセージ抑制</v>
      </c>
      <c r="M279" s="2" t="str">
        <f t="shared" ca="1" si="37"/>
        <v>○</v>
      </c>
      <c r="N279" s="2" t="str">
        <f t="shared" ca="1" si="38"/>
        <v/>
      </c>
      <c r="O279" s="2" t="str">
        <f t="shared" ca="1" si="41"/>
        <v/>
      </c>
      <c r="P279" s="2" t="str">
        <f t="shared" ca="1" si="42"/>
        <v/>
      </c>
    </row>
    <row r="280" spans="1:16">
      <c r="A280">
        <f t="shared" si="43"/>
        <v>277</v>
      </c>
      <c r="B280" t="str">
        <f ca="1">IFERROR(VLOOKUP($A280,'vbs,vba'!$G:$H,2,FALSE),"")</f>
        <v>ブック再計算</v>
      </c>
      <c r="C280" t="str">
        <f ca="1">IFERROR(VLOOKUP($A280,python!$I:$J,2,FALSE),"")</f>
        <v/>
      </c>
      <c r="D280" t="str">
        <f ca="1">IFERROR(VLOOKUP($A280,bat!$F:$G,2,FALSE),"")</f>
        <v/>
      </c>
      <c r="E280" t="str">
        <f ca="1">IFERROR(VLOOKUP($A280,shell!$F:$G,2,FALSE),"")</f>
        <v/>
      </c>
      <c r="F280" t="str">
        <f t="shared" ca="1" si="39"/>
        <v>ブック再計算</v>
      </c>
      <c r="G280">
        <f ca="1">IF($F280="","",COUNTIF($F$3:$F280,$F280))</f>
        <v>1</v>
      </c>
      <c r="H280">
        <f ca="1">IF(OR(G280&gt;1,G280=""),"",COUNTIF($G$3:$G280,1))</f>
        <v>272</v>
      </c>
      <c r="I280" t="str">
        <f t="shared" ca="1" si="40"/>
        <v>ブック再計算</v>
      </c>
      <c r="K280">
        <f t="shared" si="44"/>
        <v>277</v>
      </c>
      <c r="L280" t="str">
        <f t="shared" ca="1" si="36"/>
        <v>確認メッセージ表示</v>
      </c>
      <c r="M280" s="2" t="str">
        <f t="shared" ca="1" si="37"/>
        <v>○</v>
      </c>
      <c r="N280" s="2" t="str">
        <f t="shared" ca="1" si="38"/>
        <v/>
      </c>
      <c r="O280" s="2" t="str">
        <f t="shared" ca="1" si="41"/>
        <v/>
      </c>
      <c r="P280" s="2" t="str">
        <f t="shared" ca="1" si="42"/>
        <v/>
      </c>
    </row>
    <row r="281" spans="1:16">
      <c r="A281">
        <f t="shared" si="43"/>
        <v>278</v>
      </c>
      <c r="B281" t="str">
        <f ca="1">IFERROR(VLOOKUP($A281,'vbs,vba'!$G:$H,2,FALSE),"")</f>
        <v>ブック強制再計算</v>
      </c>
      <c r="C281" t="str">
        <f ca="1">IFERROR(VLOOKUP($A281,python!$I:$J,2,FALSE),"")</f>
        <v/>
      </c>
      <c r="D281" t="str">
        <f ca="1">IFERROR(VLOOKUP($A281,bat!$F:$G,2,FALSE),"")</f>
        <v/>
      </c>
      <c r="E281" t="str">
        <f ca="1">IFERROR(VLOOKUP($A281,shell!$F:$G,2,FALSE),"")</f>
        <v/>
      </c>
      <c r="F281" t="str">
        <f t="shared" ca="1" si="39"/>
        <v>ブック強制再計算</v>
      </c>
      <c r="G281">
        <f ca="1">IF($F281="","",COUNTIF($F$3:$F281,$F281))</f>
        <v>1</v>
      </c>
      <c r="H281">
        <f ca="1">IF(OR(G281&gt;1,G281=""),"",COUNTIF($G$3:$G281,1))</f>
        <v>273</v>
      </c>
      <c r="I281" t="str">
        <f t="shared" ca="1" si="40"/>
        <v>ブック強制再計算</v>
      </c>
      <c r="K281">
        <f t="shared" si="44"/>
        <v>278</v>
      </c>
      <c r="L281" t="str">
        <f t="shared" ca="1" si="36"/>
        <v>選択 行</v>
      </c>
      <c r="M281" s="2" t="str">
        <f t="shared" ca="1" si="37"/>
        <v>○</v>
      </c>
      <c r="N281" s="2" t="str">
        <f t="shared" ca="1" si="38"/>
        <v/>
      </c>
      <c r="O281" s="2" t="str">
        <f t="shared" ca="1" si="41"/>
        <v/>
      </c>
      <c r="P281" s="2" t="str">
        <f t="shared" ca="1" si="42"/>
        <v/>
      </c>
    </row>
    <row r="282" spans="1:16">
      <c r="A282">
        <f t="shared" si="43"/>
        <v>279</v>
      </c>
      <c r="B282" t="str">
        <f ca="1">IFERROR(VLOOKUP($A282,'vbs,vba'!$G:$H,2,FALSE),"")</f>
        <v>範囲の共通部分取り出し</v>
      </c>
      <c r="C282" t="str">
        <f ca="1">IFERROR(VLOOKUP($A282,python!$I:$J,2,FALSE),"")</f>
        <v/>
      </c>
      <c r="D282" t="str">
        <f ca="1">IFERROR(VLOOKUP($A282,bat!$F:$G,2,FALSE),"")</f>
        <v/>
      </c>
      <c r="E282" t="str">
        <f ca="1">IFERROR(VLOOKUP($A282,shell!$F:$G,2,FALSE),"")</f>
        <v/>
      </c>
      <c r="F282" t="str">
        <f t="shared" ca="1" si="39"/>
        <v>範囲の共通部分取り出し</v>
      </c>
      <c r="G282">
        <f ca="1">IF($F282="","",COUNTIF($F$3:$F282,$F282))</f>
        <v>1</v>
      </c>
      <c r="H282">
        <f ca="1">IF(OR(G282&gt;1,G282=""),"",COUNTIF($G$3:$G282,1))</f>
        <v>274</v>
      </c>
      <c r="I282" t="str">
        <f t="shared" ca="1" si="40"/>
        <v>範囲の共通部分取り出し</v>
      </c>
      <c r="K282">
        <f t="shared" si="44"/>
        <v>279</v>
      </c>
      <c r="L282" t="str">
        <f t="shared" ca="1" si="36"/>
        <v>選択 列</v>
      </c>
      <c r="M282" s="2" t="str">
        <f t="shared" ca="1" si="37"/>
        <v>○</v>
      </c>
      <c r="N282" s="2" t="str">
        <f t="shared" ca="1" si="38"/>
        <v/>
      </c>
      <c r="O282" s="2" t="str">
        <f t="shared" ca="1" si="41"/>
        <v/>
      </c>
      <c r="P282" s="2" t="str">
        <f t="shared" ca="1" si="42"/>
        <v/>
      </c>
    </row>
    <row r="283" spans="1:16">
      <c r="A283">
        <f t="shared" si="43"/>
        <v>280</v>
      </c>
      <c r="B283" t="str">
        <f ca="1">IFERROR(VLOOKUP($A283,'vbs,vba'!$G:$H,2,FALSE),"")</f>
        <v>範囲チェック</v>
      </c>
      <c r="C283" t="str">
        <f ca="1">IFERROR(VLOOKUP($A283,python!$I:$J,2,FALSE),"")</f>
        <v/>
      </c>
      <c r="D283" t="str">
        <f ca="1">IFERROR(VLOOKUP($A283,bat!$F:$G,2,FALSE),"")</f>
        <v/>
      </c>
      <c r="E283" t="str">
        <f ca="1">IFERROR(VLOOKUP($A283,shell!$F:$G,2,FALSE),"")</f>
        <v/>
      </c>
      <c r="F283" t="str">
        <f t="shared" ca="1" si="39"/>
        <v>範囲チェック</v>
      </c>
      <c r="G283">
        <f ca="1">IF($F283="","",COUNTIF($F$3:$F283,$F283))</f>
        <v>1</v>
      </c>
      <c r="H283">
        <f ca="1">IF(OR(G283&gt;1,G283=""),"",COUNTIF($G$3:$G283,1))</f>
        <v>275</v>
      </c>
      <c r="I283" t="str">
        <f t="shared" ca="1" si="40"/>
        <v>範囲チェック</v>
      </c>
      <c r="K283">
        <f t="shared" si="44"/>
        <v>280</v>
      </c>
      <c r="L283" t="str">
        <f t="shared" ca="1" si="36"/>
        <v>選択 セル</v>
      </c>
      <c r="M283" s="2" t="str">
        <f t="shared" ca="1" si="37"/>
        <v>○</v>
      </c>
      <c r="N283" s="2" t="str">
        <f t="shared" ca="1" si="38"/>
        <v/>
      </c>
      <c r="O283" s="2" t="str">
        <f t="shared" ca="1" si="41"/>
        <v/>
      </c>
      <c r="P283" s="2" t="str">
        <f t="shared" ca="1" si="42"/>
        <v/>
      </c>
    </row>
    <row r="284" spans="1:16">
      <c r="A284">
        <f t="shared" si="43"/>
        <v>281</v>
      </c>
      <c r="B284" t="str">
        <f ca="1">IFERROR(VLOOKUP($A284,'vbs,vba'!$G:$H,2,FALSE),"")</f>
        <v>確認メッセージ抑制</v>
      </c>
      <c r="C284" t="str">
        <f ca="1">IFERROR(VLOOKUP($A284,python!$I:$J,2,FALSE),"")</f>
        <v/>
      </c>
      <c r="D284" t="str">
        <f ca="1">IFERROR(VLOOKUP($A284,bat!$F:$G,2,FALSE),"")</f>
        <v/>
      </c>
      <c r="E284" t="str">
        <f ca="1">IFERROR(VLOOKUP($A284,shell!$F:$G,2,FALSE),"")</f>
        <v/>
      </c>
      <c r="F284" t="str">
        <f t="shared" ca="1" si="39"/>
        <v>確認メッセージ抑制</v>
      </c>
      <c r="G284">
        <f ca="1">IF($F284="","",COUNTIF($F$3:$F284,$F284))</f>
        <v>1</v>
      </c>
      <c r="H284">
        <f ca="1">IF(OR(G284&gt;1,G284=""),"",COUNTIF($G$3:$G284,1))</f>
        <v>276</v>
      </c>
      <c r="I284" t="str">
        <f t="shared" ca="1" si="40"/>
        <v>確認メッセージ抑制</v>
      </c>
      <c r="K284">
        <f t="shared" si="44"/>
        <v>281</v>
      </c>
      <c r="L284" t="str">
        <f t="shared" ca="1" si="36"/>
        <v>選択 範囲</v>
      </c>
      <c r="M284" s="2" t="str">
        <f t="shared" ca="1" si="37"/>
        <v>○</v>
      </c>
      <c r="N284" s="2" t="str">
        <f t="shared" ca="1" si="38"/>
        <v/>
      </c>
      <c r="O284" s="2" t="str">
        <f t="shared" ca="1" si="41"/>
        <v/>
      </c>
      <c r="P284" s="2" t="str">
        <f t="shared" ca="1" si="42"/>
        <v/>
      </c>
    </row>
    <row r="285" spans="1:16">
      <c r="A285">
        <f t="shared" si="43"/>
        <v>282</v>
      </c>
      <c r="B285" t="str">
        <f ca="1">IFERROR(VLOOKUP($A285,'vbs,vba'!$G:$H,2,FALSE),"")</f>
        <v>確認メッセージ表示</v>
      </c>
      <c r="C285" t="str">
        <f ca="1">IFERROR(VLOOKUP($A285,python!$I:$J,2,FALSE),"")</f>
        <v/>
      </c>
      <c r="D285" t="str">
        <f ca="1">IFERROR(VLOOKUP($A285,bat!$F:$G,2,FALSE),"")</f>
        <v/>
      </c>
      <c r="E285" t="str">
        <f ca="1">IFERROR(VLOOKUP($A285,shell!$F:$G,2,FALSE),"")</f>
        <v/>
      </c>
      <c r="F285" t="str">
        <f t="shared" ca="1" si="39"/>
        <v>確認メッセージ表示</v>
      </c>
      <c r="G285">
        <f ca="1">IF($F285="","",COUNTIF($F$3:$F285,$F285))</f>
        <v>1</v>
      </c>
      <c r="H285">
        <f ca="1">IF(OR(G285&gt;1,G285=""),"",COUNTIF($G$3:$G285,1))</f>
        <v>277</v>
      </c>
      <c r="I285" t="str">
        <f t="shared" ca="1" si="40"/>
        <v>確認メッセージ表示</v>
      </c>
      <c r="K285">
        <f t="shared" si="44"/>
        <v>282</v>
      </c>
      <c r="L285" t="str">
        <f t="shared" ca="1" si="36"/>
        <v>セル検索（行番号取得）</v>
      </c>
      <c r="M285" s="2" t="str">
        <f t="shared" ca="1" si="37"/>
        <v>○</v>
      </c>
      <c r="N285" s="2" t="str">
        <f t="shared" ca="1" si="38"/>
        <v/>
      </c>
      <c r="O285" s="2" t="str">
        <f t="shared" ca="1" si="41"/>
        <v/>
      </c>
      <c r="P285" s="2" t="str">
        <f t="shared" ca="1" si="42"/>
        <v/>
      </c>
    </row>
    <row r="286" spans="1:16">
      <c r="A286">
        <f t="shared" si="43"/>
        <v>283</v>
      </c>
      <c r="B286" t="str">
        <f ca="1">IFERROR(VLOOKUP($A286,'vbs,vba'!$G:$H,2,FALSE),"")</f>
        <v>選択 行</v>
      </c>
      <c r="C286" t="str">
        <f ca="1">IFERROR(VLOOKUP($A286,python!$I:$J,2,FALSE),"")</f>
        <v/>
      </c>
      <c r="D286" t="str">
        <f ca="1">IFERROR(VLOOKUP($A286,bat!$F:$G,2,FALSE),"")</f>
        <v/>
      </c>
      <c r="E286" t="str">
        <f ca="1">IFERROR(VLOOKUP($A286,shell!$F:$G,2,FALSE),"")</f>
        <v/>
      </c>
      <c r="F286" t="str">
        <f t="shared" ca="1" si="39"/>
        <v>選択 行</v>
      </c>
      <c r="G286">
        <f ca="1">IF($F286="","",COUNTIF($F$3:$F286,$F286))</f>
        <v>1</v>
      </c>
      <c r="H286">
        <f ca="1">IF(OR(G286&gt;1,G286=""),"",COUNTIF($G$3:$G286,1))</f>
        <v>278</v>
      </c>
      <c r="I286" t="str">
        <f t="shared" ca="1" si="40"/>
        <v>選択 行</v>
      </c>
      <c r="K286">
        <f t="shared" si="44"/>
        <v>283</v>
      </c>
      <c r="L286" t="str">
        <f t="shared" ca="1" si="36"/>
        <v>セル参照方法</v>
      </c>
      <c r="M286" s="2" t="str">
        <f t="shared" ca="1" si="37"/>
        <v>○</v>
      </c>
      <c r="N286" s="2" t="str">
        <f t="shared" ca="1" si="38"/>
        <v/>
      </c>
      <c r="O286" s="2" t="str">
        <f t="shared" ca="1" si="41"/>
        <v/>
      </c>
      <c r="P286" s="2" t="str">
        <f t="shared" ca="1" si="42"/>
        <v/>
      </c>
    </row>
    <row r="287" spans="1:16">
      <c r="A287">
        <f t="shared" si="43"/>
        <v>284</v>
      </c>
      <c r="B287" t="str">
        <f ca="1">IFERROR(VLOOKUP($A287,'vbs,vba'!$G:$H,2,FALSE),"")</f>
        <v>選択 列</v>
      </c>
      <c r="C287" t="str">
        <f ca="1">IFERROR(VLOOKUP($A287,python!$I:$J,2,FALSE),"")</f>
        <v/>
      </c>
      <c r="D287" t="str">
        <f ca="1">IFERROR(VLOOKUP($A287,bat!$F:$G,2,FALSE),"")</f>
        <v/>
      </c>
      <c r="E287" t="str">
        <f ca="1">IFERROR(VLOOKUP($A287,shell!$F:$G,2,FALSE),"")</f>
        <v/>
      </c>
      <c r="F287" t="str">
        <f t="shared" ca="1" si="39"/>
        <v>選択 列</v>
      </c>
      <c r="G287">
        <f ca="1">IF($F287="","",COUNTIF($F$3:$F287,$F287))</f>
        <v>1</v>
      </c>
      <c r="H287">
        <f ca="1">IF(OR(G287&gt;1,G287=""),"",COUNTIF($G$3:$G287,1))</f>
        <v>279</v>
      </c>
      <c r="I287" t="str">
        <f t="shared" ca="1" si="40"/>
        <v>選択 列</v>
      </c>
      <c r="K287">
        <f t="shared" si="44"/>
        <v>284</v>
      </c>
      <c r="L287" t="str">
        <f t="shared" ca="1" si="36"/>
        <v>セル位置取得（Ｙ軸）</v>
      </c>
      <c r="M287" s="2" t="str">
        <f t="shared" ca="1" si="37"/>
        <v>○</v>
      </c>
      <c r="N287" s="2" t="str">
        <f t="shared" ca="1" si="38"/>
        <v/>
      </c>
      <c r="O287" s="2" t="str">
        <f t="shared" ca="1" si="41"/>
        <v/>
      </c>
      <c r="P287" s="2" t="str">
        <f t="shared" ca="1" si="42"/>
        <v/>
      </c>
    </row>
    <row r="288" spans="1:16">
      <c r="A288">
        <f t="shared" si="43"/>
        <v>285</v>
      </c>
      <c r="B288" t="str">
        <f ca="1">IFERROR(VLOOKUP($A288,'vbs,vba'!$G:$H,2,FALSE),"")</f>
        <v>選択 セル</v>
      </c>
      <c r="C288" t="str">
        <f ca="1">IFERROR(VLOOKUP($A288,python!$I:$J,2,FALSE),"")</f>
        <v/>
      </c>
      <c r="D288" t="str">
        <f ca="1">IFERROR(VLOOKUP($A288,bat!$F:$G,2,FALSE),"")</f>
        <v/>
      </c>
      <c r="E288" t="str">
        <f ca="1">IFERROR(VLOOKUP($A288,shell!$F:$G,2,FALSE),"")</f>
        <v/>
      </c>
      <c r="F288" t="str">
        <f t="shared" ca="1" si="39"/>
        <v>選択 セル</v>
      </c>
      <c r="G288">
        <f ca="1">IF($F288="","",COUNTIF($F$3:$F288,$F288))</f>
        <v>1</v>
      </c>
      <c r="H288">
        <f ca="1">IF(OR(G288&gt;1,G288=""),"",COUNTIF($G$3:$G288,1))</f>
        <v>280</v>
      </c>
      <c r="I288" t="str">
        <f t="shared" ca="1" si="40"/>
        <v>選択 セル</v>
      </c>
      <c r="K288">
        <f t="shared" si="44"/>
        <v>285</v>
      </c>
      <c r="L288" t="str">
        <f t="shared" ca="1" si="36"/>
        <v>セル位置取得（Ｘ軸）</v>
      </c>
      <c r="M288" s="2" t="str">
        <f t="shared" ca="1" si="37"/>
        <v>○</v>
      </c>
      <c r="N288" s="2" t="str">
        <f t="shared" ca="1" si="38"/>
        <v/>
      </c>
      <c r="O288" s="2" t="str">
        <f t="shared" ca="1" si="41"/>
        <v/>
      </c>
      <c r="P288" s="2" t="str">
        <f t="shared" ca="1" si="42"/>
        <v/>
      </c>
    </row>
    <row r="289" spans="1:16">
      <c r="A289">
        <f t="shared" si="43"/>
        <v>286</v>
      </c>
      <c r="B289" t="str">
        <f ca="1">IFERROR(VLOOKUP($A289,'vbs,vba'!$G:$H,2,FALSE),"")</f>
        <v>選択 範囲</v>
      </c>
      <c r="C289" t="str">
        <f ca="1">IFERROR(VLOOKUP($A289,python!$I:$J,2,FALSE),"")</f>
        <v/>
      </c>
      <c r="D289" t="str">
        <f ca="1">IFERROR(VLOOKUP($A289,bat!$F:$G,2,FALSE),"")</f>
        <v/>
      </c>
      <c r="E289" t="str">
        <f ca="1">IFERROR(VLOOKUP($A289,shell!$F:$G,2,FALSE),"")</f>
        <v/>
      </c>
      <c r="F289" t="str">
        <f t="shared" ca="1" si="39"/>
        <v>選択 範囲</v>
      </c>
      <c r="G289">
        <f ca="1">IF($F289="","",COUNTIF($F$3:$F289,$F289))</f>
        <v>1</v>
      </c>
      <c r="H289">
        <f ca="1">IF(OR(G289&gt;1,G289=""),"",COUNTIF($G$3:$G289,1))</f>
        <v>281</v>
      </c>
      <c r="I289" t="str">
        <f t="shared" ca="1" si="40"/>
        <v>選択 範囲</v>
      </c>
      <c r="K289">
        <f t="shared" si="44"/>
        <v>286</v>
      </c>
      <c r="L289" t="str">
        <f t="shared" ca="1" si="36"/>
        <v>行削除</v>
      </c>
      <c r="M289" s="2" t="str">
        <f t="shared" ca="1" si="37"/>
        <v>○</v>
      </c>
      <c r="N289" s="2" t="str">
        <f t="shared" ca="1" si="38"/>
        <v/>
      </c>
      <c r="O289" s="2" t="str">
        <f t="shared" ca="1" si="41"/>
        <v/>
      </c>
      <c r="P289" s="2" t="str">
        <f t="shared" ca="1" si="42"/>
        <v/>
      </c>
    </row>
    <row r="290" spans="1:16">
      <c r="A290">
        <f t="shared" si="43"/>
        <v>287</v>
      </c>
      <c r="B290" t="str">
        <f ca="1">IFERROR(VLOOKUP($A290,'vbs,vba'!$G:$H,2,FALSE),"")</f>
        <v>セル検索（行番号取得）</v>
      </c>
      <c r="C290" t="str">
        <f ca="1">IFERROR(VLOOKUP($A290,python!$I:$J,2,FALSE),"")</f>
        <v/>
      </c>
      <c r="D290" t="str">
        <f ca="1">IFERROR(VLOOKUP($A290,bat!$F:$G,2,FALSE),"")</f>
        <v/>
      </c>
      <c r="E290" t="str">
        <f ca="1">IFERROR(VLOOKUP($A290,shell!$F:$G,2,FALSE),"")</f>
        <v/>
      </c>
      <c r="F290" t="str">
        <f t="shared" ca="1" si="39"/>
        <v>セル検索（行番号取得）</v>
      </c>
      <c r="G290">
        <f ca="1">IF($F290="","",COUNTIF($F$3:$F290,$F290))</f>
        <v>1</v>
      </c>
      <c r="H290">
        <f ca="1">IF(OR(G290&gt;1,G290=""),"",COUNTIF($G$3:$G290,1))</f>
        <v>282</v>
      </c>
      <c r="I290" t="str">
        <f t="shared" ca="1" si="40"/>
        <v>セル検索（行番号取得）</v>
      </c>
      <c r="K290">
        <f t="shared" si="44"/>
        <v>287</v>
      </c>
      <c r="L290" t="str">
        <f t="shared" ca="1" si="36"/>
        <v>行追加</v>
      </c>
      <c r="M290" s="2" t="str">
        <f t="shared" ca="1" si="37"/>
        <v>○</v>
      </c>
      <c r="N290" s="2" t="str">
        <f t="shared" ca="1" si="38"/>
        <v/>
      </c>
      <c r="O290" s="2" t="str">
        <f t="shared" ca="1" si="41"/>
        <v/>
      </c>
      <c r="P290" s="2" t="str">
        <f t="shared" ca="1" si="42"/>
        <v/>
      </c>
    </row>
    <row r="291" spans="1:16">
      <c r="A291">
        <f t="shared" si="43"/>
        <v>288</v>
      </c>
      <c r="B291" t="str">
        <f ca="1">IFERROR(VLOOKUP($A291,'vbs,vba'!$G:$H,2,FALSE),"")</f>
        <v>セル検索（行番号取得）</v>
      </c>
      <c r="C291" t="str">
        <f ca="1">IFERROR(VLOOKUP($A291,python!$I:$J,2,FALSE),"")</f>
        <v/>
      </c>
      <c r="D291" t="str">
        <f ca="1">IFERROR(VLOOKUP($A291,bat!$F:$G,2,FALSE),"")</f>
        <v/>
      </c>
      <c r="E291" t="str">
        <f ca="1">IFERROR(VLOOKUP($A291,shell!$F:$G,2,FALSE),"")</f>
        <v/>
      </c>
      <c r="F291" t="str">
        <f t="shared" ca="1" si="39"/>
        <v>セル検索（行番号取得）</v>
      </c>
      <c r="G291">
        <f ca="1">IF($F291="","",COUNTIF($F$3:$F291,$F291))</f>
        <v>2</v>
      </c>
      <c r="H291" t="str">
        <f ca="1">IF(OR(G291&gt;1,G291=""),"",COUNTIF($G$3:$G291,1))</f>
        <v/>
      </c>
      <c r="I291" t="str">
        <f t="shared" ca="1" si="40"/>
        <v>セル検索（行番号取得）</v>
      </c>
      <c r="K291">
        <f t="shared" si="44"/>
        <v>288</v>
      </c>
      <c r="L291" t="str">
        <f t="shared" ca="1" si="36"/>
        <v>取消線取得</v>
      </c>
      <c r="M291" s="2" t="str">
        <f t="shared" ca="1" si="37"/>
        <v>○</v>
      </c>
      <c r="N291" s="2" t="str">
        <f t="shared" ca="1" si="38"/>
        <v/>
      </c>
      <c r="O291" s="2" t="str">
        <f t="shared" ca="1" si="41"/>
        <v/>
      </c>
      <c r="P291" s="2" t="str">
        <f t="shared" ca="1" si="42"/>
        <v/>
      </c>
    </row>
    <row r="292" spans="1:16">
      <c r="A292">
        <f t="shared" si="43"/>
        <v>289</v>
      </c>
      <c r="B292" t="str">
        <f ca="1">IFERROR(VLOOKUP($A292,'vbs,vba'!$G:$H,2,FALSE),"")</f>
        <v>セル参照方法</v>
      </c>
      <c r="C292" t="str">
        <f ca="1">IFERROR(VLOOKUP($A292,python!$I:$J,2,FALSE),"")</f>
        <v/>
      </c>
      <c r="D292" t="str">
        <f ca="1">IFERROR(VLOOKUP($A292,bat!$F:$G,2,FALSE),"")</f>
        <v/>
      </c>
      <c r="E292" t="str">
        <f ca="1">IFERROR(VLOOKUP($A292,shell!$F:$G,2,FALSE),"")</f>
        <v/>
      </c>
      <c r="F292" t="str">
        <f t="shared" ca="1" si="39"/>
        <v>セル参照方法</v>
      </c>
      <c r="G292">
        <f ca="1">IF($F292="","",COUNTIF($F$3:$F292,$F292))</f>
        <v>1</v>
      </c>
      <c r="H292">
        <f ca="1">IF(OR(G292&gt;1,G292=""),"",COUNTIF($G$3:$G292,1))</f>
        <v>283</v>
      </c>
      <c r="I292" t="str">
        <f t="shared" ca="1" si="40"/>
        <v>セル参照方法</v>
      </c>
      <c r="K292">
        <f t="shared" si="44"/>
        <v>289</v>
      </c>
      <c r="L292" t="str">
        <f t="shared" ca="1" si="36"/>
        <v>枠線非表示</v>
      </c>
      <c r="M292" s="2" t="str">
        <f t="shared" ca="1" si="37"/>
        <v>○</v>
      </c>
      <c r="N292" s="2" t="str">
        <f t="shared" ca="1" si="38"/>
        <v/>
      </c>
      <c r="O292" s="2" t="str">
        <f t="shared" ca="1" si="41"/>
        <v/>
      </c>
      <c r="P292" s="2" t="str">
        <f t="shared" ca="1" si="42"/>
        <v/>
      </c>
    </row>
    <row r="293" spans="1:16">
      <c r="A293">
        <f t="shared" si="43"/>
        <v>290</v>
      </c>
      <c r="B293" t="str">
        <f ca="1">IFERROR(VLOOKUP($A293,'vbs,vba'!$G:$H,2,FALSE),"")</f>
        <v>セル位置取得（Ｙ軸）</v>
      </c>
      <c r="C293" t="str">
        <f ca="1">IFERROR(VLOOKUP($A293,python!$I:$J,2,FALSE),"")</f>
        <v/>
      </c>
      <c r="D293" t="str">
        <f ca="1">IFERROR(VLOOKUP($A293,bat!$F:$G,2,FALSE),"")</f>
        <v/>
      </c>
      <c r="E293" t="str">
        <f ca="1">IFERROR(VLOOKUP($A293,shell!$F:$G,2,FALSE),"")</f>
        <v/>
      </c>
      <c r="F293" t="str">
        <f t="shared" ca="1" si="39"/>
        <v>セル位置取得（Ｙ軸）</v>
      </c>
      <c r="G293">
        <f ca="1">IF($F293="","",COUNTIF($F$3:$F293,$F293))</f>
        <v>1</v>
      </c>
      <c r="H293">
        <f ca="1">IF(OR(G293&gt;1,G293=""),"",COUNTIF($G$3:$G293,1))</f>
        <v>284</v>
      </c>
      <c r="I293" t="str">
        <f t="shared" ca="1" si="40"/>
        <v>セル位置取得（Ｙ軸）</v>
      </c>
      <c r="K293">
        <f t="shared" si="44"/>
        <v>290</v>
      </c>
      <c r="L293" t="str">
        <f t="shared" ca="1" si="36"/>
        <v>可視/不可視チェック（行）</v>
      </c>
      <c r="M293" s="2" t="str">
        <f t="shared" ca="1" si="37"/>
        <v>○</v>
      </c>
      <c r="N293" s="2" t="str">
        <f t="shared" ca="1" si="38"/>
        <v/>
      </c>
      <c r="O293" s="2" t="str">
        <f t="shared" ca="1" si="41"/>
        <v/>
      </c>
      <c r="P293" s="2" t="str">
        <f t="shared" ca="1" si="42"/>
        <v/>
      </c>
    </row>
    <row r="294" spans="1:16">
      <c r="A294">
        <f t="shared" si="43"/>
        <v>291</v>
      </c>
      <c r="B294" t="str">
        <f ca="1">IFERROR(VLOOKUP($A294,'vbs,vba'!$G:$H,2,FALSE),"")</f>
        <v>セル位置取得（Ｘ軸）</v>
      </c>
      <c r="C294" t="str">
        <f ca="1">IFERROR(VLOOKUP($A294,python!$I:$J,2,FALSE),"")</f>
        <v/>
      </c>
      <c r="D294" t="str">
        <f ca="1">IFERROR(VLOOKUP($A294,bat!$F:$G,2,FALSE),"")</f>
        <v/>
      </c>
      <c r="E294" t="str">
        <f ca="1">IFERROR(VLOOKUP($A294,shell!$F:$G,2,FALSE),"")</f>
        <v/>
      </c>
      <c r="F294" t="str">
        <f t="shared" ca="1" si="39"/>
        <v>セル位置取得（Ｘ軸）</v>
      </c>
      <c r="G294">
        <f ca="1">IF($F294="","",COUNTIF($F$3:$F294,$F294))</f>
        <v>1</v>
      </c>
      <c r="H294">
        <f ca="1">IF(OR(G294&gt;1,G294=""),"",COUNTIF($G$3:$G294,1))</f>
        <v>285</v>
      </c>
      <c r="I294" t="str">
        <f t="shared" ca="1" si="40"/>
        <v>セル位置取得（Ｘ軸）</v>
      </c>
      <c r="K294">
        <f t="shared" si="44"/>
        <v>291</v>
      </c>
      <c r="L294" t="str">
        <f t="shared" ca="1" si="36"/>
        <v>可視/不可視チェック（列）</v>
      </c>
      <c r="M294" s="2" t="str">
        <f t="shared" ca="1" si="37"/>
        <v>○</v>
      </c>
      <c r="N294" s="2" t="str">
        <f t="shared" ca="1" si="38"/>
        <v/>
      </c>
      <c r="O294" s="2" t="str">
        <f t="shared" ca="1" si="41"/>
        <v/>
      </c>
      <c r="P294" s="2" t="str">
        <f t="shared" ca="1" si="42"/>
        <v/>
      </c>
    </row>
    <row r="295" spans="1:16">
      <c r="A295">
        <f t="shared" si="43"/>
        <v>292</v>
      </c>
      <c r="B295" t="str">
        <f ca="1">IFERROR(VLOOKUP($A295,'vbs,vba'!$G:$H,2,FALSE),"")</f>
        <v>行削除</v>
      </c>
      <c r="C295" t="str">
        <f ca="1">IFERROR(VLOOKUP($A295,python!$I:$J,2,FALSE),"")</f>
        <v/>
      </c>
      <c r="D295" t="str">
        <f ca="1">IFERROR(VLOOKUP($A295,bat!$F:$G,2,FALSE),"")</f>
        <v/>
      </c>
      <c r="E295" t="str">
        <f ca="1">IFERROR(VLOOKUP($A295,shell!$F:$G,2,FALSE),"")</f>
        <v/>
      </c>
      <c r="F295" t="str">
        <f t="shared" ca="1" si="39"/>
        <v>行削除</v>
      </c>
      <c r="G295">
        <f ca="1">IF($F295="","",COUNTIF($F$3:$F295,$F295))</f>
        <v>1</v>
      </c>
      <c r="H295">
        <f ca="1">IF(OR(G295&gt;1,G295=""),"",COUNTIF($G$3:$G295,1))</f>
        <v>286</v>
      </c>
      <c r="I295" t="str">
        <f t="shared" ca="1" si="40"/>
        <v>行削除</v>
      </c>
      <c r="K295">
        <f t="shared" si="44"/>
        <v>292</v>
      </c>
      <c r="L295" t="str">
        <f t="shared" ca="1" si="36"/>
        <v>非表示セル判定</v>
      </c>
      <c r="M295" s="2" t="str">
        <f t="shared" ca="1" si="37"/>
        <v>○</v>
      </c>
      <c r="N295" s="2" t="str">
        <f t="shared" ca="1" si="38"/>
        <v/>
      </c>
      <c r="O295" s="2" t="str">
        <f t="shared" ca="1" si="41"/>
        <v/>
      </c>
      <c r="P295" s="2" t="str">
        <f t="shared" ca="1" si="42"/>
        <v/>
      </c>
    </row>
    <row r="296" spans="1:16">
      <c r="A296">
        <f t="shared" si="43"/>
        <v>293</v>
      </c>
      <c r="B296" t="str">
        <f ca="1">IFERROR(VLOOKUP($A296,'vbs,vba'!$G:$H,2,FALSE),"")</f>
        <v>行追加</v>
      </c>
      <c r="C296" t="str">
        <f ca="1">IFERROR(VLOOKUP($A296,python!$I:$J,2,FALSE),"")</f>
        <v/>
      </c>
      <c r="D296" t="str">
        <f ca="1">IFERROR(VLOOKUP($A296,bat!$F:$G,2,FALSE),"")</f>
        <v/>
      </c>
      <c r="E296" t="str">
        <f ca="1">IFERROR(VLOOKUP($A296,shell!$F:$G,2,FALSE),"")</f>
        <v/>
      </c>
      <c r="F296" t="str">
        <f t="shared" ca="1" si="39"/>
        <v>行追加</v>
      </c>
      <c r="G296">
        <f ca="1">IF($F296="","",COUNTIF($F$3:$F296,$F296))</f>
        <v>1</v>
      </c>
      <c r="H296">
        <f ca="1">IF(OR(G296&gt;1,G296=""),"",COUNTIF($G$3:$G296,1))</f>
        <v>287</v>
      </c>
      <c r="I296" t="str">
        <f t="shared" ca="1" si="40"/>
        <v>行追加</v>
      </c>
      <c r="K296">
        <f t="shared" si="44"/>
        <v>293</v>
      </c>
      <c r="L296" t="str">
        <f t="shared" ca="1" si="36"/>
        <v>フォント名取得</v>
      </c>
      <c r="M296" s="2" t="str">
        <f t="shared" ca="1" si="37"/>
        <v>○</v>
      </c>
      <c r="N296" s="2" t="str">
        <f t="shared" ca="1" si="38"/>
        <v/>
      </c>
      <c r="O296" s="2" t="str">
        <f t="shared" ca="1" si="41"/>
        <v/>
      </c>
      <c r="P296" s="2" t="str">
        <f t="shared" ca="1" si="42"/>
        <v/>
      </c>
    </row>
    <row r="297" spans="1:16">
      <c r="A297">
        <f t="shared" si="43"/>
        <v>294</v>
      </c>
      <c r="B297" t="str">
        <f ca="1">IFERROR(VLOOKUP($A297,'vbs,vba'!$G:$H,2,FALSE),"")</f>
        <v>取消線取得</v>
      </c>
      <c r="C297" t="str">
        <f ca="1">IFERROR(VLOOKUP($A297,python!$I:$J,2,FALSE),"")</f>
        <v/>
      </c>
      <c r="D297" t="str">
        <f ca="1">IFERROR(VLOOKUP($A297,bat!$F:$G,2,FALSE),"")</f>
        <v/>
      </c>
      <c r="E297" t="str">
        <f ca="1">IFERROR(VLOOKUP($A297,shell!$F:$G,2,FALSE),"")</f>
        <v/>
      </c>
      <c r="F297" t="str">
        <f t="shared" ca="1" si="39"/>
        <v>取消線取得</v>
      </c>
      <c r="G297">
        <f ca="1">IF($F297="","",COUNTIF($F$3:$F297,$F297))</f>
        <v>1</v>
      </c>
      <c r="H297">
        <f ca="1">IF(OR(G297&gt;1,G297=""),"",COUNTIF($G$3:$G297,1))</f>
        <v>288</v>
      </c>
      <c r="I297" t="str">
        <f t="shared" ca="1" si="40"/>
        <v>取消線取得</v>
      </c>
      <c r="K297">
        <f t="shared" si="44"/>
        <v>294</v>
      </c>
      <c r="L297" t="str">
        <f t="shared" ca="1" si="36"/>
        <v>フォントサイズ変更</v>
      </c>
      <c r="M297" s="2" t="str">
        <f t="shared" ca="1" si="37"/>
        <v>○</v>
      </c>
      <c r="N297" s="2" t="str">
        <f t="shared" ca="1" si="38"/>
        <v/>
      </c>
      <c r="O297" s="2" t="str">
        <f t="shared" ca="1" si="41"/>
        <v/>
      </c>
      <c r="P297" s="2" t="str">
        <f t="shared" ca="1" si="42"/>
        <v/>
      </c>
    </row>
    <row r="298" spans="1:16">
      <c r="A298">
        <f t="shared" si="43"/>
        <v>295</v>
      </c>
      <c r="B298" t="str">
        <f ca="1">IFERROR(VLOOKUP($A298,'vbs,vba'!$G:$H,2,FALSE),"")</f>
        <v>枠線非表示</v>
      </c>
      <c r="C298" t="str">
        <f ca="1">IFERROR(VLOOKUP($A298,python!$I:$J,2,FALSE),"")</f>
        <v/>
      </c>
      <c r="D298" t="str">
        <f ca="1">IFERROR(VLOOKUP($A298,bat!$F:$G,2,FALSE),"")</f>
        <v/>
      </c>
      <c r="E298" t="str">
        <f ca="1">IFERROR(VLOOKUP($A298,shell!$F:$G,2,FALSE),"")</f>
        <v/>
      </c>
      <c r="F298" t="str">
        <f t="shared" ca="1" si="39"/>
        <v>枠線非表示</v>
      </c>
      <c r="G298">
        <f ca="1">IF($F298="","",COUNTIF($F$3:$F298,$F298))</f>
        <v>1</v>
      </c>
      <c r="H298">
        <f ca="1">IF(OR(G298&gt;1,G298=""),"",COUNTIF($G$3:$G298,1))</f>
        <v>289</v>
      </c>
      <c r="I298" t="str">
        <f t="shared" ca="1" si="40"/>
        <v>枠線非表示</v>
      </c>
      <c r="K298">
        <f t="shared" si="44"/>
        <v>295</v>
      </c>
      <c r="L298" t="str">
        <f t="shared" ca="1" si="36"/>
        <v>フォントカラー変更</v>
      </c>
      <c r="M298" s="2" t="str">
        <f t="shared" ca="1" si="37"/>
        <v>○</v>
      </c>
      <c r="N298" s="2" t="str">
        <f t="shared" ca="1" si="38"/>
        <v/>
      </c>
      <c r="O298" s="2" t="str">
        <f t="shared" ca="1" si="41"/>
        <v/>
      </c>
      <c r="P298" s="2" t="str">
        <f t="shared" ca="1" si="42"/>
        <v/>
      </c>
    </row>
    <row r="299" spans="1:16">
      <c r="A299">
        <f t="shared" si="43"/>
        <v>296</v>
      </c>
      <c r="B299" t="str">
        <f ca="1">IFERROR(VLOOKUP($A299,'vbs,vba'!$G:$H,2,FALSE),"")</f>
        <v>可視/不可視チェック（行）</v>
      </c>
      <c r="C299" t="str">
        <f ca="1">IFERROR(VLOOKUP($A299,python!$I:$J,2,FALSE),"")</f>
        <v/>
      </c>
      <c r="D299" t="str">
        <f ca="1">IFERROR(VLOOKUP($A299,bat!$F:$G,2,FALSE),"")</f>
        <v/>
      </c>
      <c r="E299" t="str">
        <f ca="1">IFERROR(VLOOKUP($A299,shell!$F:$G,2,FALSE),"")</f>
        <v/>
      </c>
      <c r="F299" t="str">
        <f t="shared" ca="1" si="39"/>
        <v>可視/不可視チェック（行）</v>
      </c>
      <c r="G299">
        <f ca="1">IF($F299="","",COUNTIF($F$3:$F299,$F299))</f>
        <v>1</v>
      </c>
      <c r="H299">
        <f ca="1">IF(OR(G299&gt;1,G299=""),"",COUNTIF($G$3:$G299,1))</f>
        <v>290</v>
      </c>
      <c r="I299" t="str">
        <f t="shared" ca="1" si="40"/>
        <v>可視/不可視チェック（行）</v>
      </c>
      <c r="K299">
        <f t="shared" si="44"/>
        <v>296</v>
      </c>
      <c r="L299" t="str">
        <f t="shared" ca="1" si="36"/>
        <v>フォント太字変更</v>
      </c>
      <c r="M299" s="2" t="str">
        <f t="shared" ca="1" si="37"/>
        <v>○</v>
      </c>
      <c r="N299" s="2" t="str">
        <f t="shared" ca="1" si="38"/>
        <v/>
      </c>
      <c r="O299" s="2" t="str">
        <f t="shared" ca="1" si="41"/>
        <v/>
      </c>
      <c r="P299" s="2" t="str">
        <f t="shared" ca="1" si="42"/>
        <v/>
      </c>
    </row>
    <row r="300" spans="1:16">
      <c r="A300">
        <f t="shared" si="43"/>
        <v>297</v>
      </c>
      <c r="B300" t="str">
        <f ca="1">IFERROR(VLOOKUP($A300,'vbs,vba'!$G:$H,2,FALSE),"")</f>
        <v>可視/不可視チェック（列）</v>
      </c>
      <c r="C300" t="str">
        <f ca="1">IFERROR(VLOOKUP($A300,python!$I:$J,2,FALSE),"")</f>
        <v/>
      </c>
      <c r="D300" t="str">
        <f ca="1">IFERROR(VLOOKUP($A300,bat!$F:$G,2,FALSE),"")</f>
        <v/>
      </c>
      <c r="E300" t="str">
        <f ca="1">IFERROR(VLOOKUP($A300,shell!$F:$G,2,FALSE),"")</f>
        <v/>
      </c>
      <c r="F300" t="str">
        <f t="shared" ca="1" si="39"/>
        <v>可視/不可視チェック（列）</v>
      </c>
      <c r="G300">
        <f ca="1">IF($F300="","",COUNTIF($F$3:$F300,$F300))</f>
        <v>1</v>
      </c>
      <c r="H300">
        <f ca="1">IF(OR(G300&gt;1,G300=""),"",COUNTIF($G$3:$G300,1))</f>
        <v>291</v>
      </c>
      <c r="I300" t="str">
        <f t="shared" ca="1" si="40"/>
        <v>可視/不可視チェック（列）</v>
      </c>
      <c r="K300">
        <f t="shared" si="44"/>
        <v>297</v>
      </c>
      <c r="L300" t="str">
        <f t="shared" ca="1" si="36"/>
        <v>フォント下線変更</v>
      </c>
      <c r="M300" s="2" t="str">
        <f t="shared" ca="1" si="37"/>
        <v>○</v>
      </c>
      <c r="N300" s="2" t="str">
        <f t="shared" ca="1" si="38"/>
        <v/>
      </c>
      <c r="O300" s="2" t="str">
        <f t="shared" ca="1" si="41"/>
        <v/>
      </c>
      <c r="P300" s="2" t="str">
        <f t="shared" ca="1" si="42"/>
        <v/>
      </c>
    </row>
    <row r="301" spans="1:16">
      <c r="A301">
        <f t="shared" si="43"/>
        <v>298</v>
      </c>
      <c r="B301" t="str">
        <f ca="1">IFERROR(VLOOKUP($A301,'vbs,vba'!$G:$H,2,FALSE),"")</f>
        <v>非表示セル判定</v>
      </c>
      <c r="C301" t="str">
        <f ca="1">IFERROR(VLOOKUP($A301,python!$I:$J,2,FALSE),"")</f>
        <v/>
      </c>
      <c r="D301" t="str">
        <f ca="1">IFERROR(VLOOKUP($A301,bat!$F:$G,2,FALSE),"")</f>
        <v/>
      </c>
      <c r="E301" t="str">
        <f ca="1">IFERROR(VLOOKUP($A301,shell!$F:$G,2,FALSE),"")</f>
        <v/>
      </c>
      <c r="F301" t="str">
        <f t="shared" ca="1" si="39"/>
        <v>非表示セル判定</v>
      </c>
      <c r="G301">
        <f ca="1">IF($F301="","",COUNTIF($F$3:$F301,$F301))</f>
        <v>1</v>
      </c>
      <c r="H301">
        <f ca="1">IF(OR(G301&gt;1,G301=""),"",COUNTIF($G$3:$G301,1))</f>
        <v>292</v>
      </c>
      <c r="I301" t="str">
        <f t="shared" ca="1" si="40"/>
        <v>非表示セル判定</v>
      </c>
      <c r="K301">
        <f t="shared" si="44"/>
        <v>298</v>
      </c>
      <c r="L301" t="str">
        <f t="shared" ca="1" si="36"/>
        <v>背景色変更</v>
      </c>
      <c r="M301" s="2" t="str">
        <f t="shared" ca="1" si="37"/>
        <v>○</v>
      </c>
      <c r="N301" s="2" t="str">
        <f t="shared" ca="1" si="38"/>
        <v/>
      </c>
      <c r="O301" s="2" t="str">
        <f t="shared" ca="1" si="41"/>
        <v/>
      </c>
      <c r="P301" s="2" t="str">
        <f t="shared" ca="1" si="42"/>
        <v/>
      </c>
    </row>
    <row r="302" spans="1:16">
      <c r="A302">
        <f t="shared" si="43"/>
        <v>299</v>
      </c>
      <c r="B302" t="str">
        <f ca="1">IFERROR(VLOOKUP($A302,'vbs,vba'!$G:$H,2,FALSE),"")</f>
        <v>フォント名取得</v>
      </c>
      <c r="C302" t="str">
        <f ca="1">IFERROR(VLOOKUP($A302,python!$I:$J,2,FALSE),"")</f>
        <v/>
      </c>
      <c r="D302" t="str">
        <f ca="1">IFERROR(VLOOKUP($A302,bat!$F:$G,2,FALSE),"")</f>
        <v/>
      </c>
      <c r="E302" t="str">
        <f ca="1">IFERROR(VLOOKUP($A302,shell!$F:$G,2,FALSE),"")</f>
        <v/>
      </c>
      <c r="F302" t="str">
        <f t="shared" ca="1" si="39"/>
        <v>フォント名取得</v>
      </c>
      <c r="G302">
        <f ca="1">IF($F302="","",COUNTIF($F$3:$F302,$F302))</f>
        <v>1</v>
      </c>
      <c r="H302">
        <f ca="1">IF(OR(G302&gt;1,G302=""),"",COUNTIF($G$3:$G302,1))</f>
        <v>293</v>
      </c>
      <c r="I302" t="str">
        <f t="shared" ca="1" si="40"/>
        <v>フォント名取得</v>
      </c>
      <c r="K302">
        <f t="shared" si="44"/>
        <v>299</v>
      </c>
      <c r="L302" t="str">
        <f t="shared" ca="1" si="36"/>
        <v>罫線（格子）設定</v>
      </c>
      <c r="M302" s="2" t="str">
        <f t="shared" ca="1" si="37"/>
        <v>○</v>
      </c>
      <c r="N302" s="2" t="str">
        <f t="shared" ca="1" si="38"/>
        <v/>
      </c>
      <c r="O302" s="2" t="str">
        <f t="shared" ca="1" si="41"/>
        <v/>
      </c>
      <c r="P302" s="2" t="str">
        <f t="shared" ca="1" si="42"/>
        <v/>
      </c>
    </row>
    <row r="303" spans="1:16">
      <c r="A303">
        <f t="shared" si="43"/>
        <v>300</v>
      </c>
      <c r="B303" t="str">
        <f ca="1">IFERROR(VLOOKUP($A303,'vbs,vba'!$G:$H,2,FALSE),"")</f>
        <v>フォントサイズ変更</v>
      </c>
      <c r="C303" t="str">
        <f ca="1">IFERROR(VLOOKUP($A303,python!$I:$J,2,FALSE),"")</f>
        <v/>
      </c>
      <c r="D303" t="str">
        <f ca="1">IFERROR(VLOOKUP($A303,bat!$F:$G,2,FALSE),"")</f>
        <v/>
      </c>
      <c r="E303" t="str">
        <f ca="1">IFERROR(VLOOKUP($A303,shell!$F:$G,2,FALSE),"")</f>
        <v/>
      </c>
      <c r="F303" t="str">
        <f t="shared" ca="1" si="39"/>
        <v>フォントサイズ変更</v>
      </c>
      <c r="G303">
        <f ca="1">IF($F303="","",COUNTIF($F$3:$F303,$F303))</f>
        <v>1</v>
      </c>
      <c r="H303">
        <f ca="1">IF(OR(G303&gt;1,G303=""),"",COUNTIF($G$3:$G303,1))</f>
        <v>294</v>
      </c>
      <c r="I303" t="str">
        <f t="shared" ca="1" si="40"/>
        <v>フォントサイズ変更</v>
      </c>
      <c r="K303">
        <f t="shared" si="44"/>
        <v>300</v>
      </c>
      <c r="L303" t="str">
        <f t="shared" ca="1" si="36"/>
        <v>セル結合</v>
      </c>
      <c r="M303" s="2" t="str">
        <f t="shared" ca="1" si="37"/>
        <v>○</v>
      </c>
      <c r="N303" s="2" t="str">
        <f t="shared" ca="1" si="38"/>
        <v/>
      </c>
      <c r="O303" s="2" t="str">
        <f t="shared" ca="1" si="41"/>
        <v/>
      </c>
      <c r="P303" s="2" t="str">
        <f t="shared" ca="1" si="42"/>
        <v/>
      </c>
    </row>
    <row r="304" spans="1:16">
      <c r="A304">
        <f t="shared" si="43"/>
        <v>301</v>
      </c>
      <c r="B304" t="str">
        <f ca="1">IFERROR(VLOOKUP($A304,'vbs,vba'!$G:$H,2,FALSE),"")</f>
        <v>フォントカラー変更</v>
      </c>
      <c r="C304" t="str">
        <f ca="1">IFERROR(VLOOKUP($A304,python!$I:$J,2,FALSE),"")</f>
        <v/>
      </c>
      <c r="D304" t="str">
        <f ca="1">IFERROR(VLOOKUP($A304,bat!$F:$G,2,FALSE),"")</f>
        <v/>
      </c>
      <c r="E304" t="str">
        <f ca="1">IFERROR(VLOOKUP($A304,shell!$F:$G,2,FALSE),"")</f>
        <v/>
      </c>
      <c r="F304" t="str">
        <f t="shared" ca="1" si="39"/>
        <v>フォントカラー変更</v>
      </c>
      <c r="G304">
        <f ca="1">IF($F304="","",COUNTIF($F$3:$F304,$F304))</f>
        <v>1</v>
      </c>
      <c r="H304">
        <f ca="1">IF(OR(G304&gt;1,G304=""),"",COUNTIF($G$3:$G304,1))</f>
        <v>295</v>
      </c>
      <c r="I304" t="str">
        <f t="shared" ca="1" si="40"/>
        <v>フォントカラー変更</v>
      </c>
      <c r="K304">
        <f t="shared" si="44"/>
        <v>301</v>
      </c>
      <c r="L304" t="str">
        <f t="shared" ca="1" si="36"/>
        <v>セル内 水平位置調整</v>
      </c>
      <c r="M304" s="2" t="str">
        <f t="shared" ca="1" si="37"/>
        <v>○</v>
      </c>
      <c r="N304" s="2" t="str">
        <f t="shared" ca="1" si="38"/>
        <v/>
      </c>
      <c r="O304" s="2" t="str">
        <f t="shared" ca="1" si="41"/>
        <v/>
      </c>
      <c r="P304" s="2" t="str">
        <f t="shared" ca="1" si="42"/>
        <v/>
      </c>
    </row>
    <row r="305" spans="1:16">
      <c r="A305">
        <f t="shared" si="43"/>
        <v>302</v>
      </c>
      <c r="B305" t="str">
        <f ca="1">IFERROR(VLOOKUP($A305,'vbs,vba'!$G:$H,2,FALSE),"")</f>
        <v>フォント太字変更</v>
      </c>
      <c r="C305" t="str">
        <f ca="1">IFERROR(VLOOKUP($A305,python!$I:$J,2,FALSE),"")</f>
        <v/>
      </c>
      <c r="D305" t="str">
        <f ca="1">IFERROR(VLOOKUP($A305,bat!$F:$G,2,FALSE),"")</f>
        <v/>
      </c>
      <c r="E305" t="str">
        <f ca="1">IFERROR(VLOOKUP($A305,shell!$F:$G,2,FALSE),"")</f>
        <v/>
      </c>
      <c r="F305" t="str">
        <f t="shared" ca="1" si="39"/>
        <v>フォント太字変更</v>
      </c>
      <c r="G305">
        <f ca="1">IF($F305="","",COUNTIF($F$3:$F305,$F305))</f>
        <v>1</v>
      </c>
      <c r="H305">
        <f ca="1">IF(OR(G305&gt;1,G305=""),"",COUNTIF($G$3:$G305,1))</f>
        <v>296</v>
      </c>
      <c r="I305" t="str">
        <f t="shared" ca="1" si="40"/>
        <v>フォント太字変更</v>
      </c>
      <c r="K305">
        <f t="shared" si="44"/>
        <v>302</v>
      </c>
      <c r="L305" t="str">
        <f t="shared" ca="1" si="36"/>
        <v>セル内 垂直位置調整</v>
      </c>
      <c r="M305" s="2" t="str">
        <f t="shared" ca="1" si="37"/>
        <v>○</v>
      </c>
      <c r="N305" s="2" t="str">
        <f t="shared" ca="1" si="38"/>
        <v/>
      </c>
      <c r="O305" s="2" t="str">
        <f t="shared" ca="1" si="41"/>
        <v/>
      </c>
      <c r="P305" s="2" t="str">
        <f t="shared" ca="1" si="42"/>
        <v/>
      </c>
    </row>
    <row r="306" spans="1:16">
      <c r="A306">
        <f t="shared" si="43"/>
        <v>303</v>
      </c>
      <c r="B306" t="str">
        <f ca="1">IFERROR(VLOOKUP($A306,'vbs,vba'!$G:$H,2,FALSE),"")</f>
        <v>フォント下線変更</v>
      </c>
      <c r="C306" t="str">
        <f ca="1">IFERROR(VLOOKUP($A306,python!$I:$J,2,FALSE),"")</f>
        <v/>
      </c>
      <c r="D306" t="str">
        <f ca="1">IFERROR(VLOOKUP($A306,bat!$F:$G,2,FALSE),"")</f>
        <v/>
      </c>
      <c r="E306" t="str">
        <f ca="1">IFERROR(VLOOKUP($A306,shell!$F:$G,2,FALSE),"")</f>
        <v/>
      </c>
      <c r="F306" t="str">
        <f t="shared" ca="1" si="39"/>
        <v>フォント下線変更</v>
      </c>
      <c r="G306">
        <f ca="1">IF($F306="","",COUNTIF($F$3:$F306,$F306))</f>
        <v>1</v>
      </c>
      <c r="H306">
        <f ca="1">IF(OR(G306&gt;1,G306=""),"",COUNTIF($G$3:$G306,1))</f>
        <v>297</v>
      </c>
      <c r="I306" t="str">
        <f t="shared" ca="1" si="40"/>
        <v>フォント下線変更</v>
      </c>
      <c r="K306">
        <f t="shared" si="44"/>
        <v>303</v>
      </c>
      <c r="L306" t="str">
        <f t="shared" ca="1" si="36"/>
        <v>先頭行取得</v>
      </c>
      <c r="M306" s="2" t="str">
        <f t="shared" ca="1" si="37"/>
        <v>○</v>
      </c>
      <c r="N306" s="2" t="str">
        <f t="shared" ca="1" si="38"/>
        <v/>
      </c>
      <c r="O306" s="2" t="str">
        <f t="shared" ca="1" si="41"/>
        <v/>
      </c>
      <c r="P306" s="2" t="str">
        <f t="shared" ca="1" si="42"/>
        <v/>
      </c>
    </row>
    <row r="307" spans="1:16">
      <c r="A307">
        <f t="shared" si="43"/>
        <v>304</v>
      </c>
      <c r="B307" t="str">
        <f ca="1">IFERROR(VLOOKUP($A307,'vbs,vba'!$G:$H,2,FALSE),"")</f>
        <v>背景色変更</v>
      </c>
      <c r="C307" t="str">
        <f ca="1">IFERROR(VLOOKUP($A307,python!$I:$J,2,FALSE),"")</f>
        <v/>
      </c>
      <c r="D307" t="str">
        <f ca="1">IFERROR(VLOOKUP($A307,bat!$F:$G,2,FALSE),"")</f>
        <v/>
      </c>
      <c r="E307" t="str">
        <f ca="1">IFERROR(VLOOKUP($A307,shell!$F:$G,2,FALSE),"")</f>
        <v/>
      </c>
      <c r="F307" t="str">
        <f t="shared" ca="1" si="39"/>
        <v>背景色変更</v>
      </c>
      <c r="G307">
        <f ca="1">IF($F307="","",COUNTIF($F$3:$F307,$F307))</f>
        <v>1</v>
      </c>
      <c r="H307">
        <f ca="1">IF(OR(G307&gt;1,G307=""),"",COUNTIF($G$3:$G307,1))</f>
        <v>298</v>
      </c>
      <c r="I307" t="str">
        <f t="shared" ca="1" si="40"/>
        <v>背景色変更</v>
      </c>
      <c r="K307">
        <f t="shared" si="44"/>
        <v>304</v>
      </c>
      <c r="L307" t="str">
        <f t="shared" ca="1" si="36"/>
        <v>先頭列取得</v>
      </c>
      <c r="M307" s="2" t="str">
        <f t="shared" ca="1" si="37"/>
        <v>○</v>
      </c>
      <c r="N307" s="2" t="str">
        <f t="shared" ca="1" si="38"/>
        <v/>
      </c>
      <c r="O307" s="2" t="str">
        <f t="shared" ca="1" si="41"/>
        <v/>
      </c>
      <c r="P307" s="2" t="str">
        <f t="shared" ca="1" si="42"/>
        <v/>
      </c>
    </row>
    <row r="308" spans="1:16">
      <c r="A308">
        <f t="shared" si="43"/>
        <v>305</v>
      </c>
      <c r="B308" t="str">
        <f ca="1">IFERROR(VLOOKUP($A308,'vbs,vba'!$G:$H,2,FALSE),"")</f>
        <v>罫線（格子）設定</v>
      </c>
      <c r="C308" t="str">
        <f ca="1">IFERROR(VLOOKUP($A308,python!$I:$J,2,FALSE),"")</f>
        <v/>
      </c>
      <c r="D308" t="str">
        <f ca="1">IFERROR(VLOOKUP($A308,bat!$F:$G,2,FALSE),"")</f>
        <v/>
      </c>
      <c r="E308" t="str">
        <f ca="1">IFERROR(VLOOKUP($A308,shell!$F:$G,2,FALSE),"")</f>
        <v/>
      </c>
      <c r="F308" t="str">
        <f t="shared" ca="1" si="39"/>
        <v>罫線（格子）設定</v>
      </c>
      <c r="G308">
        <f ca="1">IF($F308="","",COUNTIF($F$3:$F308,$F308))</f>
        <v>1</v>
      </c>
      <c r="H308">
        <f ca="1">IF(OR(G308&gt;1,G308=""),"",COUNTIF($G$3:$G308,1))</f>
        <v>299</v>
      </c>
      <c r="I308" t="str">
        <f t="shared" ca="1" si="40"/>
        <v>罫線（格子）設定</v>
      </c>
      <c r="K308">
        <f t="shared" si="44"/>
        <v>305</v>
      </c>
      <c r="L308" t="str">
        <f t="shared" ca="1" si="36"/>
        <v>最終行取得</v>
      </c>
      <c r="M308" s="2" t="str">
        <f t="shared" ca="1" si="37"/>
        <v>○</v>
      </c>
      <c r="N308" s="2" t="str">
        <f t="shared" ca="1" si="38"/>
        <v/>
      </c>
      <c r="O308" s="2" t="str">
        <f t="shared" ca="1" si="41"/>
        <v/>
      </c>
      <c r="P308" s="2" t="str">
        <f t="shared" ca="1" si="42"/>
        <v/>
      </c>
    </row>
    <row r="309" spans="1:16">
      <c r="A309">
        <f t="shared" si="43"/>
        <v>306</v>
      </c>
      <c r="B309" t="str">
        <f ca="1">IFERROR(VLOOKUP($A309,'vbs,vba'!$G:$H,2,FALSE),"")</f>
        <v>セル結合</v>
      </c>
      <c r="C309" t="str">
        <f ca="1">IFERROR(VLOOKUP($A309,python!$I:$J,2,FALSE),"")</f>
        <v/>
      </c>
      <c r="D309" t="str">
        <f ca="1">IFERROR(VLOOKUP($A309,bat!$F:$G,2,FALSE),"")</f>
        <v/>
      </c>
      <c r="E309" t="str">
        <f ca="1">IFERROR(VLOOKUP($A309,shell!$F:$G,2,FALSE),"")</f>
        <v/>
      </c>
      <c r="F309" t="str">
        <f t="shared" ca="1" si="39"/>
        <v>セル結合</v>
      </c>
      <c r="G309">
        <f ca="1">IF($F309="","",COUNTIF($F$3:$F309,$F309))</f>
        <v>1</v>
      </c>
      <c r="H309">
        <f ca="1">IF(OR(G309&gt;1,G309=""),"",COUNTIF($G$3:$G309,1))</f>
        <v>300</v>
      </c>
      <c r="I309" t="str">
        <f t="shared" ca="1" si="40"/>
        <v>セル結合</v>
      </c>
      <c r="K309">
        <f t="shared" si="44"/>
        <v>306</v>
      </c>
      <c r="L309" t="str">
        <f t="shared" ca="1" si="36"/>
        <v>最終列取得</v>
      </c>
      <c r="M309" s="2" t="str">
        <f t="shared" ca="1" si="37"/>
        <v>○</v>
      </c>
      <c r="N309" s="2" t="str">
        <f t="shared" ca="1" si="38"/>
        <v/>
      </c>
      <c r="O309" s="2" t="str">
        <f t="shared" ca="1" si="41"/>
        <v/>
      </c>
      <c r="P309" s="2" t="str">
        <f t="shared" ca="1" si="42"/>
        <v/>
      </c>
    </row>
    <row r="310" spans="1:16">
      <c r="A310">
        <f t="shared" si="43"/>
        <v>307</v>
      </c>
      <c r="B310" t="str">
        <f ca="1">IFERROR(VLOOKUP($A310,'vbs,vba'!$G:$H,2,FALSE),"")</f>
        <v>セル内 水平位置調整</v>
      </c>
      <c r="C310" t="str">
        <f ca="1">IFERROR(VLOOKUP($A310,python!$I:$J,2,FALSE),"")</f>
        <v/>
      </c>
      <c r="D310" t="str">
        <f ca="1">IFERROR(VLOOKUP($A310,bat!$F:$G,2,FALSE),"")</f>
        <v/>
      </c>
      <c r="E310" t="str">
        <f ca="1">IFERROR(VLOOKUP($A310,shell!$F:$G,2,FALSE),"")</f>
        <v/>
      </c>
      <c r="F310" t="str">
        <f t="shared" ca="1" si="39"/>
        <v>セル内 水平位置調整</v>
      </c>
      <c r="G310">
        <f ca="1">IF($F310="","",COUNTIF($F$3:$F310,$F310))</f>
        <v>1</v>
      </c>
      <c r="H310">
        <f ca="1">IF(OR(G310&gt;1,G310=""),"",COUNTIF($G$3:$G310,1))</f>
        <v>301</v>
      </c>
      <c r="I310" t="str">
        <f t="shared" ca="1" si="40"/>
        <v>セル内 水平位置調整</v>
      </c>
      <c r="K310">
        <f t="shared" si="44"/>
        <v>307</v>
      </c>
      <c r="L310" t="str">
        <f t="shared" ca="1" si="36"/>
        <v>最終行取得（全列の中で最大）</v>
      </c>
      <c r="M310" s="2" t="str">
        <f t="shared" ca="1" si="37"/>
        <v>○</v>
      </c>
      <c r="N310" s="2" t="str">
        <f t="shared" ca="1" si="38"/>
        <v/>
      </c>
      <c r="O310" s="2" t="str">
        <f t="shared" ca="1" si="41"/>
        <v/>
      </c>
      <c r="P310" s="2" t="str">
        <f t="shared" ca="1" si="42"/>
        <v/>
      </c>
    </row>
    <row r="311" spans="1:16">
      <c r="A311">
        <f t="shared" si="43"/>
        <v>308</v>
      </c>
      <c r="B311" t="str">
        <f ca="1">IFERROR(VLOOKUP($A311,'vbs,vba'!$G:$H,2,FALSE),"")</f>
        <v>セル内 垂直位置調整</v>
      </c>
      <c r="C311" t="str">
        <f ca="1">IFERROR(VLOOKUP($A311,python!$I:$J,2,FALSE),"")</f>
        <v/>
      </c>
      <c r="D311" t="str">
        <f ca="1">IFERROR(VLOOKUP($A311,bat!$F:$G,2,FALSE),"")</f>
        <v/>
      </c>
      <c r="E311" t="str">
        <f ca="1">IFERROR(VLOOKUP($A311,shell!$F:$G,2,FALSE),"")</f>
        <v/>
      </c>
      <c r="F311" t="str">
        <f t="shared" ca="1" si="39"/>
        <v>セル内 垂直位置調整</v>
      </c>
      <c r="G311">
        <f ca="1">IF($F311="","",COUNTIF($F$3:$F311,$F311))</f>
        <v>1</v>
      </c>
      <c r="H311">
        <f ca="1">IF(OR(G311&gt;1,G311=""),"",COUNTIF($G$3:$G311,1))</f>
        <v>302</v>
      </c>
      <c r="I311" t="str">
        <f t="shared" ca="1" si="40"/>
        <v>セル内 垂直位置調整</v>
      </c>
      <c r="K311">
        <f t="shared" si="44"/>
        <v>308</v>
      </c>
      <c r="L311" t="str">
        <f t="shared" ca="1" si="36"/>
        <v>最終列取得（全行の中で最大）</v>
      </c>
      <c r="M311" s="2" t="str">
        <f t="shared" ca="1" si="37"/>
        <v>○</v>
      </c>
      <c r="N311" s="2" t="str">
        <f t="shared" ca="1" si="38"/>
        <v/>
      </c>
      <c r="O311" s="2" t="str">
        <f t="shared" ca="1" si="41"/>
        <v/>
      </c>
      <c r="P311" s="2" t="str">
        <f t="shared" ca="1" si="42"/>
        <v/>
      </c>
    </row>
    <row r="312" spans="1:16">
      <c r="A312">
        <f t="shared" si="43"/>
        <v>309</v>
      </c>
      <c r="B312" t="str">
        <f ca="1">IFERROR(VLOOKUP($A312,'vbs,vba'!$G:$H,2,FALSE),"")</f>
        <v>先頭行取得</v>
      </c>
      <c r="C312" t="str">
        <f ca="1">IFERROR(VLOOKUP($A312,python!$I:$J,2,FALSE),"")</f>
        <v/>
      </c>
      <c r="D312" t="str">
        <f ca="1">IFERROR(VLOOKUP($A312,bat!$F:$G,2,FALSE),"")</f>
        <v/>
      </c>
      <c r="E312" t="str">
        <f ca="1">IFERROR(VLOOKUP($A312,shell!$F:$G,2,FALSE),"")</f>
        <v/>
      </c>
      <c r="F312" t="str">
        <f t="shared" ca="1" si="39"/>
        <v>先頭行取得</v>
      </c>
      <c r="G312">
        <f ca="1">IF($F312="","",COUNTIF($F$3:$F312,$F312))</f>
        <v>1</v>
      </c>
      <c r="H312">
        <f ca="1">IF(OR(G312&gt;1,G312=""),"",COUNTIF($G$3:$G312,1))</f>
        <v>303</v>
      </c>
      <c r="I312" t="str">
        <f t="shared" ca="1" si="40"/>
        <v>先頭行取得</v>
      </c>
      <c r="K312">
        <f t="shared" si="44"/>
        <v>309</v>
      </c>
      <c r="L312" t="str">
        <f t="shared" ca="1" si="36"/>
        <v>選択範囲位置取得（先頭行）</v>
      </c>
      <c r="M312" s="2" t="str">
        <f t="shared" ca="1" si="37"/>
        <v>○</v>
      </c>
      <c r="N312" s="2" t="str">
        <f t="shared" ca="1" si="38"/>
        <v/>
      </c>
      <c r="O312" s="2" t="str">
        <f t="shared" ca="1" si="41"/>
        <v/>
      </c>
      <c r="P312" s="2" t="str">
        <f t="shared" ca="1" si="42"/>
        <v/>
      </c>
    </row>
    <row r="313" spans="1:16">
      <c r="A313">
        <f t="shared" si="43"/>
        <v>310</v>
      </c>
      <c r="B313" t="str">
        <f ca="1">IFERROR(VLOOKUP($A313,'vbs,vba'!$G:$H,2,FALSE),"")</f>
        <v>先頭列取得</v>
      </c>
      <c r="C313" t="str">
        <f ca="1">IFERROR(VLOOKUP($A313,python!$I:$J,2,FALSE),"")</f>
        <v/>
      </c>
      <c r="D313" t="str">
        <f ca="1">IFERROR(VLOOKUP($A313,bat!$F:$G,2,FALSE),"")</f>
        <v/>
      </c>
      <c r="E313" t="str">
        <f ca="1">IFERROR(VLOOKUP($A313,shell!$F:$G,2,FALSE),"")</f>
        <v/>
      </c>
      <c r="F313" t="str">
        <f t="shared" ca="1" si="39"/>
        <v>先頭列取得</v>
      </c>
      <c r="G313">
        <f ca="1">IF($F313="","",COUNTIF($F$3:$F313,$F313))</f>
        <v>1</v>
      </c>
      <c r="H313">
        <f ca="1">IF(OR(G313&gt;1,G313=""),"",COUNTIF($G$3:$G313,1))</f>
        <v>304</v>
      </c>
      <c r="I313" t="str">
        <f t="shared" ca="1" si="40"/>
        <v>先頭列取得</v>
      </c>
      <c r="K313">
        <f t="shared" si="44"/>
        <v>310</v>
      </c>
      <c r="L313" t="str">
        <f t="shared" ca="1" si="36"/>
        <v>選択範囲位置取得（末尾行）</v>
      </c>
      <c r="M313" s="2" t="str">
        <f t="shared" ca="1" si="37"/>
        <v>○</v>
      </c>
      <c r="N313" s="2" t="str">
        <f t="shared" ca="1" si="38"/>
        <v/>
      </c>
      <c r="O313" s="2" t="str">
        <f t="shared" ca="1" si="41"/>
        <v/>
      </c>
      <c r="P313" s="2" t="str">
        <f t="shared" ca="1" si="42"/>
        <v/>
      </c>
    </row>
    <row r="314" spans="1:16">
      <c r="A314">
        <f t="shared" si="43"/>
        <v>311</v>
      </c>
      <c r="B314" t="str">
        <f ca="1">IFERROR(VLOOKUP($A314,'vbs,vba'!$G:$H,2,FALSE),"")</f>
        <v>最終行取得</v>
      </c>
      <c r="C314" t="str">
        <f ca="1">IFERROR(VLOOKUP($A314,python!$I:$J,2,FALSE),"")</f>
        <v/>
      </c>
      <c r="D314" t="str">
        <f ca="1">IFERROR(VLOOKUP($A314,bat!$F:$G,2,FALSE),"")</f>
        <v/>
      </c>
      <c r="E314" t="str">
        <f ca="1">IFERROR(VLOOKUP($A314,shell!$F:$G,2,FALSE),"")</f>
        <v/>
      </c>
      <c r="F314" t="str">
        <f t="shared" ca="1" si="39"/>
        <v>最終行取得</v>
      </c>
      <c r="G314">
        <f ca="1">IF($F314="","",COUNTIF($F$3:$F314,$F314))</f>
        <v>1</v>
      </c>
      <c r="H314">
        <f ca="1">IF(OR(G314&gt;1,G314=""),"",COUNTIF($G$3:$G314,1))</f>
        <v>305</v>
      </c>
      <c r="I314" t="str">
        <f t="shared" ca="1" si="40"/>
        <v>最終行取得</v>
      </c>
      <c r="K314">
        <f t="shared" si="44"/>
        <v>311</v>
      </c>
      <c r="L314" t="str">
        <f t="shared" ca="1" si="36"/>
        <v>選択範囲位置取得（先頭列）</v>
      </c>
      <c r="M314" s="2" t="str">
        <f t="shared" ca="1" si="37"/>
        <v>○</v>
      </c>
      <c r="N314" s="2" t="str">
        <f t="shared" ca="1" si="38"/>
        <v/>
      </c>
      <c r="O314" s="2" t="str">
        <f t="shared" ca="1" si="41"/>
        <v/>
      </c>
      <c r="P314" s="2" t="str">
        <f t="shared" ca="1" si="42"/>
        <v/>
      </c>
    </row>
    <row r="315" spans="1:16">
      <c r="A315">
        <f t="shared" si="43"/>
        <v>312</v>
      </c>
      <c r="B315" t="str">
        <f ca="1">IFERROR(VLOOKUP($A315,'vbs,vba'!$G:$H,2,FALSE),"")</f>
        <v>最終列取得</v>
      </c>
      <c r="C315" t="str">
        <f ca="1">IFERROR(VLOOKUP($A315,python!$I:$J,2,FALSE),"")</f>
        <v/>
      </c>
      <c r="D315" t="str">
        <f ca="1">IFERROR(VLOOKUP($A315,bat!$F:$G,2,FALSE),"")</f>
        <v/>
      </c>
      <c r="E315" t="str">
        <f ca="1">IFERROR(VLOOKUP($A315,shell!$F:$G,2,FALSE),"")</f>
        <v/>
      </c>
      <c r="F315" t="str">
        <f t="shared" ca="1" si="39"/>
        <v>最終列取得</v>
      </c>
      <c r="G315">
        <f ca="1">IF($F315="","",COUNTIF($F$3:$F315,$F315))</f>
        <v>1</v>
      </c>
      <c r="H315">
        <f ca="1">IF(OR(G315&gt;1,G315=""),"",COUNTIF($G$3:$G315,1))</f>
        <v>306</v>
      </c>
      <c r="I315" t="str">
        <f t="shared" ca="1" si="40"/>
        <v>最終列取得</v>
      </c>
      <c r="K315">
        <f t="shared" si="44"/>
        <v>312</v>
      </c>
      <c r="L315" t="str">
        <f t="shared" ca="1" si="36"/>
        <v>選択範囲位置取得（末尾列）</v>
      </c>
      <c r="M315" s="2" t="str">
        <f t="shared" ca="1" si="37"/>
        <v>○</v>
      </c>
      <c r="N315" s="2" t="str">
        <f t="shared" ca="1" si="38"/>
        <v/>
      </c>
      <c r="O315" s="2" t="str">
        <f t="shared" ca="1" si="41"/>
        <v/>
      </c>
      <c r="P315" s="2" t="str">
        <f t="shared" ca="1" si="42"/>
        <v/>
      </c>
    </row>
    <row r="316" spans="1:16">
      <c r="A316">
        <f t="shared" si="43"/>
        <v>313</v>
      </c>
      <c r="B316" t="str">
        <f ca="1">IFERROR(VLOOKUP($A316,'vbs,vba'!$G:$H,2,FALSE),"")</f>
        <v>最終行取得（全列の中で最大）</v>
      </c>
      <c r="C316" t="str">
        <f ca="1">IFERROR(VLOOKUP($A316,python!$I:$J,2,FALSE),"")</f>
        <v/>
      </c>
      <c r="D316" t="str">
        <f ca="1">IFERROR(VLOOKUP($A316,bat!$F:$G,2,FALSE),"")</f>
        <v/>
      </c>
      <c r="E316" t="str">
        <f ca="1">IFERROR(VLOOKUP($A316,shell!$F:$G,2,FALSE),"")</f>
        <v/>
      </c>
      <c r="F316" t="str">
        <f t="shared" ca="1" si="39"/>
        <v>最終行取得（全列の中で最大）</v>
      </c>
      <c r="G316">
        <f ca="1">IF($F316="","",COUNTIF($F$3:$F316,$F316))</f>
        <v>1</v>
      </c>
      <c r="H316">
        <f ca="1">IF(OR(G316&gt;1,G316=""),"",COUNTIF($G$3:$G316,1))</f>
        <v>307</v>
      </c>
      <c r="I316" t="str">
        <f t="shared" ca="1" si="40"/>
        <v>最終行取得（全列の中で最大）</v>
      </c>
      <c r="K316">
        <f t="shared" si="44"/>
        <v>313</v>
      </c>
      <c r="L316" t="str">
        <f t="shared" ca="1" si="36"/>
        <v>選択範囲数（複数セル選択時）</v>
      </c>
      <c r="M316" s="2" t="str">
        <f t="shared" ca="1" si="37"/>
        <v>○</v>
      </c>
      <c r="N316" s="2" t="str">
        <f t="shared" ca="1" si="38"/>
        <v/>
      </c>
      <c r="O316" s="2" t="str">
        <f t="shared" ca="1" si="41"/>
        <v/>
      </c>
      <c r="P316" s="2" t="str">
        <f t="shared" ca="1" si="42"/>
        <v/>
      </c>
    </row>
    <row r="317" spans="1:16">
      <c r="A317">
        <f t="shared" si="43"/>
        <v>314</v>
      </c>
      <c r="B317" t="str">
        <f ca="1">IFERROR(VLOOKUP($A317,'vbs,vba'!$G:$H,2,FALSE),"")</f>
        <v>最終列取得（全行の中で最大）</v>
      </c>
      <c r="C317" t="str">
        <f ca="1">IFERROR(VLOOKUP($A317,python!$I:$J,2,FALSE),"")</f>
        <v/>
      </c>
      <c r="D317" t="str">
        <f ca="1">IFERROR(VLOOKUP($A317,bat!$F:$G,2,FALSE),"")</f>
        <v/>
      </c>
      <c r="E317" t="str">
        <f ca="1">IFERROR(VLOOKUP($A317,shell!$F:$G,2,FALSE),"")</f>
        <v/>
      </c>
      <c r="F317" t="str">
        <f t="shared" ca="1" si="39"/>
        <v>最終列取得（全行の中で最大）</v>
      </c>
      <c r="G317">
        <f ca="1">IF($F317="","",COUNTIF($F$3:$F317,$F317))</f>
        <v>1</v>
      </c>
      <c r="H317">
        <f ca="1">IF(OR(G317&gt;1,G317=""),"",COUNTIF($G$3:$G317,1))</f>
        <v>308</v>
      </c>
      <c r="I317" t="str">
        <f t="shared" ca="1" si="40"/>
        <v>最終列取得（全行の中で最大）</v>
      </c>
      <c r="K317">
        <f t="shared" si="44"/>
        <v>314</v>
      </c>
      <c r="L317" t="str">
        <f t="shared" ca="1" si="36"/>
        <v>選択範囲内のセル数（複数セル選択時）</v>
      </c>
      <c r="M317" s="2" t="str">
        <f t="shared" ca="1" si="37"/>
        <v>○</v>
      </c>
      <c r="N317" s="2" t="str">
        <f t="shared" ca="1" si="38"/>
        <v/>
      </c>
      <c r="O317" s="2" t="str">
        <f t="shared" ca="1" si="41"/>
        <v/>
      </c>
      <c r="P317" s="2" t="str">
        <f t="shared" ca="1" si="42"/>
        <v/>
      </c>
    </row>
    <row r="318" spans="1:16">
      <c r="A318">
        <f t="shared" si="43"/>
        <v>315</v>
      </c>
      <c r="B318" t="str">
        <f ca="1">IFERROR(VLOOKUP($A318,'vbs,vba'!$G:$H,2,FALSE),"")</f>
        <v>選択範囲位置取得（先頭行）</v>
      </c>
      <c r="C318" t="str">
        <f ca="1">IFERROR(VLOOKUP($A318,python!$I:$J,2,FALSE),"")</f>
        <v/>
      </c>
      <c r="D318" t="str">
        <f ca="1">IFERROR(VLOOKUP($A318,bat!$F:$G,2,FALSE),"")</f>
        <v/>
      </c>
      <c r="E318" t="str">
        <f ca="1">IFERROR(VLOOKUP($A318,shell!$F:$G,2,FALSE),"")</f>
        <v/>
      </c>
      <c r="F318" t="str">
        <f t="shared" ca="1" si="39"/>
        <v>選択範囲位置取得（先頭行）</v>
      </c>
      <c r="G318">
        <f ca="1">IF($F318="","",COUNTIF($F$3:$F318,$F318))</f>
        <v>1</v>
      </c>
      <c r="H318">
        <f ca="1">IF(OR(G318&gt;1,G318=""),"",COUNTIF($G$3:$G318,1))</f>
        <v>309</v>
      </c>
      <c r="I318" t="str">
        <f t="shared" ca="1" si="40"/>
        <v>選択範囲位置取得（先頭行）</v>
      </c>
      <c r="K318">
        <f t="shared" si="44"/>
        <v>315</v>
      </c>
      <c r="L318" t="str">
        <f t="shared" ca="1" si="36"/>
        <v>選択範囲内のセル値（複数セル選択時）</v>
      </c>
      <c r="M318" s="2" t="str">
        <f t="shared" ca="1" si="37"/>
        <v>○</v>
      </c>
      <c r="N318" s="2" t="str">
        <f t="shared" ca="1" si="38"/>
        <v/>
      </c>
      <c r="O318" s="2" t="str">
        <f t="shared" ca="1" si="41"/>
        <v/>
      </c>
      <c r="P318" s="2" t="str">
        <f t="shared" ca="1" si="42"/>
        <v/>
      </c>
    </row>
    <row r="319" spans="1:16">
      <c r="A319">
        <f t="shared" si="43"/>
        <v>316</v>
      </c>
      <c r="B319" t="str">
        <f ca="1">IFERROR(VLOOKUP($A319,'vbs,vba'!$G:$H,2,FALSE),"")</f>
        <v>選択範囲位置取得（末尾行）</v>
      </c>
      <c r="C319" t="str">
        <f ca="1">IFERROR(VLOOKUP($A319,python!$I:$J,2,FALSE),"")</f>
        <v/>
      </c>
      <c r="D319" t="str">
        <f ca="1">IFERROR(VLOOKUP($A319,bat!$F:$G,2,FALSE),"")</f>
        <v/>
      </c>
      <c r="E319" t="str">
        <f ca="1">IFERROR(VLOOKUP($A319,shell!$F:$G,2,FALSE),"")</f>
        <v/>
      </c>
      <c r="F319" t="str">
        <f t="shared" ca="1" si="39"/>
        <v>選択範囲位置取得（末尾行）</v>
      </c>
      <c r="G319">
        <f ca="1">IF($F319="","",COUNTIF($F$3:$F319,$F319))</f>
        <v>1</v>
      </c>
      <c r="H319">
        <f ca="1">IF(OR(G319&gt;1,G319=""),"",COUNTIF($G$3:$G319,1))</f>
        <v>310</v>
      </c>
      <c r="I319" t="str">
        <f t="shared" ca="1" si="40"/>
        <v>選択範囲位置取得（末尾行）</v>
      </c>
      <c r="K319">
        <f t="shared" si="44"/>
        <v>316</v>
      </c>
      <c r="L319" t="str">
        <f t="shared" ca="1" si="36"/>
        <v>Rangeオブジェクトの行/列番号指定</v>
      </c>
      <c r="M319" s="2" t="str">
        <f t="shared" ca="1" si="37"/>
        <v>○</v>
      </c>
      <c r="N319" s="2" t="str">
        <f t="shared" ca="1" si="38"/>
        <v/>
      </c>
      <c r="O319" s="2" t="str">
        <f t="shared" ca="1" si="41"/>
        <v/>
      </c>
      <c r="P319" s="2" t="str">
        <f t="shared" ca="1" si="42"/>
        <v/>
      </c>
    </row>
    <row r="320" spans="1:16">
      <c r="A320">
        <f t="shared" si="43"/>
        <v>317</v>
      </c>
      <c r="B320" t="str">
        <f ca="1">IFERROR(VLOOKUP($A320,'vbs,vba'!$G:$H,2,FALSE),"")</f>
        <v>選択範囲位置取得（先頭列）</v>
      </c>
      <c r="C320" t="str">
        <f ca="1">IFERROR(VLOOKUP($A320,python!$I:$J,2,FALSE),"")</f>
        <v/>
      </c>
      <c r="D320" t="str">
        <f ca="1">IFERROR(VLOOKUP($A320,bat!$F:$G,2,FALSE),"")</f>
        <v/>
      </c>
      <c r="E320" t="str">
        <f ca="1">IFERROR(VLOOKUP($A320,shell!$F:$G,2,FALSE),"")</f>
        <v/>
      </c>
      <c r="F320" t="str">
        <f t="shared" ca="1" si="39"/>
        <v>選択範囲位置取得（先頭列）</v>
      </c>
      <c r="G320">
        <f ca="1">IF($F320="","",COUNTIF($F$3:$F320,$F320))</f>
        <v>1</v>
      </c>
      <c r="H320">
        <f ca="1">IF(OR(G320&gt;1,G320=""),"",COUNTIF($G$3:$G320,1))</f>
        <v>311</v>
      </c>
      <c r="I320" t="str">
        <f t="shared" ca="1" si="40"/>
        <v>選択範囲位置取得（先頭列）</v>
      </c>
      <c r="K320">
        <f t="shared" si="44"/>
        <v>317</v>
      </c>
      <c r="L320" t="str">
        <f t="shared" ca="1" si="36"/>
        <v>セルコピー（書式保持）</v>
      </c>
      <c r="M320" s="2" t="str">
        <f t="shared" ca="1" si="37"/>
        <v>○</v>
      </c>
      <c r="N320" s="2" t="str">
        <f t="shared" ca="1" si="38"/>
        <v/>
      </c>
      <c r="O320" s="2" t="str">
        <f t="shared" ca="1" si="41"/>
        <v/>
      </c>
      <c r="P320" s="2" t="str">
        <f t="shared" ca="1" si="42"/>
        <v/>
      </c>
    </row>
    <row r="321" spans="1:16">
      <c r="A321">
        <f t="shared" si="43"/>
        <v>318</v>
      </c>
      <c r="B321" t="str">
        <f ca="1">IFERROR(VLOOKUP($A321,'vbs,vba'!$G:$H,2,FALSE),"")</f>
        <v>選択範囲位置取得（末尾列）</v>
      </c>
      <c r="C321" t="str">
        <f ca="1">IFERROR(VLOOKUP($A321,python!$I:$J,2,FALSE),"")</f>
        <v/>
      </c>
      <c r="D321" t="str">
        <f ca="1">IFERROR(VLOOKUP($A321,bat!$F:$G,2,FALSE),"")</f>
        <v/>
      </c>
      <c r="E321" t="str">
        <f ca="1">IFERROR(VLOOKUP($A321,shell!$F:$G,2,FALSE),"")</f>
        <v/>
      </c>
      <c r="F321" t="str">
        <f t="shared" ca="1" si="39"/>
        <v>選択範囲位置取得（末尾列）</v>
      </c>
      <c r="G321">
        <f ca="1">IF($F321="","",COUNTIF($F$3:$F321,$F321))</f>
        <v>1</v>
      </c>
      <c r="H321">
        <f ca="1">IF(OR(G321&gt;1,G321=""),"",COUNTIF($G$3:$G321,1))</f>
        <v>312</v>
      </c>
      <c r="I321" t="str">
        <f t="shared" ca="1" si="40"/>
        <v>選択範囲位置取得（末尾列）</v>
      </c>
      <c r="K321">
        <f t="shared" si="44"/>
        <v>318</v>
      </c>
      <c r="L321" t="str">
        <f t="shared" ca="1" si="36"/>
        <v>セルソート</v>
      </c>
      <c r="M321" s="2" t="str">
        <f t="shared" ca="1" si="37"/>
        <v>○</v>
      </c>
      <c r="N321" s="2" t="str">
        <f t="shared" ca="1" si="38"/>
        <v/>
      </c>
      <c r="O321" s="2" t="str">
        <f t="shared" ca="1" si="41"/>
        <v/>
      </c>
      <c r="P321" s="2" t="str">
        <f t="shared" ca="1" si="42"/>
        <v/>
      </c>
    </row>
    <row r="322" spans="1:16">
      <c r="A322">
        <f t="shared" si="43"/>
        <v>319</v>
      </c>
      <c r="B322" t="str">
        <f ca="1">IFERROR(VLOOKUP($A322,'vbs,vba'!$G:$H,2,FALSE),"")</f>
        <v>選択範囲数（複数セル選択時）</v>
      </c>
      <c r="C322" t="str">
        <f ca="1">IFERROR(VLOOKUP($A322,python!$I:$J,2,FALSE),"")</f>
        <v/>
      </c>
      <c r="D322" t="str">
        <f ca="1">IFERROR(VLOOKUP($A322,bat!$F:$G,2,FALSE),"")</f>
        <v/>
      </c>
      <c r="E322" t="str">
        <f ca="1">IFERROR(VLOOKUP($A322,shell!$F:$G,2,FALSE),"")</f>
        <v/>
      </c>
      <c r="F322" t="str">
        <f t="shared" ca="1" si="39"/>
        <v>選択範囲数（複数セル選択時）</v>
      </c>
      <c r="G322">
        <f ca="1">IF($F322="","",COUNTIF($F$3:$F322,$F322))</f>
        <v>1</v>
      </c>
      <c r="H322">
        <f ca="1">IF(OR(G322&gt;1,G322=""),"",COUNTIF($G$3:$G322,1))</f>
        <v>313</v>
      </c>
      <c r="I322" t="str">
        <f t="shared" ca="1" si="40"/>
        <v>選択範囲数（複数セル選択時）</v>
      </c>
      <c r="K322">
        <f t="shared" si="44"/>
        <v>319</v>
      </c>
      <c r="L322" t="str">
        <f t="shared" ca="1" si="36"/>
        <v>範囲セル 値クリア（書式そのまま）</v>
      </c>
      <c r="M322" s="2" t="str">
        <f t="shared" ca="1" si="37"/>
        <v>○</v>
      </c>
      <c r="N322" s="2" t="str">
        <f t="shared" ca="1" si="38"/>
        <v/>
      </c>
      <c r="O322" s="2" t="str">
        <f t="shared" ca="1" si="41"/>
        <v/>
      </c>
      <c r="P322" s="2" t="str">
        <f t="shared" ca="1" si="42"/>
        <v/>
      </c>
    </row>
    <row r="323" spans="1:16">
      <c r="A323">
        <f t="shared" si="43"/>
        <v>320</v>
      </c>
      <c r="B323" t="str">
        <f ca="1">IFERROR(VLOOKUP($A323,'vbs,vba'!$G:$H,2,FALSE),"")</f>
        <v>選択範囲内のセル数（複数セル選択時）</v>
      </c>
      <c r="C323" t="str">
        <f ca="1">IFERROR(VLOOKUP($A323,python!$I:$J,2,FALSE),"")</f>
        <v/>
      </c>
      <c r="D323" t="str">
        <f ca="1">IFERROR(VLOOKUP($A323,bat!$F:$G,2,FALSE),"")</f>
        <v/>
      </c>
      <c r="E323" t="str">
        <f ca="1">IFERROR(VLOOKUP($A323,shell!$F:$G,2,FALSE),"")</f>
        <v/>
      </c>
      <c r="F323" t="str">
        <f t="shared" ca="1" si="39"/>
        <v>選択範囲内のセル数（複数セル選択時）</v>
      </c>
      <c r="G323">
        <f ca="1">IF($F323="","",COUNTIF($F$3:$F323,$F323))</f>
        <v>1</v>
      </c>
      <c r="H323">
        <f ca="1">IF(OR(G323&gt;1,G323=""),"",COUNTIF($G$3:$G323,1))</f>
        <v>314</v>
      </c>
      <c r="I323" t="str">
        <f t="shared" ca="1" si="40"/>
        <v>選択範囲内のセル数（複数セル選択時）</v>
      </c>
      <c r="K323">
        <f t="shared" si="44"/>
        <v>320</v>
      </c>
      <c r="L323" t="str">
        <f t="shared" ca="1" si="36"/>
        <v>範囲セル 書式クリア</v>
      </c>
      <c r="M323" s="2" t="str">
        <f t="shared" ca="1" si="37"/>
        <v>○</v>
      </c>
      <c r="N323" s="2" t="str">
        <f t="shared" ca="1" si="38"/>
        <v/>
      </c>
      <c r="O323" s="2" t="str">
        <f t="shared" ca="1" si="41"/>
        <v/>
      </c>
      <c r="P323" s="2" t="str">
        <f t="shared" ca="1" si="42"/>
        <v/>
      </c>
    </row>
    <row r="324" spans="1:16">
      <c r="A324">
        <f t="shared" si="43"/>
        <v>321</v>
      </c>
      <c r="B324" t="str">
        <f ca="1">IFERROR(VLOOKUP($A324,'vbs,vba'!$G:$H,2,FALSE),"")</f>
        <v>選択範囲内のセル値（複数セル選択時）</v>
      </c>
      <c r="C324" t="str">
        <f ca="1">IFERROR(VLOOKUP($A324,python!$I:$J,2,FALSE),"")</f>
        <v/>
      </c>
      <c r="D324" t="str">
        <f ca="1">IFERROR(VLOOKUP($A324,bat!$F:$G,2,FALSE),"")</f>
        <v/>
      </c>
      <c r="E324" t="str">
        <f ca="1">IFERROR(VLOOKUP($A324,shell!$F:$G,2,FALSE),"")</f>
        <v/>
      </c>
      <c r="F324" t="str">
        <f t="shared" ca="1" si="39"/>
        <v>選択範囲内のセル値（複数セル選択時）</v>
      </c>
      <c r="G324">
        <f ca="1">IF($F324="","",COUNTIF($F$3:$F324,$F324))</f>
        <v>1</v>
      </c>
      <c r="H324">
        <f ca="1">IF(OR(G324&gt;1,G324=""),"",COUNTIF($G$3:$G324,1))</f>
        <v>315</v>
      </c>
      <c r="I324" t="str">
        <f t="shared" ca="1" si="40"/>
        <v>選択範囲内のセル値（複数セル選択時）</v>
      </c>
      <c r="K324">
        <f t="shared" si="44"/>
        <v>321</v>
      </c>
      <c r="L324" t="str">
        <f t="shared" ref="L324:L387" ca="1" si="45">IFERROR(VLOOKUP($K324,$H:$I,2,FALSE),"")</f>
        <v>範囲セル 書式貼り付け</v>
      </c>
      <c r="M324" s="2" t="str">
        <f t="shared" ref="M324:M387" ca="1" si="46">IF($L324="","",IF(COUNTIF(B$3:B$1004,$L324)&gt;0,"○",""))</f>
        <v>○</v>
      </c>
      <c r="N324" s="2" t="str">
        <f t="shared" ref="N324:N387" ca="1" si="47">IF($L324="","",IF(COUNTIF(C$3:C$1004,$L324)&gt;0,"○",""))</f>
        <v/>
      </c>
      <c r="O324" s="2" t="str">
        <f t="shared" ca="1" si="41"/>
        <v/>
      </c>
      <c r="P324" s="2" t="str">
        <f t="shared" ca="1" si="42"/>
        <v/>
      </c>
    </row>
    <row r="325" spans="1:16">
      <c r="A325">
        <f t="shared" si="43"/>
        <v>322</v>
      </c>
      <c r="B325" t="str">
        <f ca="1">IFERROR(VLOOKUP($A325,'vbs,vba'!$G:$H,2,FALSE),"")</f>
        <v>Rangeオブジェクトの行/列番号指定</v>
      </c>
      <c r="C325" t="str">
        <f ca="1">IFERROR(VLOOKUP($A325,python!$I:$J,2,FALSE),"")</f>
        <v/>
      </c>
      <c r="D325" t="str">
        <f ca="1">IFERROR(VLOOKUP($A325,bat!$F:$G,2,FALSE),"")</f>
        <v/>
      </c>
      <c r="E325" t="str">
        <f ca="1">IFERROR(VLOOKUP($A325,shell!$F:$G,2,FALSE),"")</f>
        <v/>
      </c>
      <c r="F325" t="str">
        <f t="shared" ref="F325:F388" ca="1" si="48">B325&amp;C325&amp;D325&amp;E325</f>
        <v>Rangeオブジェクトの行/列番号指定</v>
      </c>
      <c r="G325">
        <f ca="1">IF($F325="","",COUNTIF($F$3:$F325,$F325))</f>
        <v>1</v>
      </c>
      <c r="H325">
        <f ca="1">IF(OR(G325&gt;1,G325=""),"",COUNTIF($G$3:$G325,1))</f>
        <v>316</v>
      </c>
      <c r="I325" t="str">
        <f t="shared" ref="I325:I388" ca="1" si="49">F325</f>
        <v>Rangeオブジェクトの行/列番号指定</v>
      </c>
      <c r="K325">
        <f t="shared" si="44"/>
        <v>322</v>
      </c>
      <c r="L325" t="str">
        <f t="shared" ca="1" si="45"/>
        <v>空白セル選択</v>
      </c>
      <c r="M325" s="2" t="str">
        <f t="shared" ca="1" si="46"/>
        <v>○</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セルコピー（書式保持）</v>
      </c>
      <c r="C326" t="str">
        <f ca="1">IFERROR(VLOOKUP($A326,python!$I:$J,2,FALSE),"")</f>
        <v/>
      </c>
      <c r="D326" t="str">
        <f ca="1">IFERROR(VLOOKUP($A326,bat!$F:$G,2,FALSE),"")</f>
        <v/>
      </c>
      <c r="E326" t="str">
        <f ca="1">IFERROR(VLOOKUP($A326,shell!$F:$G,2,FALSE),"")</f>
        <v/>
      </c>
      <c r="F326" t="str">
        <f t="shared" ca="1" si="48"/>
        <v>セルコピー（書式保持）</v>
      </c>
      <c r="G326">
        <f ca="1">IF($F326="","",COUNTIF($F$3:$F326,$F326))</f>
        <v>1</v>
      </c>
      <c r="H326">
        <f ca="1">IF(OR(G326&gt;1,G326=""),"",COUNTIF($G$3:$G326,1))</f>
        <v>317</v>
      </c>
      <c r="I326" t="str">
        <f t="shared" ca="1" si="49"/>
        <v>セルコピー（書式保持）</v>
      </c>
      <c r="K326">
        <f t="shared" ref="K326:K389" si="53">K325+1</f>
        <v>323</v>
      </c>
      <c r="L326" t="str">
        <f t="shared" ca="1" si="45"/>
        <v>列幅変更</v>
      </c>
      <c r="M326" s="2" t="str">
        <f t="shared" ca="1" si="46"/>
        <v>○</v>
      </c>
      <c r="N326" s="2" t="str">
        <f t="shared" ca="1" si="47"/>
        <v/>
      </c>
      <c r="O326" s="2" t="str">
        <f t="shared" ca="1" si="50"/>
        <v/>
      </c>
      <c r="P326" s="2" t="str">
        <f t="shared" ca="1" si="51"/>
        <v/>
      </c>
    </row>
    <row r="327" spans="1:16">
      <c r="A327">
        <f t="shared" si="52"/>
        <v>324</v>
      </c>
      <c r="B327" t="str">
        <f ca="1">IFERROR(VLOOKUP($A327,'vbs,vba'!$G:$H,2,FALSE),"")</f>
        <v>セルソート</v>
      </c>
      <c r="C327" t="str">
        <f ca="1">IFERROR(VLOOKUP($A327,python!$I:$J,2,FALSE),"")</f>
        <v/>
      </c>
      <c r="D327" t="str">
        <f ca="1">IFERROR(VLOOKUP($A327,bat!$F:$G,2,FALSE),"")</f>
        <v/>
      </c>
      <c r="E327" t="str">
        <f ca="1">IFERROR(VLOOKUP($A327,shell!$F:$G,2,FALSE),"")</f>
        <v/>
      </c>
      <c r="F327" t="str">
        <f t="shared" ca="1" si="48"/>
        <v>セルソート</v>
      </c>
      <c r="G327">
        <f ca="1">IF($F327="","",COUNTIF($F$3:$F327,$F327))</f>
        <v>1</v>
      </c>
      <c r="H327">
        <f ca="1">IF(OR(G327&gt;1,G327=""),"",COUNTIF($G$3:$G327,1))</f>
        <v>318</v>
      </c>
      <c r="I327" t="str">
        <f t="shared" ca="1" si="49"/>
        <v>セルソート</v>
      </c>
      <c r="K327">
        <f t="shared" si="53"/>
        <v>324</v>
      </c>
      <c r="L327" t="str">
        <f t="shared" ca="1" si="45"/>
        <v>自動列幅調整</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値クリア（書式そのまま）</v>
      </c>
      <c r="C328" t="str">
        <f ca="1">IFERROR(VLOOKUP($A328,python!$I:$J,2,FALSE),"")</f>
        <v/>
      </c>
      <c r="D328" t="str">
        <f ca="1">IFERROR(VLOOKUP($A328,bat!$F:$G,2,FALSE),"")</f>
        <v/>
      </c>
      <c r="E328" t="str">
        <f ca="1">IFERROR(VLOOKUP($A328,shell!$F:$G,2,FALSE),"")</f>
        <v/>
      </c>
      <c r="F328" t="str">
        <f t="shared" ca="1" si="48"/>
        <v>範囲セル 値クリア（書式そのまま）</v>
      </c>
      <c r="G328">
        <f ca="1">IF($F328="","",COUNTIF($F$3:$F328,$F328))</f>
        <v>1</v>
      </c>
      <c r="H328">
        <f ca="1">IF(OR(G328&gt;1,G328=""),"",COUNTIF($G$3:$G328,1))</f>
        <v>319</v>
      </c>
      <c r="I328" t="str">
        <f t="shared" ca="1" si="49"/>
        <v>範囲セル 値クリア（書式そのまま）</v>
      </c>
      <c r="K328">
        <f t="shared" si="53"/>
        <v>325</v>
      </c>
      <c r="L328" t="str">
        <f t="shared" ca="1" si="45"/>
        <v>自動列幅調整（全領域）</v>
      </c>
      <c r="M328" s="2" t="str">
        <f t="shared" ca="1" si="46"/>
        <v>○</v>
      </c>
      <c r="N328" s="2" t="str">
        <f t="shared" ca="1" si="47"/>
        <v/>
      </c>
      <c r="O328" s="2" t="str">
        <f t="shared" ca="1" si="50"/>
        <v/>
      </c>
      <c r="P328" s="2" t="str">
        <f t="shared" ca="1" si="51"/>
        <v/>
      </c>
    </row>
    <row r="329" spans="1:16">
      <c r="A329">
        <f t="shared" si="52"/>
        <v>326</v>
      </c>
      <c r="B329" t="str">
        <f ca="1">IFERROR(VLOOKUP($A329,'vbs,vba'!$G:$H,2,FALSE),"")</f>
        <v>範囲セル 書式クリア</v>
      </c>
      <c r="C329" t="str">
        <f ca="1">IFERROR(VLOOKUP($A329,python!$I:$J,2,FALSE),"")</f>
        <v/>
      </c>
      <c r="D329" t="str">
        <f ca="1">IFERROR(VLOOKUP($A329,bat!$F:$G,2,FALSE),"")</f>
        <v/>
      </c>
      <c r="E329" t="str">
        <f ca="1">IFERROR(VLOOKUP($A329,shell!$F:$G,2,FALSE),"")</f>
        <v/>
      </c>
      <c r="F329" t="str">
        <f t="shared" ca="1" si="48"/>
        <v>範囲セル 書式クリア</v>
      </c>
      <c r="G329">
        <f ca="1">IF($F329="","",COUNTIF($F$3:$F329,$F329))</f>
        <v>1</v>
      </c>
      <c r="H329">
        <f ca="1">IF(OR(G329&gt;1,G329=""),"",COUNTIF($G$3:$G329,1))</f>
        <v>320</v>
      </c>
      <c r="I329" t="str">
        <f t="shared" ca="1" si="49"/>
        <v>範囲セル 書式クリア</v>
      </c>
      <c r="K329">
        <f t="shared" si="53"/>
        <v>326</v>
      </c>
      <c r="L329" t="str">
        <f t="shared" ca="1" si="45"/>
        <v>コピー/切り取りモード解除</v>
      </c>
      <c r="M329" s="2" t="str">
        <f t="shared" ca="1" si="46"/>
        <v>○</v>
      </c>
      <c r="N329" s="2" t="str">
        <f t="shared" ca="1" si="47"/>
        <v/>
      </c>
      <c r="O329" s="2" t="str">
        <f t="shared" ca="1" si="50"/>
        <v/>
      </c>
      <c r="P329" s="2" t="str">
        <f t="shared" ca="1" si="51"/>
        <v/>
      </c>
    </row>
    <row r="330" spans="1:16">
      <c r="A330">
        <f t="shared" si="52"/>
        <v>327</v>
      </c>
      <c r="B330" t="str">
        <f ca="1">IFERROR(VLOOKUP($A330,'vbs,vba'!$G:$H,2,FALSE),"")</f>
        <v>範囲セル 書式貼り付け</v>
      </c>
      <c r="C330" t="str">
        <f ca="1">IFERROR(VLOOKUP($A330,python!$I:$J,2,FALSE),"")</f>
        <v/>
      </c>
      <c r="D330" t="str">
        <f ca="1">IFERROR(VLOOKUP($A330,bat!$F:$G,2,FALSE),"")</f>
        <v/>
      </c>
      <c r="E330" t="str">
        <f ca="1">IFERROR(VLOOKUP($A330,shell!$F:$G,2,FALSE),"")</f>
        <v/>
      </c>
      <c r="F330" t="str">
        <f t="shared" ca="1" si="48"/>
        <v>範囲セル 書式貼り付け</v>
      </c>
      <c r="G330">
        <f ca="1">IF($F330="","",COUNTIF($F$3:$F330,$F330))</f>
        <v>1</v>
      </c>
      <c r="H330">
        <f ca="1">IF(OR(G330&gt;1,G330=""),"",COUNTIF($G$3:$G330,1))</f>
        <v>321</v>
      </c>
      <c r="I330" t="str">
        <f t="shared" ca="1" si="49"/>
        <v>範囲セル 書式貼り付け</v>
      </c>
      <c r="K330">
        <f t="shared" si="53"/>
        <v>327</v>
      </c>
      <c r="L330" t="str">
        <f t="shared" ca="1" si="45"/>
        <v>グループ化（行）</v>
      </c>
      <c r="M330" s="2" t="str">
        <f t="shared" ca="1" si="46"/>
        <v>○</v>
      </c>
      <c r="N330" s="2" t="str">
        <f t="shared" ca="1" si="47"/>
        <v/>
      </c>
      <c r="O330" s="2" t="str">
        <f t="shared" ca="1" si="50"/>
        <v/>
      </c>
      <c r="P330" s="2" t="str">
        <f t="shared" ca="1" si="51"/>
        <v/>
      </c>
    </row>
    <row r="331" spans="1:16">
      <c r="A331">
        <f t="shared" si="52"/>
        <v>328</v>
      </c>
      <c r="B331" t="str">
        <f ca="1">IFERROR(VLOOKUP($A331,'vbs,vba'!$G:$H,2,FALSE),"")</f>
        <v>空白セル選択</v>
      </c>
      <c r="C331" t="str">
        <f ca="1">IFERROR(VLOOKUP($A331,python!$I:$J,2,FALSE),"")</f>
        <v/>
      </c>
      <c r="D331" t="str">
        <f ca="1">IFERROR(VLOOKUP($A331,bat!$F:$G,2,FALSE),"")</f>
        <v/>
      </c>
      <c r="E331" t="str">
        <f ca="1">IFERROR(VLOOKUP($A331,shell!$F:$G,2,FALSE),"")</f>
        <v/>
      </c>
      <c r="F331" t="str">
        <f t="shared" ca="1" si="48"/>
        <v>空白セル選択</v>
      </c>
      <c r="G331">
        <f ca="1">IF($F331="","",COUNTIF($F$3:$F331,$F331))</f>
        <v>1</v>
      </c>
      <c r="H331">
        <f ca="1">IF(OR(G331&gt;1,G331=""),"",COUNTIF($G$3:$G331,1))</f>
        <v>322</v>
      </c>
      <c r="I331" t="str">
        <f t="shared" ca="1" si="49"/>
        <v>空白セル選択</v>
      </c>
      <c r="K331">
        <f t="shared" si="53"/>
        <v>328</v>
      </c>
      <c r="L331" t="str">
        <f t="shared" ca="1" si="45"/>
        <v>アウトライン設定変更（上下）</v>
      </c>
      <c r="M331" s="2" t="str">
        <f t="shared" ca="1" si="46"/>
        <v>○</v>
      </c>
      <c r="N331" s="2" t="str">
        <f t="shared" ca="1" si="47"/>
        <v/>
      </c>
      <c r="O331" s="2" t="str">
        <f t="shared" ca="1" si="50"/>
        <v/>
      </c>
      <c r="P331" s="2" t="str">
        <f t="shared" ca="1" si="51"/>
        <v/>
      </c>
    </row>
    <row r="332" spans="1:16">
      <c r="A332">
        <f t="shared" si="52"/>
        <v>329</v>
      </c>
      <c r="B332" t="str">
        <f ca="1">IFERROR(VLOOKUP($A332,'vbs,vba'!$G:$H,2,FALSE),"")</f>
        <v>列幅変更</v>
      </c>
      <c r="C332" t="str">
        <f ca="1">IFERROR(VLOOKUP($A332,python!$I:$J,2,FALSE),"")</f>
        <v/>
      </c>
      <c r="D332" t="str">
        <f ca="1">IFERROR(VLOOKUP($A332,bat!$F:$G,2,FALSE),"")</f>
        <v/>
      </c>
      <c r="E332" t="str">
        <f ca="1">IFERROR(VLOOKUP($A332,shell!$F:$G,2,FALSE),"")</f>
        <v/>
      </c>
      <c r="F332" t="str">
        <f t="shared" ca="1" si="48"/>
        <v>列幅変更</v>
      </c>
      <c r="G332">
        <f ca="1">IF($F332="","",COUNTIF($F$3:$F332,$F332))</f>
        <v>1</v>
      </c>
      <c r="H332">
        <f ca="1">IF(OR(G332&gt;1,G332=""),"",COUNTIF($G$3:$G332,1))</f>
        <v>323</v>
      </c>
      <c r="I332" t="str">
        <f t="shared" ca="1" si="49"/>
        <v>列幅変更</v>
      </c>
      <c r="K332">
        <f t="shared" si="53"/>
        <v>329</v>
      </c>
      <c r="L332" t="str">
        <f t="shared" ca="1" si="45"/>
        <v>アウトライン設定変更（左右）</v>
      </c>
      <c r="M332" s="2" t="str">
        <f t="shared" ca="1" si="46"/>
        <v>○</v>
      </c>
      <c r="N332" s="2" t="str">
        <f t="shared" ca="1" si="47"/>
        <v/>
      </c>
      <c r="O332" s="2" t="str">
        <f t="shared" ca="1" si="50"/>
        <v/>
      </c>
      <c r="P332" s="2" t="str">
        <f t="shared" ca="1" si="51"/>
        <v/>
      </c>
    </row>
    <row r="333" spans="1:16">
      <c r="A333">
        <f t="shared" si="52"/>
        <v>330</v>
      </c>
      <c r="B333" t="str">
        <f ca="1">IFERROR(VLOOKUP($A333,'vbs,vba'!$G:$H,2,FALSE),"")</f>
        <v>自動列幅調整</v>
      </c>
      <c r="C333" t="str">
        <f ca="1">IFERROR(VLOOKUP($A333,python!$I:$J,2,FALSE),"")</f>
        <v/>
      </c>
      <c r="D333" t="str">
        <f ca="1">IFERROR(VLOOKUP($A333,bat!$F:$G,2,FALSE),"")</f>
        <v/>
      </c>
      <c r="E333" t="str">
        <f ca="1">IFERROR(VLOOKUP($A333,shell!$F:$G,2,FALSE),"")</f>
        <v/>
      </c>
      <c r="F333" t="str">
        <f t="shared" ca="1" si="48"/>
        <v>自動列幅調整</v>
      </c>
      <c r="G333">
        <f ca="1">IF($F333="","",COUNTIF($F$3:$F333,$F333))</f>
        <v>1</v>
      </c>
      <c r="H333">
        <f ca="1">IF(OR(G333&gt;1,G333=""),"",COUNTIF($G$3:$G333,1))</f>
        <v>324</v>
      </c>
      <c r="I333" t="str">
        <f t="shared" ca="1" si="49"/>
        <v>自動列幅調整</v>
      </c>
      <c r="K333">
        <f t="shared" si="53"/>
        <v>330</v>
      </c>
      <c r="L333" t="str">
        <f t="shared" ca="1" si="45"/>
        <v>アウトライン設定変更（自動）</v>
      </c>
      <c r="M333" s="2" t="str">
        <f t="shared" ca="1" si="46"/>
        <v>○</v>
      </c>
      <c r="N333" s="2" t="str">
        <f t="shared" ca="1" si="47"/>
        <v/>
      </c>
      <c r="O333" s="2" t="str">
        <f t="shared" ca="1" si="50"/>
        <v/>
      </c>
      <c r="P333" s="2" t="str">
        <f t="shared" ca="1" si="51"/>
        <v/>
      </c>
    </row>
    <row r="334" spans="1:16">
      <c r="A334">
        <f t="shared" si="52"/>
        <v>331</v>
      </c>
      <c r="B334" t="str">
        <f ca="1">IFERROR(VLOOKUP($A334,'vbs,vba'!$G:$H,2,FALSE),"")</f>
        <v>自動列幅調整（全領域）</v>
      </c>
      <c r="C334" t="str">
        <f ca="1">IFERROR(VLOOKUP($A334,python!$I:$J,2,FALSE),"")</f>
        <v/>
      </c>
      <c r="D334" t="str">
        <f ca="1">IFERROR(VLOOKUP($A334,bat!$F:$G,2,FALSE),"")</f>
        <v/>
      </c>
      <c r="E334" t="str">
        <f ca="1">IFERROR(VLOOKUP($A334,shell!$F:$G,2,FALSE),"")</f>
        <v/>
      </c>
      <c r="F334" t="str">
        <f t="shared" ca="1" si="48"/>
        <v>自動列幅調整（全領域）</v>
      </c>
      <c r="G334">
        <f ca="1">IF($F334="","",COUNTIF($F$3:$F334,$F334))</f>
        <v>1</v>
      </c>
      <c r="H334">
        <f ca="1">IF(OR(G334&gt;1,G334=""),"",COUNTIF($G$3:$G334,1))</f>
        <v>325</v>
      </c>
      <c r="I334" t="str">
        <f t="shared" ca="1" si="49"/>
        <v>自動列幅調整（全領域）</v>
      </c>
      <c r="K334">
        <f t="shared" si="53"/>
        <v>331</v>
      </c>
      <c r="L334" t="str">
        <f t="shared" ca="1" si="45"/>
        <v>オートフィルタ設定</v>
      </c>
      <c r="M334" s="2" t="str">
        <f t="shared" ca="1" si="46"/>
        <v>○</v>
      </c>
      <c r="N334" s="2" t="str">
        <f t="shared" ca="1" si="47"/>
        <v/>
      </c>
      <c r="O334" s="2" t="str">
        <f t="shared" ca="1" si="50"/>
        <v/>
      </c>
      <c r="P334" s="2" t="str">
        <f t="shared" ca="1" si="51"/>
        <v/>
      </c>
    </row>
    <row r="335" spans="1:16">
      <c r="A335">
        <f t="shared" si="52"/>
        <v>332</v>
      </c>
      <c r="B335" t="str">
        <f ca="1">IFERROR(VLOOKUP($A335,'vbs,vba'!$G:$H,2,FALSE),"")</f>
        <v>コピー/切り取りモード解除</v>
      </c>
      <c r="C335" t="str">
        <f ca="1">IFERROR(VLOOKUP($A335,python!$I:$J,2,FALSE),"")</f>
        <v/>
      </c>
      <c r="D335" t="str">
        <f ca="1">IFERROR(VLOOKUP($A335,bat!$F:$G,2,FALSE),"")</f>
        <v/>
      </c>
      <c r="E335" t="str">
        <f ca="1">IFERROR(VLOOKUP($A335,shell!$F:$G,2,FALSE),"")</f>
        <v/>
      </c>
      <c r="F335" t="str">
        <f t="shared" ca="1" si="48"/>
        <v>コピー/切り取りモード解除</v>
      </c>
      <c r="G335">
        <f ca="1">IF($F335="","",COUNTIF($F$3:$F335,$F335))</f>
        <v>1</v>
      </c>
      <c r="H335">
        <f ca="1">IF(OR(G335&gt;1,G335=""),"",COUNTIF($G$3:$G335,1))</f>
        <v>326</v>
      </c>
      <c r="I335" t="str">
        <f t="shared" ca="1" si="49"/>
        <v>コピー/切り取りモード解除</v>
      </c>
      <c r="K335">
        <f t="shared" si="53"/>
        <v>332</v>
      </c>
      <c r="L335" t="str">
        <f t="shared" ca="1" si="45"/>
        <v>ウィンドウ枠固定 設定(行)</v>
      </c>
      <c r="M335" s="2" t="str">
        <f t="shared" ca="1" si="46"/>
        <v>○</v>
      </c>
      <c r="N335" s="2" t="str">
        <f t="shared" ca="1" si="47"/>
        <v/>
      </c>
      <c r="O335" s="2" t="str">
        <f t="shared" ca="1" si="50"/>
        <v/>
      </c>
      <c r="P335" s="2" t="str">
        <f t="shared" ca="1" si="51"/>
        <v/>
      </c>
    </row>
    <row r="336" spans="1:16">
      <c r="A336">
        <f t="shared" si="52"/>
        <v>333</v>
      </c>
      <c r="B336" t="str">
        <f ca="1">IFERROR(VLOOKUP($A336,'vbs,vba'!$G:$H,2,FALSE),"")</f>
        <v>グループ化（行）</v>
      </c>
      <c r="C336" t="str">
        <f ca="1">IFERROR(VLOOKUP($A336,python!$I:$J,2,FALSE),"")</f>
        <v/>
      </c>
      <c r="D336" t="str">
        <f ca="1">IFERROR(VLOOKUP($A336,bat!$F:$G,2,FALSE),"")</f>
        <v/>
      </c>
      <c r="E336" t="str">
        <f ca="1">IFERROR(VLOOKUP($A336,shell!$F:$G,2,FALSE),"")</f>
        <v/>
      </c>
      <c r="F336" t="str">
        <f t="shared" ca="1" si="48"/>
        <v>グループ化（行）</v>
      </c>
      <c r="G336">
        <f ca="1">IF($F336="","",COUNTIF($F$3:$F336,$F336))</f>
        <v>1</v>
      </c>
      <c r="H336">
        <f ca="1">IF(OR(G336&gt;1,G336=""),"",COUNTIF($G$3:$G336,1))</f>
        <v>327</v>
      </c>
      <c r="I336" t="str">
        <f t="shared" ca="1" si="49"/>
        <v>グループ化（行）</v>
      </c>
      <c r="K336">
        <f t="shared" si="53"/>
        <v>333</v>
      </c>
      <c r="L336" t="str">
        <f t="shared" ca="1" si="45"/>
        <v>ウィンドウ枠固定 設定(セル)</v>
      </c>
      <c r="M336" s="2" t="str">
        <f t="shared" ca="1" si="46"/>
        <v>○</v>
      </c>
      <c r="N336" s="2" t="str">
        <f t="shared" ca="1" si="47"/>
        <v/>
      </c>
      <c r="O336" s="2" t="str">
        <f t="shared" ca="1" si="50"/>
        <v/>
      </c>
      <c r="P336" s="2" t="str">
        <f t="shared" ca="1" si="51"/>
        <v/>
      </c>
    </row>
    <row r="337" spans="1:16">
      <c r="A337">
        <f t="shared" si="52"/>
        <v>334</v>
      </c>
      <c r="B337" t="str">
        <f ca="1">IFERROR(VLOOKUP($A337,'vbs,vba'!$G:$H,2,FALSE),"")</f>
        <v>グループ化（行）</v>
      </c>
      <c r="C337" t="str">
        <f ca="1">IFERROR(VLOOKUP($A337,python!$I:$J,2,FALSE),"")</f>
        <v/>
      </c>
      <c r="D337" t="str">
        <f ca="1">IFERROR(VLOOKUP($A337,bat!$F:$G,2,FALSE),"")</f>
        <v/>
      </c>
      <c r="E337" t="str">
        <f ca="1">IFERROR(VLOOKUP($A337,shell!$F:$G,2,FALSE),"")</f>
        <v/>
      </c>
      <c r="F337" t="str">
        <f t="shared" ca="1" si="48"/>
        <v>グループ化（行）</v>
      </c>
      <c r="G337">
        <f ca="1">IF($F337="","",COUNTIF($F$3:$F337,$F337))</f>
        <v>2</v>
      </c>
      <c r="H337" t="str">
        <f ca="1">IF(OR(G337&gt;1,G337=""),"",COUNTIF($G$3:$G337,1))</f>
        <v/>
      </c>
      <c r="I337" t="str">
        <f t="shared" ca="1" si="49"/>
        <v>グループ化（行）</v>
      </c>
      <c r="K337">
        <f t="shared" si="53"/>
        <v>334</v>
      </c>
      <c r="L337" t="str">
        <f t="shared" ca="1" si="45"/>
        <v>ウィンドウ枠固定 解除</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アウトライン設定変更（上下）</v>
      </c>
      <c r="C338" t="str">
        <f ca="1">IFERROR(VLOOKUP($A338,python!$I:$J,2,FALSE),"")</f>
        <v/>
      </c>
      <c r="D338" t="str">
        <f ca="1">IFERROR(VLOOKUP($A338,bat!$F:$G,2,FALSE),"")</f>
        <v/>
      </c>
      <c r="E338" t="str">
        <f ca="1">IFERROR(VLOOKUP($A338,shell!$F:$G,2,FALSE),"")</f>
        <v/>
      </c>
      <c r="F338" t="str">
        <f t="shared" ca="1" si="48"/>
        <v>アウトライン設定変更（上下）</v>
      </c>
      <c r="G338">
        <f ca="1">IF($F338="","",COUNTIF($F$3:$F338,$F338))</f>
        <v>1</v>
      </c>
      <c r="H338">
        <f ca="1">IF(OR(G338&gt;1,G338=""),"",COUNTIF($G$3:$G338,1))</f>
        <v>328</v>
      </c>
      <c r="I338" t="str">
        <f t="shared" ca="1" si="49"/>
        <v>アウトライン設定変更（上下）</v>
      </c>
      <c r="K338">
        <f t="shared" si="53"/>
        <v>335</v>
      </c>
      <c r="L338" t="str">
        <f t="shared" ca="1" si="45"/>
        <v>ワークシート関数</v>
      </c>
      <c r="M338" s="2" t="str">
        <f t="shared" ca="1" si="46"/>
        <v>○</v>
      </c>
      <c r="N338" s="2" t="str">
        <f t="shared" ca="1" si="47"/>
        <v/>
      </c>
      <c r="O338" s="2" t="str">
        <f t="shared" ca="1" si="50"/>
        <v/>
      </c>
      <c r="P338" s="2" t="str">
        <f t="shared" ca="1" si="51"/>
        <v/>
      </c>
    </row>
    <row r="339" spans="1:16">
      <c r="A339">
        <f t="shared" si="52"/>
        <v>336</v>
      </c>
      <c r="B339" t="str">
        <f ca="1">IFERROR(VLOOKUP($A339,'vbs,vba'!$G:$H,2,FALSE),"")</f>
        <v>アウトライン設定変更（左右）</v>
      </c>
      <c r="C339" t="str">
        <f ca="1">IFERROR(VLOOKUP($A339,python!$I:$J,2,FALSE),"")</f>
        <v/>
      </c>
      <c r="D339" t="str">
        <f ca="1">IFERROR(VLOOKUP($A339,bat!$F:$G,2,FALSE),"")</f>
        <v/>
      </c>
      <c r="E339" t="str">
        <f ca="1">IFERROR(VLOOKUP($A339,shell!$F:$G,2,FALSE),"")</f>
        <v/>
      </c>
      <c r="F339" t="str">
        <f t="shared" ca="1" si="48"/>
        <v>アウトライン設定変更（左右）</v>
      </c>
      <c r="G339">
        <f ca="1">IF($F339="","",COUNTIF($F$3:$F339,$F339))</f>
        <v>1</v>
      </c>
      <c r="H339">
        <f ca="1">IF(OR(G339&gt;1,G339=""),"",COUNTIF($G$3:$G339,1))</f>
        <v>329</v>
      </c>
      <c r="I339" t="str">
        <f t="shared" ca="1" si="49"/>
        <v>アウトライン設定変更（左右）</v>
      </c>
      <c r="K339">
        <f t="shared" si="53"/>
        <v>336</v>
      </c>
      <c r="L339" t="str">
        <f t="shared" ca="1" si="45"/>
        <v>ユーザー名取得</v>
      </c>
      <c r="M339" s="2" t="str">
        <f t="shared" ca="1" si="46"/>
        <v>○</v>
      </c>
      <c r="N339" s="2" t="str">
        <f t="shared" ca="1" si="47"/>
        <v/>
      </c>
      <c r="O339" s="2" t="str">
        <f t="shared" ca="1" si="50"/>
        <v/>
      </c>
      <c r="P339" s="2" t="str">
        <f t="shared" ca="1" si="51"/>
        <v/>
      </c>
    </row>
    <row r="340" spans="1:16">
      <c r="A340">
        <f t="shared" si="52"/>
        <v>337</v>
      </c>
      <c r="B340" t="str">
        <f ca="1">IFERROR(VLOOKUP($A340,'vbs,vba'!$G:$H,2,FALSE),"")</f>
        <v>アウトライン設定変更（自動）</v>
      </c>
      <c r="C340" t="str">
        <f ca="1">IFERROR(VLOOKUP($A340,python!$I:$J,2,FALSE),"")</f>
        <v/>
      </c>
      <c r="D340" t="str">
        <f ca="1">IFERROR(VLOOKUP($A340,bat!$F:$G,2,FALSE),"")</f>
        <v/>
      </c>
      <c r="E340" t="str">
        <f ca="1">IFERROR(VLOOKUP($A340,shell!$F:$G,2,FALSE),"")</f>
        <v/>
      </c>
      <c r="F340" t="str">
        <f t="shared" ca="1" si="48"/>
        <v>アウトライン設定変更（自動）</v>
      </c>
      <c r="G340">
        <f ca="1">IF($F340="","",COUNTIF($F$3:$F340,$F340))</f>
        <v>1</v>
      </c>
      <c r="H340">
        <f ca="1">IF(OR(G340&gt;1,G340=""),"",COUNTIF($G$3:$G340,1))</f>
        <v>330</v>
      </c>
      <c r="I340" t="str">
        <f t="shared" ca="1" si="49"/>
        <v>アウトライン設定変更（自動）</v>
      </c>
      <c r="K340">
        <f t="shared" si="53"/>
        <v>337</v>
      </c>
      <c r="L340" t="str">
        <f t="shared" ca="1" si="45"/>
        <v>ショートカットキー設定</v>
      </c>
      <c r="M340" s="2" t="str">
        <f t="shared" ca="1" si="46"/>
        <v>○</v>
      </c>
      <c r="N340" s="2" t="str">
        <f t="shared" ca="1" si="47"/>
        <v/>
      </c>
      <c r="O340" s="2" t="str">
        <f t="shared" ca="1" si="50"/>
        <v/>
      </c>
      <c r="P340" s="2" t="str">
        <f t="shared" ca="1" si="51"/>
        <v/>
      </c>
    </row>
    <row r="341" spans="1:16">
      <c r="A341">
        <f t="shared" si="52"/>
        <v>338</v>
      </c>
      <c r="B341" t="str">
        <f ca="1">IFERROR(VLOOKUP($A341,'vbs,vba'!$G:$H,2,FALSE),"")</f>
        <v>オートフィルタ設定</v>
      </c>
      <c r="C341" t="str">
        <f ca="1">IFERROR(VLOOKUP($A341,python!$I:$J,2,FALSE),"")</f>
        <v/>
      </c>
      <c r="D341" t="str">
        <f ca="1">IFERROR(VLOOKUP($A341,bat!$F:$G,2,FALSE),"")</f>
        <v/>
      </c>
      <c r="E341" t="str">
        <f ca="1">IFERROR(VLOOKUP($A341,shell!$F:$G,2,FALSE),"")</f>
        <v/>
      </c>
      <c r="F341" t="str">
        <f t="shared" ca="1" si="48"/>
        <v>オートフィルタ設定</v>
      </c>
      <c r="G341">
        <f ca="1">IF($F341="","",COUNTIF($F$3:$F341,$F341))</f>
        <v>1</v>
      </c>
      <c r="H341">
        <f ca="1">IF(OR(G341&gt;1,G341=""),"",COUNTIF($G$3:$G341,1))</f>
        <v>331</v>
      </c>
      <c r="I341" t="str">
        <f t="shared" ca="1" si="49"/>
        <v>オートフィルタ設定</v>
      </c>
      <c r="K341">
        <f t="shared" si="53"/>
        <v>338</v>
      </c>
      <c r="L341" t="str">
        <f t="shared" ca="1" si="45"/>
        <v>ステータスバー表示</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設定(行)</v>
      </c>
      <c r="C342" t="str">
        <f ca="1">IFERROR(VLOOKUP($A342,python!$I:$J,2,FALSE),"")</f>
        <v/>
      </c>
      <c r="D342" t="str">
        <f ca="1">IFERROR(VLOOKUP($A342,bat!$F:$G,2,FALSE),"")</f>
        <v/>
      </c>
      <c r="E342" t="str">
        <f ca="1">IFERROR(VLOOKUP($A342,shell!$F:$G,2,FALSE),"")</f>
        <v/>
      </c>
      <c r="F342" t="str">
        <f t="shared" ca="1" si="48"/>
        <v>ウィンドウ枠固定 設定(行)</v>
      </c>
      <c r="G342">
        <f ca="1">IF($F342="","",COUNTIF($F$3:$F342,$F342))</f>
        <v>1</v>
      </c>
      <c r="H342">
        <f ca="1">IF(OR(G342&gt;1,G342=""),"",COUNTIF($G$3:$G342,1))</f>
        <v>332</v>
      </c>
      <c r="I342" t="str">
        <f t="shared" ca="1" si="49"/>
        <v>ウィンドウ枠固定 設定(行)</v>
      </c>
      <c r="K342">
        <f t="shared" si="53"/>
        <v>339</v>
      </c>
      <c r="L342" t="str">
        <f t="shared" ca="1" si="45"/>
        <v>ステータスバー非表示</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設定(行)</v>
      </c>
      <c r="C343" t="str">
        <f ca="1">IFERROR(VLOOKUP($A343,python!$I:$J,2,FALSE),"")</f>
        <v/>
      </c>
      <c r="D343" t="str">
        <f ca="1">IFERROR(VLOOKUP($A343,bat!$F:$G,2,FALSE),"")</f>
        <v/>
      </c>
      <c r="E343" t="str">
        <f ca="1">IFERROR(VLOOKUP($A343,shell!$F:$G,2,FALSE),"")</f>
        <v/>
      </c>
      <c r="F343" t="str">
        <f t="shared" ca="1" si="48"/>
        <v>ウィンドウ枠固定 設定(行)</v>
      </c>
      <c r="G343">
        <f ca="1">IF($F343="","",COUNTIF($F$3:$F343,$F343))</f>
        <v>2</v>
      </c>
      <c r="H343" t="str">
        <f ca="1">IF(OR(G343&gt;1,G343=""),"",COUNTIF($G$3:$G343,1))</f>
        <v/>
      </c>
      <c r="I343" t="str">
        <f t="shared" ca="1" si="49"/>
        <v>ウィンドウ枠固定 設定(行)</v>
      </c>
      <c r="K343">
        <f t="shared" si="53"/>
        <v>340</v>
      </c>
      <c r="L343" t="str">
        <f t="shared" ca="1" si="45"/>
        <v>オブジェクト位置取得</v>
      </c>
      <c r="M343" s="2" t="str">
        <f t="shared" ca="1" si="46"/>
        <v>○</v>
      </c>
      <c r="N343" s="2" t="str">
        <f t="shared" ca="1" si="47"/>
        <v/>
      </c>
      <c r="O343" s="2" t="str">
        <f t="shared" ca="1" si="50"/>
        <v/>
      </c>
      <c r="P343" s="2" t="str">
        <f t="shared" ca="1" si="51"/>
        <v/>
      </c>
    </row>
    <row r="344" spans="1:16">
      <c r="A344">
        <f t="shared" si="52"/>
        <v>341</v>
      </c>
      <c r="B344" t="str">
        <f ca="1">IFERROR(VLOOKUP($A344,'vbs,vba'!$G:$H,2,FALSE),"")</f>
        <v>ウィンドウ枠固定 設定(セル)</v>
      </c>
      <c r="C344" t="str">
        <f ca="1">IFERROR(VLOOKUP($A344,python!$I:$J,2,FALSE),"")</f>
        <v/>
      </c>
      <c r="D344" t="str">
        <f ca="1">IFERROR(VLOOKUP($A344,bat!$F:$G,2,FALSE),"")</f>
        <v/>
      </c>
      <c r="E344" t="str">
        <f ca="1">IFERROR(VLOOKUP($A344,shell!$F:$G,2,FALSE),"")</f>
        <v/>
      </c>
      <c r="F344" t="str">
        <f t="shared" ca="1" si="48"/>
        <v>ウィンドウ枠固定 設定(セル)</v>
      </c>
      <c r="G344">
        <f ca="1">IF($F344="","",COUNTIF($F$3:$F344,$F344))</f>
        <v>1</v>
      </c>
      <c r="H344">
        <f ca="1">IF(OR(G344&gt;1,G344=""),"",COUNTIF($G$3:$G344,1))</f>
        <v>333</v>
      </c>
      <c r="I344" t="str">
        <f t="shared" ca="1" si="49"/>
        <v>ウィンドウ枠固定 設定(セル)</v>
      </c>
      <c r="K344">
        <f t="shared" si="53"/>
        <v>341</v>
      </c>
      <c r="L344" t="str">
        <f t="shared" ca="1" si="45"/>
        <v>セルコメント 有無判定</v>
      </c>
      <c r="M344" s="2" t="str">
        <f t="shared" ca="1" si="46"/>
        <v>○</v>
      </c>
      <c r="N344" s="2" t="str">
        <f t="shared" ca="1" si="47"/>
        <v/>
      </c>
      <c r="O344" s="2" t="str">
        <f t="shared" ca="1" si="50"/>
        <v/>
      </c>
      <c r="P344" s="2" t="str">
        <f t="shared" ca="1" si="51"/>
        <v/>
      </c>
    </row>
    <row r="345" spans="1:16">
      <c r="A345">
        <f t="shared" si="52"/>
        <v>342</v>
      </c>
      <c r="B345" t="str">
        <f ca="1">IFERROR(VLOOKUP($A345,'vbs,vba'!$G:$H,2,FALSE),"")</f>
        <v>ウィンドウ枠固定 解除</v>
      </c>
      <c r="C345" t="str">
        <f ca="1">IFERROR(VLOOKUP($A345,python!$I:$J,2,FALSE),"")</f>
        <v/>
      </c>
      <c r="D345" t="str">
        <f ca="1">IFERROR(VLOOKUP($A345,bat!$F:$G,2,FALSE),"")</f>
        <v/>
      </c>
      <c r="E345" t="str">
        <f ca="1">IFERROR(VLOOKUP($A345,shell!$F:$G,2,FALSE),"")</f>
        <v/>
      </c>
      <c r="F345" t="str">
        <f t="shared" ca="1" si="48"/>
        <v>ウィンドウ枠固定 解除</v>
      </c>
      <c r="G345">
        <f ca="1">IF($F345="","",COUNTIF($F$3:$F345,$F345))</f>
        <v>1</v>
      </c>
      <c r="H345">
        <f ca="1">IF(OR(G345&gt;1,G345=""),"",COUNTIF($G$3:$G345,1))</f>
        <v>334</v>
      </c>
      <c r="I345" t="str">
        <f t="shared" ca="1" si="49"/>
        <v>ウィンドウ枠固定 解除</v>
      </c>
      <c r="K345">
        <f t="shared" si="53"/>
        <v>342</v>
      </c>
      <c r="L345" t="str">
        <f t="shared" ca="1" si="45"/>
        <v>セルコメント 追加</v>
      </c>
      <c r="M345" s="2" t="str">
        <f t="shared" ca="1" si="46"/>
        <v>○</v>
      </c>
      <c r="N345" s="2" t="str">
        <f t="shared" ca="1" si="47"/>
        <v/>
      </c>
      <c r="O345" s="2" t="str">
        <f t="shared" ca="1" si="50"/>
        <v/>
      </c>
      <c r="P345" s="2" t="str">
        <f t="shared" ca="1" si="51"/>
        <v/>
      </c>
    </row>
    <row r="346" spans="1:16">
      <c r="A346">
        <f t="shared" si="52"/>
        <v>343</v>
      </c>
      <c r="B346" t="str">
        <f ca="1">IFERROR(VLOOKUP($A346,'vbs,vba'!$G:$H,2,FALSE),"")</f>
        <v>ワークシート関数</v>
      </c>
      <c r="C346" t="str">
        <f ca="1">IFERROR(VLOOKUP($A346,python!$I:$J,2,FALSE),"")</f>
        <v/>
      </c>
      <c r="D346" t="str">
        <f ca="1">IFERROR(VLOOKUP($A346,bat!$F:$G,2,FALSE),"")</f>
        <v/>
      </c>
      <c r="E346" t="str">
        <f ca="1">IFERROR(VLOOKUP($A346,shell!$F:$G,2,FALSE),"")</f>
        <v/>
      </c>
      <c r="F346" t="str">
        <f t="shared" ca="1" si="48"/>
        <v>ワークシート関数</v>
      </c>
      <c r="G346">
        <f ca="1">IF($F346="","",COUNTIF($F$3:$F346,$F346))</f>
        <v>1</v>
      </c>
      <c r="H346">
        <f ca="1">IF(OR(G346&gt;1,G346=""),"",COUNTIF($G$3:$G346,1))</f>
        <v>335</v>
      </c>
      <c r="I346" t="str">
        <f t="shared" ca="1" si="49"/>
        <v>ワークシート関数</v>
      </c>
      <c r="K346">
        <f t="shared" si="53"/>
        <v>343</v>
      </c>
      <c r="L346" t="str">
        <f t="shared" ca="1" si="45"/>
        <v>セルコメント 編集</v>
      </c>
      <c r="M346" s="2" t="str">
        <f t="shared" ca="1" si="46"/>
        <v>○</v>
      </c>
      <c r="N346" s="2" t="str">
        <f t="shared" ca="1" si="47"/>
        <v/>
      </c>
      <c r="O346" s="2" t="str">
        <f t="shared" ca="1" si="50"/>
        <v/>
      </c>
      <c r="P346" s="2" t="str">
        <f t="shared" ca="1" si="51"/>
        <v/>
      </c>
    </row>
    <row r="347" spans="1:16">
      <c r="A347">
        <f t="shared" si="52"/>
        <v>344</v>
      </c>
      <c r="B347" t="str">
        <f ca="1">IFERROR(VLOOKUP($A347,'vbs,vba'!$G:$H,2,FALSE),"")</f>
        <v>ユーザー名取得</v>
      </c>
      <c r="C347" t="str">
        <f ca="1">IFERROR(VLOOKUP($A347,python!$I:$J,2,FALSE),"")</f>
        <v/>
      </c>
      <c r="D347" t="str">
        <f ca="1">IFERROR(VLOOKUP($A347,bat!$F:$G,2,FALSE),"")</f>
        <v/>
      </c>
      <c r="E347" t="str">
        <f ca="1">IFERROR(VLOOKUP($A347,shell!$F:$G,2,FALSE),"")</f>
        <v/>
      </c>
      <c r="F347" t="str">
        <f t="shared" ca="1" si="48"/>
        <v>ユーザー名取得</v>
      </c>
      <c r="G347">
        <f ca="1">IF($F347="","",COUNTIF($F$3:$F347,$F347))</f>
        <v>1</v>
      </c>
      <c r="H347">
        <f ca="1">IF(OR(G347&gt;1,G347=""),"",COUNTIF($G$3:$G347,1))</f>
        <v>336</v>
      </c>
      <c r="I347" t="str">
        <f t="shared" ca="1" si="49"/>
        <v>ユーザー名取得</v>
      </c>
      <c r="K347">
        <f t="shared" si="53"/>
        <v>344</v>
      </c>
      <c r="L347" t="str">
        <f t="shared" ca="1" si="45"/>
        <v>セルコメント 書式設定</v>
      </c>
      <c r="M347" s="2" t="str">
        <f t="shared" ca="1" si="46"/>
        <v>○</v>
      </c>
      <c r="N347" s="2" t="str">
        <f t="shared" ca="1" si="47"/>
        <v/>
      </c>
      <c r="O347" s="2" t="str">
        <f t="shared" ca="1" si="50"/>
        <v/>
      </c>
      <c r="P347" s="2" t="str">
        <f t="shared" ca="1" si="51"/>
        <v/>
      </c>
    </row>
    <row r="348" spans="1:16">
      <c r="A348">
        <f t="shared" si="52"/>
        <v>345</v>
      </c>
      <c r="B348" t="str">
        <f ca="1">IFERROR(VLOOKUP($A348,'vbs,vba'!$G:$H,2,FALSE),"")</f>
        <v>ショートカットキー設定</v>
      </c>
      <c r="C348" t="str">
        <f ca="1">IFERROR(VLOOKUP($A348,python!$I:$J,2,FALSE),"")</f>
        <v/>
      </c>
      <c r="D348" t="str">
        <f ca="1">IFERROR(VLOOKUP($A348,bat!$F:$G,2,FALSE),"")</f>
        <v/>
      </c>
      <c r="E348" t="str">
        <f ca="1">IFERROR(VLOOKUP($A348,shell!$F:$G,2,FALSE),"")</f>
        <v/>
      </c>
      <c r="F348" t="str">
        <f t="shared" ca="1" si="48"/>
        <v>ショートカットキー設定</v>
      </c>
      <c r="G348">
        <f ca="1">IF($F348="","",COUNTIF($F$3:$F348,$F348))</f>
        <v>1</v>
      </c>
      <c r="H348">
        <f ca="1">IF(OR(G348&gt;1,G348=""),"",COUNTIF($G$3:$G348,1))</f>
        <v>337</v>
      </c>
      <c r="I348" t="str">
        <f t="shared" ca="1" si="49"/>
        <v>ショートカットキー設定</v>
      </c>
      <c r="K348">
        <f t="shared" si="53"/>
        <v>345</v>
      </c>
      <c r="L348" t="str">
        <f t="shared" ca="1" si="45"/>
        <v>シート存在確認</v>
      </c>
      <c r="M348" s="2" t="str">
        <f t="shared" ca="1" si="46"/>
        <v>○</v>
      </c>
      <c r="N348" s="2" t="str">
        <f t="shared" ca="1" si="47"/>
        <v/>
      </c>
      <c r="O348" s="2" t="str">
        <f t="shared" ca="1" si="50"/>
        <v/>
      </c>
      <c r="P348" s="2" t="str">
        <f t="shared" ca="1" si="51"/>
        <v/>
      </c>
    </row>
    <row r="349" spans="1:16">
      <c r="A349">
        <f t="shared" si="52"/>
        <v>346</v>
      </c>
      <c r="B349" t="str">
        <f ca="1">IFERROR(VLOOKUP($A349,'vbs,vba'!$G:$H,2,FALSE),"")</f>
        <v>ステータスバー表示</v>
      </c>
      <c r="C349" t="str">
        <f ca="1">IFERROR(VLOOKUP($A349,python!$I:$J,2,FALSE),"")</f>
        <v/>
      </c>
      <c r="D349" t="str">
        <f ca="1">IFERROR(VLOOKUP($A349,bat!$F:$G,2,FALSE),"")</f>
        <v/>
      </c>
      <c r="E349" t="str">
        <f ca="1">IFERROR(VLOOKUP($A349,shell!$F:$G,2,FALSE),"")</f>
        <v/>
      </c>
      <c r="F349" t="str">
        <f t="shared" ca="1" si="48"/>
        <v>ステータスバー表示</v>
      </c>
      <c r="G349">
        <f ca="1">IF($F349="","",COUNTIF($F$3:$F349,$F349))</f>
        <v>1</v>
      </c>
      <c r="H349">
        <f ca="1">IF(OR(G349&gt;1,G349=""),"",COUNTIF($G$3:$G349,1))</f>
        <v>338</v>
      </c>
      <c r="I349" t="str">
        <f t="shared" ca="1" si="49"/>
        <v>ステータスバー表示</v>
      </c>
      <c r="K349">
        <f t="shared" si="53"/>
        <v>346</v>
      </c>
      <c r="L349" t="str">
        <f t="shared" ca="1" si="45"/>
        <v>セル検索0</v>
      </c>
      <c r="M349" s="2" t="str">
        <f t="shared" ca="1" si="46"/>
        <v/>
      </c>
      <c r="N349" s="2" t="str">
        <f t="shared" ca="1" si="47"/>
        <v/>
      </c>
      <c r="O349" s="2" t="str">
        <f t="shared" ca="1" si="50"/>
        <v/>
      </c>
      <c r="P349" s="2" t="str">
        <f t="shared" ca="1" si="51"/>
        <v/>
      </c>
    </row>
    <row r="350" spans="1:16">
      <c r="A350">
        <f t="shared" si="52"/>
        <v>347</v>
      </c>
      <c r="B350" t="str">
        <f ca="1">IFERROR(VLOOKUP($A350,'vbs,vba'!$G:$H,2,FALSE),"")</f>
        <v>ステータスバー非表示</v>
      </c>
      <c r="C350" t="str">
        <f ca="1">IFERROR(VLOOKUP($A350,python!$I:$J,2,FALSE),"")</f>
        <v/>
      </c>
      <c r="D350" t="str">
        <f ca="1">IFERROR(VLOOKUP($A350,bat!$F:$G,2,FALSE),"")</f>
        <v/>
      </c>
      <c r="E350" t="str">
        <f ca="1">IFERROR(VLOOKUP($A350,shell!$F:$G,2,FALSE),"")</f>
        <v/>
      </c>
      <c r="F350" t="str">
        <f t="shared" ca="1" si="48"/>
        <v>ステータスバー非表示</v>
      </c>
      <c r="G350">
        <f ca="1">IF($F350="","",COUNTIF($F$3:$F350,$F350))</f>
        <v>1</v>
      </c>
      <c r="H350">
        <f ca="1">IF(OR(G350&gt;1,G350=""),"",COUNTIF($G$3:$G350,1))</f>
        <v>339</v>
      </c>
      <c r="I350" t="str">
        <f t="shared" ca="1" si="49"/>
        <v>ステータスバー非表示</v>
      </c>
      <c r="K350">
        <f t="shared" si="53"/>
        <v>347</v>
      </c>
      <c r="L350" t="str">
        <f t="shared" ca="1" si="45"/>
        <v>変数強制定義</v>
      </c>
      <c r="M350" s="2" t="str">
        <f t="shared" ca="1" si="46"/>
        <v>○</v>
      </c>
      <c r="N350" s="2" t="str">
        <f t="shared" ca="1" si="47"/>
        <v>○</v>
      </c>
      <c r="O350" s="2" t="str">
        <f t="shared" ca="1" si="50"/>
        <v/>
      </c>
      <c r="P350" s="2" t="str">
        <f t="shared" ca="1" si="51"/>
        <v/>
      </c>
    </row>
    <row r="351" spans="1:16">
      <c r="A351">
        <f t="shared" si="52"/>
        <v>348</v>
      </c>
      <c r="B351" t="str">
        <f ca="1">IFERROR(VLOOKUP($A351,'vbs,vba'!$G:$H,2,FALSE),"")</f>
        <v>オブジェクト位置取得</v>
      </c>
      <c r="C351" t="str">
        <f ca="1">IFERROR(VLOOKUP($A351,python!$I:$J,2,FALSE),"")</f>
        <v/>
      </c>
      <c r="D351" t="str">
        <f ca="1">IFERROR(VLOOKUP($A351,bat!$F:$G,2,FALSE),"")</f>
        <v/>
      </c>
      <c r="E351" t="str">
        <f ca="1">IFERROR(VLOOKUP($A351,shell!$F:$G,2,FALSE),"")</f>
        <v/>
      </c>
      <c r="F351" t="str">
        <f t="shared" ca="1" si="48"/>
        <v>オブジェクト位置取得</v>
      </c>
      <c r="G351">
        <f ca="1">IF($F351="","",COUNTIF($F$3:$F351,$F351))</f>
        <v>1</v>
      </c>
      <c r="H351">
        <f ca="1">IF(OR(G351&gt;1,G351=""),"",COUNTIF($G$3:$G351,1))</f>
        <v>340</v>
      </c>
      <c r="I351" t="str">
        <f t="shared" ca="1" si="49"/>
        <v>オブジェクト位置取得</v>
      </c>
      <c r="K351">
        <f t="shared" si="53"/>
        <v>348</v>
      </c>
      <c r="L351" t="str">
        <f t="shared" ca="1" si="45"/>
        <v>変数定義</v>
      </c>
      <c r="M351" s="2" t="str">
        <f t="shared" ca="1" si="46"/>
        <v/>
      </c>
      <c r="N351" s="2" t="str">
        <f t="shared" ca="1" si="47"/>
        <v>○</v>
      </c>
      <c r="O351" s="2" t="str">
        <f t="shared" ca="1" si="50"/>
        <v>○</v>
      </c>
      <c r="P351" s="2" t="str">
        <f t="shared" ca="1" si="51"/>
        <v>○</v>
      </c>
    </row>
    <row r="352" spans="1:16">
      <c r="A352">
        <f t="shared" si="52"/>
        <v>349</v>
      </c>
      <c r="B352" t="str">
        <f ca="1">IFERROR(VLOOKUP($A352,'vbs,vba'!$G:$H,2,FALSE),"")</f>
        <v>セルコメント 有無判定</v>
      </c>
      <c r="C352" t="str">
        <f ca="1">IFERROR(VLOOKUP($A352,python!$I:$J,2,FALSE),"")</f>
        <v/>
      </c>
      <c r="D352" t="str">
        <f ca="1">IFERROR(VLOOKUP($A352,bat!$F:$G,2,FALSE),"")</f>
        <v/>
      </c>
      <c r="E352" t="str">
        <f ca="1">IFERROR(VLOOKUP($A352,shell!$F:$G,2,FALSE),"")</f>
        <v/>
      </c>
      <c r="F352" t="str">
        <f t="shared" ca="1" si="48"/>
        <v>セルコメント 有無判定</v>
      </c>
      <c r="G352">
        <f ca="1">IF($F352="","",COUNTIF($F$3:$F352,$F352))</f>
        <v>1</v>
      </c>
      <c r="H352">
        <f ca="1">IF(OR(G352&gt;1,G352=""),"",COUNTIF($G$3:$G352,1))</f>
        <v>341</v>
      </c>
      <c r="I352" t="str">
        <f t="shared" ca="1" si="49"/>
        <v>セルコメント 有無判定</v>
      </c>
      <c r="K352">
        <f t="shared" si="53"/>
        <v>349</v>
      </c>
      <c r="L352" t="str">
        <f t="shared" ca="1" si="45"/>
        <v>変数定義（リスト）</v>
      </c>
      <c r="M352" s="2" t="str">
        <f t="shared" ca="1" si="46"/>
        <v/>
      </c>
      <c r="N352" s="2" t="str">
        <f t="shared" ca="1" si="47"/>
        <v>○</v>
      </c>
      <c r="O352" s="2" t="str">
        <f t="shared" ca="1" si="50"/>
        <v/>
      </c>
      <c r="P352" s="2" t="str">
        <f t="shared" ca="1" si="51"/>
        <v/>
      </c>
    </row>
    <row r="353" spans="1:16">
      <c r="A353">
        <f t="shared" si="52"/>
        <v>350</v>
      </c>
      <c r="B353" t="str">
        <f ca="1">IFERROR(VLOOKUP($A353,'vbs,vba'!$G:$H,2,FALSE),"")</f>
        <v>セルコメント 追加</v>
      </c>
      <c r="C353" t="str">
        <f ca="1">IFERROR(VLOOKUP($A353,python!$I:$J,2,FALSE),"")</f>
        <v/>
      </c>
      <c r="D353" t="str">
        <f ca="1">IFERROR(VLOOKUP($A353,bat!$F:$G,2,FALSE),"")</f>
        <v/>
      </c>
      <c r="E353" t="str">
        <f ca="1">IFERROR(VLOOKUP($A353,shell!$F:$G,2,FALSE),"")</f>
        <v/>
      </c>
      <c r="F353" t="str">
        <f t="shared" ca="1" si="48"/>
        <v>セルコメント 追加</v>
      </c>
      <c r="G353">
        <f ca="1">IF($F353="","",COUNTIF($F$3:$F353,$F353))</f>
        <v>1</v>
      </c>
      <c r="H353">
        <f ca="1">IF(OR(G353&gt;1,G353=""),"",COUNTIF($G$3:$G353,1))</f>
        <v>342</v>
      </c>
      <c r="I353" t="str">
        <f t="shared" ca="1" si="49"/>
        <v>セルコメント 追加</v>
      </c>
      <c r="K353">
        <f t="shared" si="53"/>
        <v>350</v>
      </c>
      <c r="L353" t="str">
        <f t="shared" ca="1" si="45"/>
        <v>変数定義（タプル）</v>
      </c>
      <c r="M353" s="2" t="str">
        <f t="shared" ca="1" si="46"/>
        <v/>
      </c>
      <c r="N353" s="2" t="str">
        <f t="shared" ca="1" si="47"/>
        <v>○</v>
      </c>
      <c r="O353" s="2" t="str">
        <f t="shared" ca="1" si="50"/>
        <v/>
      </c>
      <c r="P353" s="2" t="str">
        <f t="shared" ca="1" si="51"/>
        <v/>
      </c>
    </row>
    <row r="354" spans="1:16">
      <c r="A354">
        <f t="shared" si="52"/>
        <v>351</v>
      </c>
      <c r="B354" t="str">
        <f ca="1">IFERROR(VLOOKUP($A354,'vbs,vba'!$G:$H,2,FALSE),"")</f>
        <v>セルコメント 編集</v>
      </c>
      <c r="C354" t="str">
        <f ca="1">IFERROR(VLOOKUP($A354,python!$I:$J,2,FALSE),"")</f>
        <v/>
      </c>
      <c r="D354" t="str">
        <f ca="1">IFERROR(VLOOKUP($A354,bat!$F:$G,2,FALSE),"")</f>
        <v/>
      </c>
      <c r="E354" t="str">
        <f ca="1">IFERROR(VLOOKUP($A354,shell!$F:$G,2,FALSE),"")</f>
        <v/>
      </c>
      <c r="F354" t="str">
        <f t="shared" ca="1" si="48"/>
        <v>セルコメント 編集</v>
      </c>
      <c r="G354">
        <f ca="1">IF($F354="","",COUNTIF($F$3:$F354,$F354))</f>
        <v>1</v>
      </c>
      <c r="H354">
        <f ca="1">IF(OR(G354&gt;1,G354=""),"",COUNTIF($G$3:$G354,1))</f>
        <v>343</v>
      </c>
      <c r="I354" t="str">
        <f t="shared" ca="1" si="49"/>
        <v>セルコメント 編集</v>
      </c>
      <c r="K354">
        <f t="shared" si="53"/>
        <v>351</v>
      </c>
      <c r="L354" t="str">
        <f t="shared" ca="1" si="45"/>
        <v>変数定義（辞書）</v>
      </c>
      <c r="M354" s="2" t="str">
        <f t="shared" ca="1" si="46"/>
        <v/>
      </c>
      <c r="N354" s="2" t="str">
        <f t="shared" ca="1" si="47"/>
        <v>○</v>
      </c>
      <c r="O354" s="2" t="str">
        <f t="shared" ca="1" si="50"/>
        <v/>
      </c>
      <c r="P354" s="2" t="str">
        <f t="shared" ca="1" si="51"/>
        <v/>
      </c>
    </row>
    <row r="355" spans="1:16">
      <c r="A355">
        <f t="shared" si="52"/>
        <v>352</v>
      </c>
      <c r="B355" t="str">
        <f ca="1">IFERROR(VLOOKUP($A355,'vbs,vba'!$G:$H,2,FALSE),"")</f>
        <v>セルコメント 書式設定</v>
      </c>
      <c r="C355" t="str">
        <f ca="1">IFERROR(VLOOKUP($A355,python!$I:$J,2,FALSE),"")</f>
        <v/>
      </c>
      <c r="D355" t="str">
        <f ca="1">IFERROR(VLOOKUP($A355,bat!$F:$G,2,FALSE),"")</f>
        <v/>
      </c>
      <c r="E355" t="str">
        <f ca="1">IFERROR(VLOOKUP($A355,shell!$F:$G,2,FALSE),"")</f>
        <v/>
      </c>
      <c r="F355" t="str">
        <f t="shared" ca="1" si="48"/>
        <v>セルコメント 書式設定</v>
      </c>
      <c r="G355">
        <f ca="1">IF($F355="","",COUNTIF($F$3:$F355,$F355))</f>
        <v>1</v>
      </c>
      <c r="H355">
        <f ca="1">IF(OR(G355&gt;1,G355=""),"",COUNTIF($G$3:$G355,1))</f>
        <v>344</v>
      </c>
      <c r="I355" t="str">
        <f t="shared" ca="1" si="49"/>
        <v>セルコメント 書式設定</v>
      </c>
      <c r="K355">
        <f t="shared" si="53"/>
        <v>352</v>
      </c>
      <c r="L355" t="str">
        <f t="shared" ca="1" si="45"/>
        <v>変数定義（集合）</v>
      </c>
      <c r="M355" s="2" t="str">
        <f t="shared" ca="1" si="46"/>
        <v/>
      </c>
      <c r="N355" s="2" t="str">
        <f t="shared" ca="1" si="47"/>
        <v>○</v>
      </c>
      <c r="O355" s="2" t="str">
        <f t="shared" ca="1" si="50"/>
        <v/>
      </c>
      <c r="P355" s="2" t="str">
        <f t="shared" ca="1" si="51"/>
        <v/>
      </c>
    </row>
    <row r="356" spans="1:16">
      <c r="A356">
        <f t="shared" si="52"/>
        <v>353</v>
      </c>
      <c r="B356" t="str">
        <f ca="1">IFERROR(VLOOKUP($A356,'vbs,vba'!$G:$H,2,FALSE),"")</f>
        <v>シート存在確認</v>
      </c>
      <c r="C356" t="str">
        <f ca="1">IFERROR(VLOOKUP($A356,python!$I:$J,2,FALSE),"")</f>
        <v/>
      </c>
      <c r="D356" t="str">
        <f ca="1">IFERROR(VLOOKUP($A356,bat!$F:$G,2,FALSE),"")</f>
        <v/>
      </c>
      <c r="E356" t="str">
        <f ca="1">IFERROR(VLOOKUP($A356,shell!$F:$G,2,FALSE),"")</f>
        <v/>
      </c>
      <c r="F356" t="str">
        <f t="shared" ca="1" si="48"/>
        <v>シート存在確認</v>
      </c>
      <c r="G356">
        <f ca="1">IF($F356="","",COUNTIF($F$3:$F356,$F356))</f>
        <v>1</v>
      </c>
      <c r="H356">
        <f ca="1">IF(OR(G356&gt;1,G356=""),"",COUNTIF($G$3:$G356,1))</f>
        <v>345</v>
      </c>
      <c r="I356" t="str">
        <f t="shared" ca="1" si="49"/>
        <v>シート存在確認</v>
      </c>
      <c r="K356">
        <f t="shared" si="53"/>
        <v>353</v>
      </c>
      <c r="L356" t="str">
        <f t="shared" ca="1" si="45"/>
        <v>配列定義</v>
      </c>
      <c r="M356" s="2" t="str">
        <f t="shared" ca="1" si="46"/>
        <v>○</v>
      </c>
      <c r="N356" s="2" t="str">
        <f t="shared" ca="1" si="47"/>
        <v>○</v>
      </c>
      <c r="O356" s="2" t="str">
        <f t="shared" ca="1" si="50"/>
        <v/>
      </c>
      <c r="P356" s="2" t="str">
        <f t="shared" ca="1" si="51"/>
        <v/>
      </c>
    </row>
    <row r="357" spans="1:16">
      <c r="A357">
        <f t="shared" si="52"/>
        <v>354</v>
      </c>
      <c r="B357" t="str">
        <f ca="1">IFERROR(VLOOKUP($A357,'vbs,vba'!$G:$H,2,FALSE),"")</f>
        <v>セル検索</v>
      </c>
      <c r="C357">
        <f ca="1">IFERROR(VLOOKUP($A357,python!$I:$J,2,FALSE),"")</f>
        <v>0</v>
      </c>
      <c r="D357" t="str">
        <f ca="1">IFERROR(VLOOKUP($A357,bat!$F:$G,2,FALSE),"")</f>
        <v/>
      </c>
      <c r="E357" t="str">
        <f ca="1">IFERROR(VLOOKUP($A357,shell!$F:$G,2,FALSE),"")</f>
        <v/>
      </c>
      <c r="F357" t="str">
        <f t="shared" ca="1" si="48"/>
        <v>セル検索0</v>
      </c>
      <c r="G357">
        <f ca="1">IF($F357="","",COUNTIF($F$3:$F357,$F357))</f>
        <v>1</v>
      </c>
      <c r="H357">
        <f ca="1">IF(OR(G357&gt;1,G357=""),"",COUNTIF($G$3:$G357,1))</f>
        <v>346</v>
      </c>
      <c r="I357" t="str">
        <f t="shared" ca="1" si="49"/>
        <v>セル検索0</v>
      </c>
      <c r="K357">
        <f t="shared" si="53"/>
        <v>354</v>
      </c>
      <c r="L357" t="str">
        <f t="shared" ca="1" si="45"/>
        <v>定数定義</v>
      </c>
      <c r="M357" s="2" t="str">
        <f t="shared" ca="1" si="46"/>
        <v>○</v>
      </c>
      <c r="N357" s="2" t="str">
        <f t="shared" ca="1" si="47"/>
        <v>○</v>
      </c>
      <c r="O357" s="2" t="str">
        <f t="shared" ca="1" si="50"/>
        <v/>
      </c>
      <c r="P357" s="2" t="str">
        <f t="shared" ca="1" si="51"/>
        <v/>
      </c>
    </row>
    <row r="358" spans="1:16">
      <c r="A358">
        <f t="shared" si="52"/>
        <v>355</v>
      </c>
      <c r="B358" t="str">
        <f ca="1">IFERROR(VLOOKUP($A358,'vbs,vba'!$G:$H,2,FALSE),"")</f>
        <v/>
      </c>
      <c r="C358" t="str">
        <f ca="1">IFERROR(VLOOKUP($A358,python!$I:$J,2,FALSE),"")</f>
        <v>変数強制定義</v>
      </c>
      <c r="D358" t="str">
        <f ca="1">IFERROR(VLOOKUP($A358,bat!$F:$G,2,FALSE),"")</f>
        <v/>
      </c>
      <c r="E358" t="str">
        <f ca="1">IFERROR(VLOOKUP($A358,shell!$F:$G,2,FALSE),"")</f>
        <v/>
      </c>
      <c r="F358" t="str">
        <f t="shared" ca="1" si="48"/>
        <v>変数強制定義</v>
      </c>
      <c r="G358">
        <f ca="1">IF($F358="","",COUNTIF($F$3:$F358,$F358))</f>
        <v>1</v>
      </c>
      <c r="H358">
        <f ca="1">IF(OR(G358&gt;1,G358=""),"",COUNTIF($G$3:$G358,1))</f>
        <v>347</v>
      </c>
      <c r="I358" t="str">
        <f t="shared" ca="1" si="49"/>
        <v>変数強制定義</v>
      </c>
      <c r="K358">
        <f t="shared" si="53"/>
        <v>355</v>
      </c>
      <c r="L358" t="str">
        <f t="shared" ca="1" si="45"/>
        <v>構造体定義</v>
      </c>
      <c r="M358" s="2" t="str">
        <f t="shared" ca="1" si="46"/>
        <v>○</v>
      </c>
      <c r="N358" s="2" t="str">
        <f t="shared" ca="1" si="47"/>
        <v>○</v>
      </c>
      <c r="O358" s="2" t="str">
        <f t="shared" ca="1" si="50"/>
        <v/>
      </c>
      <c r="P358" s="2" t="str">
        <f t="shared" ca="1" si="51"/>
        <v/>
      </c>
    </row>
    <row r="359" spans="1:16">
      <c r="A359">
        <f t="shared" si="52"/>
        <v>356</v>
      </c>
      <c r="B359" t="str">
        <f ca="1">IFERROR(VLOOKUP($A359,'vbs,vba'!$G:$H,2,FALSE),"")</f>
        <v/>
      </c>
      <c r="C359" t="str">
        <f ca="1">IFERROR(VLOOKUP($A359,python!$I:$J,2,FALSE),"")</f>
        <v>変数定義</v>
      </c>
      <c r="D359" t="str">
        <f ca="1">IFERROR(VLOOKUP($A359,bat!$F:$G,2,FALSE),"")</f>
        <v/>
      </c>
      <c r="E359" t="str">
        <f ca="1">IFERROR(VLOOKUP($A359,shell!$F:$G,2,FALSE),"")</f>
        <v/>
      </c>
      <c r="F359" t="str">
        <f t="shared" ca="1" si="48"/>
        <v>変数定義</v>
      </c>
      <c r="G359">
        <f ca="1">IF($F359="","",COUNTIF($F$3:$F359,$F359))</f>
        <v>1</v>
      </c>
      <c r="H359">
        <f ca="1">IF(OR(G359&gt;1,G359=""),"",COUNTIF($G$3:$G359,1))</f>
        <v>348</v>
      </c>
      <c r="I359" t="str">
        <f t="shared" ca="1" si="49"/>
        <v>変数定義</v>
      </c>
      <c r="K359">
        <f t="shared" si="53"/>
        <v>356</v>
      </c>
      <c r="L359" t="str">
        <f t="shared" ca="1" si="45"/>
        <v>列挙型定義</v>
      </c>
      <c r="M359" s="2" t="str">
        <f t="shared" ca="1" si="46"/>
        <v>○</v>
      </c>
      <c r="N359" s="2" t="str">
        <f t="shared" ca="1" si="47"/>
        <v>○</v>
      </c>
      <c r="O359" s="2" t="str">
        <f t="shared" ca="1" si="50"/>
        <v>○</v>
      </c>
      <c r="P359" s="2" t="str">
        <f t="shared" ca="1" si="51"/>
        <v/>
      </c>
    </row>
    <row r="360" spans="1:16">
      <c r="A360">
        <f t="shared" si="52"/>
        <v>357</v>
      </c>
      <c r="B360" t="str">
        <f ca="1">IFERROR(VLOOKUP($A360,'vbs,vba'!$G:$H,2,FALSE),"")</f>
        <v/>
      </c>
      <c r="C360" t="str">
        <f ca="1">IFERROR(VLOOKUP($A360,python!$I:$J,2,FALSE),"")</f>
        <v>変数定義（リスト）</v>
      </c>
      <c r="D360" t="str">
        <f ca="1">IFERROR(VLOOKUP($A360,bat!$F:$G,2,FALSE),"")</f>
        <v/>
      </c>
      <c r="E360" t="str">
        <f ca="1">IFERROR(VLOOKUP($A360,shell!$F:$G,2,FALSE),"")</f>
        <v/>
      </c>
      <c r="F360" t="str">
        <f t="shared" ca="1" si="48"/>
        <v>変数定義（リスト）</v>
      </c>
      <c r="G360">
        <f ca="1">IF($F360="","",COUNTIF($F$3:$F360,$F360))</f>
        <v>1</v>
      </c>
      <c r="H360">
        <f ca="1">IF(OR(G360&gt;1,G360=""),"",COUNTIF($G$3:$G360,1))</f>
        <v>349</v>
      </c>
      <c r="I360" t="str">
        <f t="shared" ca="1" si="49"/>
        <v>変数定義（リスト）</v>
      </c>
      <c r="K360">
        <f t="shared" si="53"/>
        <v>357</v>
      </c>
      <c r="L360" t="str">
        <f t="shared" ca="1" si="45"/>
        <v>マクロ定義</v>
      </c>
      <c r="M360" s="2" t="str">
        <f t="shared" ca="1" si="46"/>
        <v>○</v>
      </c>
      <c r="N360" s="2" t="str">
        <f t="shared" ca="1" si="47"/>
        <v>○</v>
      </c>
      <c r="O360" s="2" t="str">
        <f t="shared" ca="1" si="50"/>
        <v/>
      </c>
      <c r="P360" s="2" t="str">
        <f t="shared" ca="1" si="51"/>
        <v/>
      </c>
    </row>
    <row r="361" spans="1:16">
      <c r="A361">
        <f t="shared" si="52"/>
        <v>358</v>
      </c>
      <c r="B361" t="str">
        <f ca="1">IFERROR(VLOOKUP($A361,'vbs,vba'!$G:$H,2,FALSE),"")</f>
        <v/>
      </c>
      <c r="C361" t="str">
        <f ca="1">IFERROR(VLOOKUP($A361,python!$I:$J,2,FALSE),"")</f>
        <v>変数定義（タプル）</v>
      </c>
      <c r="D361" t="str">
        <f ca="1">IFERROR(VLOOKUP($A361,bat!$F:$G,2,FALSE),"")</f>
        <v/>
      </c>
      <c r="E361" t="str">
        <f ca="1">IFERROR(VLOOKUP($A361,shell!$F:$G,2,FALSE),"")</f>
        <v/>
      </c>
      <c r="F361" t="str">
        <f t="shared" ca="1" si="48"/>
        <v>変数定義（タプル）</v>
      </c>
      <c r="G361">
        <f ca="1">IF($F361="","",COUNTIF($F$3:$F361,$F361))</f>
        <v>1</v>
      </c>
      <c r="H361">
        <f ca="1">IF(OR(G361&gt;1,G361=""),"",COUNTIF($G$3:$G361,1))</f>
        <v>350</v>
      </c>
      <c r="I361" t="str">
        <f t="shared" ca="1" si="49"/>
        <v>変数定義（タプル）</v>
      </c>
      <c r="K361">
        <f t="shared" si="53"/>
        <v>358</v>
      </c>
      <c r="L361" t="str">
        <f t="shared" ca="1" si="45"/>
        <v>関数呼出</v>
      </c>
      <c r="M361" s="2" t="str">
        <f t="shared" ca="1" si="46"/>
        <v>○</v>
      </c>
      <c r="N361" s="2" t="str">
        <f t="shared" ca="1" si="47"/>
        <v>○</v>
      </c>
      <c r="O361" s="2" t="str">
        <f t="shared" ca="1" si="50"/>
        <v/>
      </c>
      <c r="P361" s="2" t="str">
        <f t="shared" ca="1" si="51"/>
        <v/>
      </c>
    </row>
    <row r="362" spans="1:16">
      <c r="A362">
        <f t="shared" si="52"/>
        <v>359</v>
      </c>
      <c r="B362" t="str">
        <f ca="1">IFERROR(VLOOKUP($A362,'vbs,vba'!$G:$H,2,FALSE),"")</f>
        <v/>
      </c>
      <c r="C362" t="str">
        <f ca="1">IFERROR(VLOOKUP($A362,python!$I:$J,2,FALSE),"")</f>
        <v>変数定義（辞書）</v>
      </c>
      <c r="D362" t="str">
        <f ca="1">IFERROR(VLOOKUP($A362,bat!$F:$G,2,FALSE),"")</f>
        <v/>
      </c>
      <c r="E362" t="str">
        <f ca="1">IFERROR(VLOOKUP($A362,shell!$F:$G,2,FALSE),"")</f>
        <v/>
      </c>
      <c r="F362" t="str">
        <f t="shared" ca="1" si="48"/>
        <v>変数定義（辞書）</v>
      </c>
      <c r="G362">
        <f ca="1">IF($F362="","",COUNTIF($F$3:$F362,$F362))</f>
        <v>1</v>
      </c>
      <c r="H362">
        <f ca="1">IF(OR(G362&gt;1,G362=""),"",COUNTIF($G$3:$G362,1))</f>
        <v>351</v>
      </c>
      <c r="I362" t="str">
        <f t="shared" ca="1" si="49"/>
        <v>変数定義（辞書）</v>
      </c>
      <c r="K362">
        <f t="shared" si="53"/>
        <v>359</v>
      </c>
      <c r="L362" t="str">
        <f t="shared" ca="1" si="45"/>
        <v>関数定義</v>
      </c>
      <c r="M362" s="2" t="str">
        <f t="shared" ca="1" si="46"/>
        <v>○</v>
      </c>
      <c r="N362" s="2" t="str">
        <f t="shared" ca="1" si="47"/>
        <v>○</v>
      </c>
      <c r="O362" s="2" t="str">
        <f t="shared" ca="1" si="50"/>
        <v/>
      </c>
      <c r="P362" s="2" t="str">
        <f t="shared" ca="1" si="51"/>
        <v>○</v>
      </c>
    </row>
    <row r="363" spans="1:16">
      <c r="A363">
        <f t="shared" si="52"/>
        <v>360</v>
      </c>
      <c r="B363" t="str">
        <f ca="1">IFERROR(VLOOKUP($A363,'vbs,vba'!$G:$H,2,FALSE),"")</f>
        <v/>
      </c>
      <c r="C363" t="str">
        <f ca="1">IFERROR(VLOOKUP($A363,python!$I:$J,2,FALSE),"")</f>
        <v>変数定義（集合）</v>
      </c>
      <c r="D363" t="str">
        <f ca="1">IFERROR(VLOOKUP($A363,bat!$F:$G,2,FALSE),"")</f>
        <v/>
      </c>
      <c r="E363" t="str">
        <f ca="1">IFERROR(VLOOKUP($A363,shell!$F:$G,2,FALSE),"")</f>
        <v/>
      </c>
      <c r="F363" t="str">
        <f t="shared" ca="1" si="48"/>
        <v>変数定義（集合）</v>
      </c>
      <c r="G363">
        <f ca="1">IF($F363="","",COUNTIF($F$3:$F363,$F363))</f>
        <v>1</v>
      </c>
      <c r="H363">
        <f ca="1">IF(OR(G363&gt;1,G363=""),"",COUNTIF($G$3:$G363,1))</f>
        <v>352</v>
      </c>
      <c r="I363" t="str">
        <f t="shared" ca="1" si="49"/>
        <v>変数定義（集合）</v>
      </c>
      <c r="K363">
        <f t="shared" si="53"/>
        <v>360</v>
      </c>
      <c r="L363" t="str">
        <f t="shared" ca="1" si="45"/>
        <v>関数定義(型ヒントあり)</v>
      </c>
      <c r="M363" s="2" t="str">
        <f t="shared" ca="1" si="46"/>
        <v/>
      </c>
      <c r="N363" s="2" t="str">
        <f t="shared" ca="1" si="47"/>
        <v>○</v>
      </c>
      <c r="O363" s="2" t="str">
        <f t="shared" ca="1" si="50"/>
        <v/>
      </c>
      <c r="P363" s="2" t="str">
        <f t="shared" ca="1" si="51"/>
        <v/>
      </c>
    </row>
    <row r="364" spans="1:16">
      <c r="A364">
        <f t="shared" si="52"/>
        <v>361</v>
      </c>
      <c r="B364" t="str">
        <f ca="1">IFERROR(VLOOKUP($A364,'vbs,vba'!$G:$H,2,FALSE),"")</f>
        <v/>
      </c>
      <c r="C364" t="str">
        <f ca="1">IFERROR(VLOOKUP($A364,python!$I:$J,2,FALSE),"")</f>
        <v>配列定義</v>
      </c>
      <c r="D364" t="str">
        <f ca="1">IFERROR(VLOOKUP($A364,bat!$F:$G,2,FALSE),"")</f>
        <v/>
      </c>
      <c r="E364" t="str">
        <f ca="1">IFERROR(VLOOKUP($A364,shell!$F:$G,2,FALSE),"")</f>
        <v/>
      </c>
      <c r="F364" t="str">
        <f t="shared" ca="1" si="48"/>
        <v>配列定義</v>
      </c>
      <c r="G364">
        <f ca="1">IF($F364="","",COUNTIF($F$3:$F364,$F364))</f>
        <v>1</v>
      </c>
      <c r="H364">
        <f ca="1">IF(OR(G364&gt;1,G364=""),"",COUNTIF($G$3:$G364,1))</f>
        <v>353</v>
      </c>
      <c r="I364" t="str">
        <f t="shared" ca="1" si="49"/>
        <v>配列定義</v>
      </c>
      <c r="K364">
        <f t="shared" si="53"/>
        <v>361</v>
      </c>
      <c r="L364" t="str">
        <f t="shared" ca="1" si="45"/>
        <v>関数定義(可変長引数)</v>
      </c>
      <c r="M364" s="2" t="str">
        <f t="shared" ca="1" si="46"/>
        <v/>
      </c>
      <c r="N364" s="2" t="str">
        <f t="shared" ca="1" si="47"/>
        <v>○</v>
      </c>
      <c r="O364" s="2" t="str">
        <f t="shared" ca="1" si="50"/>
        <v/>
      </c>
      <c r="P364" s="2" t="str">
        <f t="shared" ca="1" si="51"/>
        <v/>
      </c>
    </row>
    <row r="365" spans="1:16">
      <c r="A365">
        <f t="shared" si="52"/>
        <v>362</v>
      </c>
      <c r="B365" t="str">
        <f ca="1">IFERROR(VLOOKUP($A365,'vbs,vba'!$G:$H,2,FALSE),"")</f>
        <v/>
      </c>
      <c r="C365" t="str">
        <f ca="1">IFERROR(VLOOKUP($A365,python!$I:$J,2,FALSE),"")</f>
        <v>定数定義</v>
      </c>
      <c r="D365" t="str">
        <f ca="1">IFERROR(VLOOKUP($A365,bat!$F:$G,2,FALSE),"")</f>
        <v/>
      </c>
      <c r="E365" t="str">
        <f ca="1">IFERROR(VLOOKUP($A365,shell!$F:$G,2,FALSE),"")</f>
        <v/>
      </c>
      <c r="F365" t="str">
        <f t="shared" ca="1" si="48"/>
        <v>定数定義</v>
      </c>
      <c r="G365">
        <f ca="1">IF($F365="","",COUNTIF($F$3:$F365,$F365))</f>
        <v>1</v>
      </c>
      <c r="H365">
        <f ca="1">IF(OR(G365&gt;1,G365=""),"",COUNTIF($G$3:$G365,1))</f>
        <v>354</v>
      </c>
      <c r="I365" t="str">
        <f t="shared" ca="1" si="49"/>
        <v>定数定義</v>
      </c>
      <c r="K365">
        <f t="shared" si="53"/>
        <v>362</v>
      </c>
      <c r="L365" t="str">
        <f t="shared" ca="1" si="45"/>
        <v>関数定義(可変長キーワード引数)</v>
      </c>
      <c r="M365" s="2" t="str">
        <f t="shared" ca="1" si="46"/>
        <v/>
      </c>
      <c r="N365" s="2" t="str">
        <f t="shared" ca="1" si="47"/>
        <v>○</v>
      </c>
      <c r="O365" s="2" t="str">
        <f t="shared" ca="1" si="50"/>
        <v/>
      </c>
      <c r="P365" s="2" t="str">
        <f t="shared" ca="1" si="51"/>
        <v/>
      </c>
    </row>
    <row r="366" spans="1:16">
      <c r="A366">
        <f t="shared" si="52"/>
        <v>363</v>
      </c>
      <c r="B366" t="str">
        <f ca="1">IFERROR(VLOOKUP($A366,'vbs,vba'!$G:$H,2,FALSE),"")</f>
        <v/>
      </c>
      <c r="C366" t="str">
        <f ca="1">IFERROR(VLOOKUP($A366,python!$I:$J,2,FALSE),"")</f>
        <v>構造体定義</v>
      </c>
      <c r="D366" t="str">
        <f ca="1">IFERROR(VLOOKUP($A366,bat!$F:$G,2,FALSE),"")</f>
        <v/>
      </c>
      <c r="E366" t="str">
        <f ca="1">IFERROR(VLOOKUP($A366,shell!$F:$G,2,FALSE),"")</f>
        <v/>
      </c>
      <c r="F366" t="str">
        <f t="shared" ca="1" si="48"/>
        <v>構造体定義</v>
      </c>
      <c r="G366">
        <f ca="1">IF($F366="","",COUNTIF($F$3:$F366,$F366))</f>
        <v>1</v>
      </c>
      <c r="H366">
        <f ca="1">IF(OR(G366&gt;1,G366=""),"",COUNTIF($G$3:$G366,1))</f>
        <v>355</v>
      </c>
      <c r="I366" t="str">
        <f t="shared" ca="1" si="49"/>
        <v>構造体定義</v>
      </c>
      <c r="K366">
        <f t="shared" si="53"/>
        <v>363</v>
      </c>
      <c r="L366" t="str">
        <f t="shared" ca="1" si="45"/>
        <v>lambda関数定義</v>
      </c>
      <c r="M366" s="2" t="str">
        <f t="shared" ca="1" si="46"/>
        <v/>
      </c>
      <c r="N366" s="2" t="str">
        <f t="shared" ca="1" si="47"/>
        <v>○</v>
      </c>
      <c r="O366" s="2" t="str">
        <f t="shared" ca="1" si="50"/>
        <v/>
      </c>
      <c r="P366" s="2" t="str">
        <f t="shared" ca="1" si="51"/>
        <v/>
      </c>
    </row>
    <row r="367" spans="1:16">
      <c r="A367">
        <f t="shared" si="52"/>
        <v>364</v>
      </c>
      <c r="B367" t="str">
        <f ca="1">IFERROR(VLOOKUP($A367,'vbs,vba'!$G:$H,2,FALSE),"")</f>
        <v/>
      </c>
      <c r="C367" t="str">
        <f ca="1">IFERROR(VLOOKUP($A367,python!$I:$J,2,FALSE),"")</f>
        <v>列挙型定義</v>
      </c>
      <c r="D367" t="str">
        <f ca="1">IFERROR(VLOOKUP($A367,bat!$F:$G,2,FALSE),"")</f>
        <v/>
      </c>
      <c r="E367" t="str">
        <f ca="1">IFERROR(VLOOKUP($A367,shell!$F:$G,2,FALSE),"")</f>
        <v/>
      </c>
      <c r="F367" t="str">
        <f t="shared" ca="1" si="48"/>
        <v>列挙型定義</v>
      </c>
      <c r="G367">
        <f ca="1">IF($F367="","",COUNTIF($F$3:$F367,$F367))</f>
        <v>1</v>
      </c>
      <c r="H367">
        <f ca="1">IF(OR(G367&gt;1,G367=""),"",COUNTIF($G$3:$G367,1))</f>
        <v>356</v>
      </c>
      <c r="I367" t="str">
        <f t="shared" ca="1" si="49"/>
        <v>列挙型定義</v>
      </c>
      <c r="K367">
        <f t="shared" si="53"/>
        <v>364</v>
      </c>
      <c r="L367" t="str">
        <f t="shared" ca="1" si="45"/>
        <v>コメント</v>
      </c>
      <c r="M367" s="2" t="str">
        <f t="shared" ca="1" si="46"/>
        <v>○</v>
      </c>
      <c r="N367" s="2" t="str">
        <f t="shared" ca="1" si="47"/>
        <v>○</v>
      </c>
      <c r="O367" s="2" t="str">
        <f t="shared" ca="1" si="50"/>
        <v>○</v>
      </c>
      <c r="P367" s="2" t="str">
        <f t="shared" ca="1" si="51"/>
        <v>○</v>
      </c>
    </row>
    <row r="368" spans="1:16">
      <c r="A368">
        <f t="shared" si="52"/>
        <v>365</v>
      </c>
      <c r="B368" t="str">
        <f ca="1">IFERROR(VLOOKUP($A368,'vbs,vba'!$G:$H,2,FALSE),"")</f>
        <v/>
      </c>
      <c r="C368" t="str">
        <f ca="1">IFERROR(VLOOKUP($A368,python!$I:$J,2,FALSE),"")</f>
        <v>マクロ定義</v>
      </c>
      <c r="D368" t="str">
        <f ca="1">IFERROR(VLOOKUP($A368,bat!$F:$G,2,FALSE),"")</f>
        <v/>
      </c>
      <c r="E368" t="str">
        <f ca="1">IFERROR(VLOOKUP($A368,shell!$F:$G,2,FALSE),"")</f>
        <v/>
      </c>
      <c r="F368" t="str">
        <f t="shared" ca="1" si="48"/>
        <v>マクロ定義</v>
      </c>
      <c r="G368">
        <f ca="1">IF($F368="","",COUNTIF($F$3:$F368,$F368))</f>
        <v>1</v>
      </c>
      <c r="H368">
        <f ca="1">IF(OR(G368&gt;1,G368=""),"",COUNTIF($G$3:$G368,1))</f>
        <v>357</v>
      </c>
      <c r="I368" t="str">
        <f t="shared" ca="1" si="49"/>
        <v>マクロ定義</v>
      </c>
      <c r="K368">
        <f t="shared" si="53"/>
        <v>365</v>
      </c>
      <c r="L368" t="str">
        <f t="shared" ca="1" si="45"/>
        <v>文中の改行</v>
      </c>
      <c r="M368" s="2" t="str">
        <f t="shared" ca="1" si="46"/>
        <v/>
      </c>
      <c r="N368" s="2" t="str">
        <f t="shared" ca="1" si="47"/>
        <v>○</v>
      </c>
      <c r="O368" s="2" t="str">
        <f t="shared" ca="1" si="50"/>
        <v/>
      </c>
      <c r="P368" s="2" t="str">
        <f t="shared" ca="1" si="51"/>
        <v/>
      </c>
    </row>
    <row r="369" spans="1:16">
      <c r="A369">
        <f t="shared" si="52"/>
        <v>366</v>
      </c>
      <c r="B369" t="str">
        <f ca="1">IFERROR(VLOOKUP($A369,'vbs,vba'!$G:$H,2,FALSE),"")</f>
        <v/>
      </c>
      <c r="C369" t="str">
        <f ca="1">IFERROR(VLOOKUP($A369,python!$I:$J,2,FALSE),"")</f>
        <v>関数呼出</v>
      </c>
      <c r="D369" t="str">
        <f ca="1">IFERROR(VLOOKUP($A369,bat!$F:$G,2,FALSE),"")</f>
        <v/>
      </c>
      <c r="E369" t="str">
        <f ca="1">IFERROR(VLOOKUP($A369,shell!$F:$G,2,FALSE),"")</f>
        <v/>
      </c>
      <c r="F369" t="str">
        <f t="shared" ca="1" si="48"/>
        <v>関数呼出</v>
      </c>
      <c r="G369">
        <f ca="1">IF($F369="","",COUNTIF($F$3:$F369,$F369))</f>
        <v>1</v>
      </c>
      <c r="H369">
        <f ca="1">IF(OR(G369&gt;1,G369=""),"",COUNTIF($G$3:$G369,1))</f>
        <v>358</v>
      </c>
      <c r="I369" t="str">
        <f t="shared" ca="1" si="49"/>
        <v>関数呼出</v>
      </c>
      <c r="K369">
        <f t="shared" si="53"/>
        <v>366</v>
      </c>
      <c r="L369" t="str">
        <f t="shared" ca="1" si="45"/>
        <v>分岐 if</v>
      </c>
      <c r="M369" s="2" t="str">
        <f t="shared" ca="1" si="46"/>
        <v>○</v>
      </c>
      <c r="N369" s="2" t="str">
        <f t="shared" ca="1" si="47"/>
        <v>○</v>
      </c>
      <c r="O369" s="2" t="str">
        <f t="shared" ca="1" si="50"/>
        <v/>
      </c>
      <c r="P369" s="2" t="str">
        <f t="shared" ca="1" si="51"/>
        <v/>
      </c>
    </row>
    <row r="370" spans="1:16">
      <c r="A370">
        <f t="shared" si="52"/>
        <v>367</v>
      </c>
      <c r="B370" t="str">
        <f ca="1">IFERROR(VLOOKUP($A370,'vbs,vba'!$G:$H,2,FALSE),"")</f>
        <v/>
      </c>
      <c r="C370" t="str">
        <f ca="1">IFERROR(VLOOKUP($A370,python!$I:$J,2,FALSE),"")</f>
        <v>関数定義</v>
      </c>
      <c r="D370" t="str">
        <f ca="1">IFERROR(VLOOKUP($A370,bat!$F:$G,2,FALSE),"")</f>
        <v/>
      </c>
      <c r="E370" t="str">
        <f ca="1">IFERROR(VLOOKUP($A370,shell!$F:$G,2,FALSE),"")</f>
        <v/>
      </c>
      <c r="F370" t="str">
        <f t="shared" ca="1" si="48"/>
        <v>関数定義</v>
      </c>
      <c r="G370">
        <f ca="1">IF($F370="","",COUNTIF($F$3:$F370,$F370))</f>
        <v>1</v>
      </c>
      <c r="H370">
        <f ca="1">IF(OR(G370&gt;1,G370=""),"",COUNTIF($G$3:$G370,1))</f>
        <v>359</v>
      </c>
      <c r="I370" t="str">
        <f t="shared" ca="1" si="49"/>
        <v>関数定義</v>
      </c>
      <c r="K370">
        <f t="shared" si="53"/>
        <v>367</v>
      </c>
      <c r="L370" t="str">
        <f t="shared" ca="1" si="45"/>
        <v>分岐 if（空オブジェクト確認）</v>
      </c>
      <c r="M370" s="2" t="str">
        <f t="shared" ca="1" si="46"/>
        <v>○</v>
      </c>
      <c r="N370" s="2" t="str">
        <f t="shared" ca="1" si="47"/>
        <v>○</v>
      </c>
      <c r="O370" s="2" t="str">
        <f t="shared" ca="1" si="50"/>
        <v/>
      </c>
      <c r="P370" s="2" t="str">
        <f t="shared" ca="1" si="51"/>
        <v/>
      </c>
    </row>
    <row r="371" spans="1:16">
      <c r="A371">
        <f t="shared" si="52"/>
        <v>368</v>
      </c>
      <c r="B371" t="str">
        <f ca="1">IFERROR(VLOOKUP($A371,'vbs,vba'!$G:$H,2,FALSE),"")</f>
        <v/>
      </c>
      <c r="C371" t="str">
        <f ca="1">IFERROR(VLOOKUP($A371,python!$I:$J,2,FALSE),"")</f>
        <v>関数定義(型ヒントあり)</v>
      </c>
      <c r="D371" t="str">
        <f ca="1">IFERROR(VLOOKUP($A371,bat!$F:$G,2,FALSE),"")</f>
        <v/>
      </c>
      <c r="E371" t="str">
        <f ca="1">IFERROR(VLOOKUP($A371,shell!$F:$G,2,FALSE),"")</f>
        <v/>
      </c>
      <c r="F371" t="str">
        <f t="shared" ca="1" si="48"/>
        <v>関数定義(型ヒントあり)</v>
      </c>
      <c r="G371">
        <f ca="1">IF($F371="","",COUNTIF($F$3:$F371,$F371))</f>
        <v>1</v>
      </c>
      <c r="H371">
        <f ca="1">IF(OR(G371&gt;1,G371=""),"",COUNTIF($G$3:$G371,1))</f>
        <v>360</v>
      </c>
      <c r="I371" t="str">
        <f t="shared" ca="1" si="49"/>
        <v>関数定義(型ヒントあり)</v>
      </c>
      <c r="K371">
        <f t="shared" si="53"/>
        <v>368</v>
      </c>
      <c r="L371" t="str">
        <f t="shared" ca="1" si="45"/>
        <v>分岐 switch</v>
      </c>
      <c r="M371" s="2" t="str">
        <f t="shared" ca="1" si="46"/>
        <v>○</v>
      </c>
      <c r="N371" s="2" t="str">
        <f t="shared" ca="1" si="47"/>
        <v>○</v>
      </c>
      <c r="O371" s="2" t="str">
        <f t="shared" ca="1" si="50"/>
        <v/>
      </c>
      <c r="P371" s="2" t="str">
        <f t="shared" ca="1" si="51"/>
        <v/>
      </c>
    </row>
    <row r="372" spans="1:16">
      <c r="A372">
        <f t="shared" si="52"/>
        <v>369</v>
      </c>
      <c r="B372" t="str">
        <f ca="1">IFERROR(VLOOKUP($A372,'vbs,vba'!$G:$H,2,FALSE),"")</f>
        <v/>
      </c>
      <c r="C372" t="str">
        <f ca="1">IFERROR(VLOOKUP($A372,python!$I:$J,2,FALSE),"")</f>
        <v>関数定義(可変長引数)</v>
      </c>
      <c r="D372" t="str">
        <f ca="1">IFERROR(VLOOKUP($A372,bat!$F:$G,2,FALSE),"")</f>
        <v/>
      </c>
      <c r="E372" t="str">
        <f ca="1">IFERROR(VLOOKUP($A372,shell!$F:$G,2,FALSE),"")</f>
        <v/>
      </c>
      <c r="F372" t="str">
        <f t="shared" ca="1" si="48"/>
        <v>関数定義(可変長引数)</v>
      </c>
      <c r="G372">
        <f ca="1">IF($F372="","",COUNTIF($F$3:$F372,$F372))</f>
        <v>1</v>
      </c>
      <c r="H372">
        <f ca="1">IF(OR(G372&gt;1,G372=""),"",COUNTIF($G$3:$G372,1))</f>
        <v>361</v>
      </c>
      <c r="I372" t="str">
        <f t="shared" ca="1" si="49"/>
        <v>関数定義(可変長引数)</v>
      </c>
      <c r="K372">
        <f t="shared" si="53"/>
        <v>369</v>
      </c>
      <c r="L372" t="str">
        <f t="shared" ca="1" si="45"/>
        <v>分岐 何もしない処理</v>
      </c>
      <c r="M372" s="2" t="str">
        <f t="shared" ca="1" si="46"/>
        <v/>
      </c>
      <c r="N372" s="2" t="str">
        <f t="shared" ca="1" si="47"/>
        <v>○</v>
      </c>
      <c r="O372" s="2" t="str">
        <f t="shared" ca="1" si="50"/>
        <v/>
      </c>
      <c r="P372" s="2" t="str">
        <f t="shared" ca="1" si="51"/>
        <v/>
      </c>
    </row>
    <row r="373" spans="1:16">
      <c r="A373">
        <f t="shared" si="52"/>
        <v>370</v>
      </c>
      <c r="B373" t="str">
        <f ca="1">IFERROR(VLOOKUP($A373,'vbs,vba'!$G:$H,2,FALSE),"")</f>
        <v/>
      </c>
      <c r="C373" t="str">
        <f ca="1">IFERROR(VLOOKUP($A373,python!$I:$J,2,FALSE),"")</f>
        <v>関数定義(可変長キーワード引数)</v>
      </c>
      <c r="D373" t="str">
        <f ca="1">IFERROR(VLOOKUP($A373,bat!$F:$G,2,FALSE),"")</f>
        <v/>
      </c>
      <c r="E373" t="str">
        <f ca="1">IFERROR(VLOOKUP($A373,shell!$F:$G,2,FALSE),"")</f>
        <v/>
      </c>
      <c r="F373" t="str">
        <f t="shared" ca="1" si="48"/>
        <v>関数定義(可変長キーワード引数)</v>
      </c>
      <c r="G373">
        <f ca="1">IF($F373="","",COUNTIF($F$3:$F373,$F373))</f>
        <v>1</v>
      </c>
      <c r="H373">
        <f ca="1">IF(OR(G373&gt;1,G373=""),"",COUNTIF($G$3:$G373,1))</f>
        <v>362</v>
      </c>
      <c r="I373" t="str">
        <f t="shared" ca="1" si="49"/>
        <v>関数定義(可変長キーワード引数)</v>
      </c>
      <c r="K373">
        <f t="shared" si="53"/>
        <v>370</v>
      </c>
      <c r="L373" t="str">
        <f t="shared" ca="1" si="45"/>
        <v>繰返し for</v>
      </c>
      <c r="M373" s="2" t="str">
        <f t="shared" ca="1" si="46"/>
        <v>○</v>
      </c>
      <c r="N373" s="2" t="str">
        <f t="shared" ca="1" si="47"/>
        <v>○</v>
      </c>
      <c r="O373" s="2" t="str">
        <f t="shared" ca="1" si="50"/>
        <v/>
      </c>
      <c r="P373" s="2" t="str">
        <f t="shared" ca="1" si="51"/>
        <v/>
      </c>
    </row>
    <row r="374" spans="1:16">
      <c r="A374">
        <f t="shared" si="52"/>
        <v>371</v>
      </c>
      <c r="B374" t="str">
        <f ca="1">IFERROR(VLOOKUP($A374,'vbs,vba'!$G:$H,2,FALSE),"")</f>
        <v/>
      </c>
      <c r="C374" t="str">
        <f ca="1">IFERROR(VLOOKUP($A374,python!$I:$J,2,FALSE),"")</f>
        <v>lambda関数定義</v>
      </c>
      <c r="D374" t="str">
        <f ca="1">IFERROR(VLOOKUP($A374,bat!$F:$G,2,FALSE),"")</f>
        <v/>
      </c>
      <c r="E374" t="str">
        <f ca="1">IFERROR(VLOOKUP($A374,shell!$F:$G,2,FALSE),"")</f>
        <v/>
      </c>
      <c r="F374" t="str">
        <f t="shared" ca="1" si="48"/>
        <v>lambda関数定義</v>
      </c>
      <c r="G374">
        <f ca="1">IF($F374="","",COUNTIF($F$3:$F374,$F374))</f>
        <v>1</v>
      </c>
      <c r="H374">
        <f ca="1">IF(OR(G374&gt;1,G374=""),"",COUNTIF($G$3:$G374,1))</f>
        <v>363</v>
      </c>
      <c r="I374" t="str">
        <f t="shared" ca="1" si="49"/>
        <v>lambda関数定義</v>
      </c>
      <c r="K374">
        <f t="shared" si="53"/>
        <v>371</v>
      </c>
      <c r="L374" t="str">
        <f t="shared" ca="1" si="45"/>
        <v>繰返し for each</v>
      </c>
      <c r="M374" s="2" t="str">
        <f t="shared" ca="1" si="46"/>
        <v>○</v>
      </c>
      <c r="N374" s="2" t="str">
        <f t="shared" ca="1" si="47"/>
        <v>○</v>
      </c>
      <c r="O374" s="2" t="str">
        <f t="shared" ca="1" si="50"/>
        <v/>
      </c>
      <c r="P374" s="2" t="str">
        <f t="shared" ca="1" si="51"/>
        <v/>
      </c>
    </row>
    <row r="375" spans="1:16">
      <c r="A375">
        <f t="shared" si="52"/>
        <v>372</v>
      </c>
      <c r="B375" t="str">
        <f ca="1">IFERROR(VLOOKUP($A375,'vbs,vba'!$G:$H,2,FALSE),"")</f>
        <v/>
      </c>
      <c r="C375" t="str">
        <f ca="1">IFERROR(VLOOKUP($A375,python!$I:$J,2,FALSE),"")</f>
        <v>コメント</v>
      </c>
      <c r="D375" t="str">
        <f ca="1">IFERROR(VLOOKUP($A375,bat!$F:$G,2,FALSE),"")</f>
        <v/>
      </c>
      <c r="E375" t="str">
        <f ca="1">IFERROR(VLOOKUP($A375,shell!$F:$G,2,FALSE),"")</f>
        <v/>
      </c>
      <c r="F375" t="str">
        <f t="shared" ca="1" si="48"/>
        <v>コメント</v>
      </c>
      <c r="G375">
        <f ca="1">IF($F375="","",COUNTIF($F$3:$F375,$F375))</f>
        <v>1</v>
      </c>
      <c r="H375">
        <f ca="1">IF(OR(G375&gt;1,G375=""),"",COUNTIF($G$3:$G375,1))</f>
        <v>364</v>
      </c>
      <c r="I375" t="str">
        <f t="shared" ca="1" si="49"/>
        <v>コメント</v>
      </c>
      <c r="K375">
        <f t="shared" si="53"/>
        <v>372</v>
      </c>
      <c r="L375" t="str">
        <f t="shared" ca="1" si="45"/>
        <v>繰返し while</v>
      </c>
      <c r="M375" s="2" t="str">
        <f t="shared" ca="1" si="46"/>
        <v>○</v>
      </c>
      <c r="N375" s="2" t="str">
        <f t="shared" ca="1" si="47"/>
        <v>○</v>
      </c>
      <c r="O375" s="2" t="str">
        <f t="shared" ca="1" si="50"/>
        <v/>
      </c>
      <c r="P375" s="2" t="str">
        <f t="shared" ca="1" si="51"/>
        <v/>
      </c>
    </row>
    <row r="376" spans="1:16">
      <c r="A376">
        <f t="shared" si="52"/>
        <v>373</v>
      </c>
      <c r="B376" t="str">
        <f ca="1">IFERROR(VLOOKUP($A376,'vbs,vba'!$G:$H,2,FALSE),"")</f>
        <v/>
      </c>
      <c r="C376" t="str">
        <f ca="1">IFERROR(VLOOKUP($A376,python!$I:$J,2,FALSE),"")</f>
        <v>文中の改行</v>
      </c>
      <c r="D376" t="str">
        <f ca="1">IFERROR(VLOOKUP($A376,bat!$F:$G,2,FALSE),"")</f>
        <v/>
      </c>
      <c r="E376" t="str">
        <f ca="1">IFERROR(VLOOKUP($A376,shell!$F:$G,2,FALSE),"")</f>
        <v/>
      </c>
      <c r="F376" t="str">
        <f t="shared" ca="1" si="48"/>
        <v>文中の改行</v>
      </c>
      <c r="G376">
        <f ca="1">IF($F376="","",COUNTIF($F$3:$F376,$F376))</f>
        <v>1</v>
      </c>
      <c r="H376">
        <f ca="1">IF(OR(G376&gt;1,G376=""),"",COUNTIF($G$3:$G376,1))</f>
        <v>365</v>
      </c>
      <c r="I376" t="str">
        <f t="shared" ca="1" si="49"/>
        <v>文中の改行</v>
      </c>
      <c r="K376">
        <f t="shared" si="53"/>
        <v>373</v>
      </c>
      <c r="L376" t="str">
        <f t="shared" ca="1" si="45"/>
        <v>繰返し do while</v>
      </c>
      <c r="M376" s="2" t="str">
        <f t="shared" ca="1" si="46"/>
        <v>○</v>
      </c>
      <c r="N376" s="2" t="str">
        <f t="shared" ca="1" si="47"/>
        <v>○</v>
      </c>
      <c r="O376" s="2" t="str">
        <f t="shared" ca="1" si="50"/>
        <v/>
      </c>
      <c r="P376" s="2" t="str">
        <f t="shared" ca="1" si="51"/>
        <v/>
      </c>
    </row>
    <row r="377" spans="1:16">
      <c r="A377">
        <f t="shared" si="52"/>
        <v>374</v>
      </c>
      <c r="B377" t="str">
        <f ca="1">IFERROR(VLOOKUP($A377,'vbs,vba'!$G:$H,2,FALSE),"")</f>
        <v/>
      </c>
      <c r="C377" t="str">
        <f ca="1">IFERROR(VLOOKUP($A377,python!$I:$J,2,FALSE),"")</f>
        <v>分岐 if</v>
      </c>
      <c r="D377" t="str">
        <f ca="1">IFERROR(VLOOKUP($A377,bat!$F:$G,2,FALSE),"")</f>
        <v/>
      </c>
      <c r="E377" t="str">
        <f ca="1">IFERROR(VLOOKUP($A377,shell!$F:$G,2,FALSE),"")</f>
        <v/>
      </c>
      <c r="F377" t="str">
        <f t="shared" ca="1" si="48"/>
        <v>分岐 if</v>
      </c>
      <c r="G377">
        <f ca="1">IF($F377="","",COUNTIF($F$3:$F377,$F377))</f>
        <v>1</v>
      </c>
      <c r="H377">
        <f ca="1">IF(OR(G377&gt;1,G377=""),"",COUNTIF($G$3:$G377,1))</f>
        <v>366</v>
      </c>
      <c r="I377" t="str">
        <f t="shared" ca="1" si="49"/>
        <v>分岐 if</v>
      </c>
      <c r="K377">
        <f t="shared" si="53"/>
        <v>374</v>
      </c>
      <c r="L377" t="str">
        <f t="shared" ca="1" si="45"/>
        <v>繰返し do until</v>
      </c>
      <c r="M377" s="2" t="str">
        <f t="shared" ca="1" si="46"/>
        <v>○</v>
      </c>
      <c r="N377" s="2" t="str">
        <f t="shared" ca="1" si="47"/>
        <v>○</v>
      </c>
      <c r="O377" s="2" t="str">
        <f t="shared" ca="1" si="50"/>
        <v/>
      </c>
      <c r="P377" s="2" t="str">
        <f t="shared" ca="1" si="51"/>
        <v/>
      </c>
    </row>
    <row r="378" spans="1:16">
      <c r="A378">
        <f t="shared" si="52"/>
        <v>375</v>
      </c>
      <c r="B378" t="str">
        <f ca="1">IFERROR(VLOOKUP($A378,'vbs,vba'!$G:$H,2,FALSE),"")</f>
        <v/>
      </c>
      <c r="C378" t="str">
        <f ca="1">IFERROR(VLOOKUP($A378,python!$I:$J,2,FALSE),"")</f>
        <v>分岐 if（空オブジェクト確認）</v>
      </c>
      <c r="D378" t="str">
        <f ca="1">IFERROR(VLOOKUP($A378,bat!$F:$G,2,FALSE),"")</f>
        <v/>
      </c>
      <c r="E378" t="str">
        <f ca="1">IFERROR(VLOOKUP($A378,shell!$F:$G,2,FALSE),"")</f>
        <v/>
      </c>
      <c r="F378" t="str">
        <f t="shared" ca="1" si="48"/>
        <v>分岐 if（空オブジェクト確認）</v>
      </c>
      <c r="G378">
        <f ca="1">IF($F378="","",COUNTIF($F$3:$F378,$F378))</f>
        <v>1</v>
      </c>
      <c r="H378">
        <f ca="1">IF(OR(G378&gt;1,G378=""),"",COUNTIF($G$3:$G378,1))</f>
        <v>367</v>
      </c>
      <c r="I378" t="str">
        <f t="shared" ca="1" si="49"/>
        <v>分岐 if（空オブジェクト確認）</v>
      </c>
      <c r="K378">
        <f t="shared" si="53"/>
        <v>375</v>
      </c>
      <c r="L378" t="str">
        <f t="shared" ca="1" si="45"/>
        <v>繰返し continue</v>
      </c>
      <c r="M378" s="2" t="str">
        <f t="shared" ca="1" si="46"/>
        <v/>
      </c>
      <c r="N378" s="2" t="str">
        <f t="shared" ca="1" si="47"/>
        <v>○</v>
      </c>
      <c r="O378" s="2" t="str">
        <f t="shared" ca="1" si="50"/>
        <v/>
      </c>
      <c r="P378" s="2" t="str">
        <f t="shared" ca="1" si="51"/>
        <v/>
      </c>
    </row>
    <row r="379" spans="1:16">
      <c r="A379">
        <f t="shared" si="52"/>
        <v>376</v>
      </c>
      <c r="B379" t="str">
        <f ca="1">IFERROR(VLOOKUP($A379,'vbs,vba'!$G:$H,2,FALSE),"")</f>
        <v/>
      </c>
      <c r="C379" t="str">
        <f ca="1">IFERROR(VLOOKUP($A379,python!$I:$J,2,FALSE),"")</f>
        <v>分岐 switch</v>
      </c>
      <c r="D379" t="str">
        <f ca="1">IFERROR(VLOOKUP($A379,bat!$F:$G,2,FALSE),"")</f>
        <v/>
      </c>
      <c r="E379" t="str">
        <f ca="1">IFERROR(VLOOKUP($A379,shell!$F:$G,2,FALSE),"")</f>
        <v/>
      </c>
      <c r="F379" t="str">
        <f t="shared" ca="1" si="48"/>
        <v>分岐 switch</v>
      </c>
      <c r="G379">
        <f ca="1">IF($F379="","",COUNTIF($F$3:$F379,$F379))</f>
        <v>1</v>
      </c>
      <c r="H379">
        <f ca="1">IF(OR(G379&gt;1,G379=""),"",COUNTIF($G$3:$G379,1))</f>
        <v>368</v>
      </c>
      <c r="I379" t="str">
        <f t="shared" ca="1" si="49"/>
        <v>分岐 switch</v>
      </c>
      <c r="K379">
        <f t="shared" si="53"/>
        <v>376</v>
      </c>
      <c r="L379" t="str">
        <f t="shared" ca="1" si="45"/>
        <v>ブロック脱出（Sub/Function/For/Do）</v>
      </c>
      <c r="M379" s="2" t="str">
        <f t="shared" ca="1" si="46"/>
        <v>○</v>
      </c>
      <c r="N379" s="2" t="str">
        <f t="shared" ca="1" si="47"/>
        <v>○</v>
      </c>
      <c r="O379" s="2" t="str">
        <f t="shared" ca="1" si="50"/>
        <v/>
      </c>
      <c r="P379" s="2" t="str">
        <f t="shared" ca="1" si="51"/>
        <v/>
      </c>
    </row>
    <row r="380" spans="1:16">
      <c r="A380">
        <f t="shared" si="52"/>
        <v>377</v>
      </c>
      <c r="B380" t="str">
        <f ca="1">IFERROR(VLOOKUP($A380,'vbs,vba'!$G:$H,2,FALSE),"")</f>
        <v/>
      </c>
      <c r="C380" t="str">
        <f ca="1">IFERROR(VLOOKUP($A380,python!$I:$J,2,FALSE),"")</f>
        <v>分岐 何もしない処理</v>
      </c>
      <c r="D380" t="str">
        <f ca="1">IFERROR(VLOOKUP($A380,bat!$F:$G,2,FALSE),"")</f>
        <v/>
      </c>
      <c r="E380" t="str">
        <f ca="1">IFERROR(VLOOKUP($A380,shell!$F:$G,2,FALSE),"")</f>
        <v/>
      </c>
      <c r="F380" t="str">
        <f t="shared" ca="1" si="48"/>
        <v>分岐 何もしない処理</v>
      </c>
      <c r="G380">
        <f ca="1">IF($F380="","",COUNTIF($F$3:$F380,$F380))</f>
        <v>1</v>
      </c>
      <c r="H380">
        <f ca="1">IF(OR(G380&gt;1,G380=""),"",COUNTIF($G$3:$G380,1))</f>
        <v>369</v>
      </c>
      <c r="I380" t="str">
        <f t="shared" ca="1" si="49"/>
        <v>分岐 何もしない処理</v>
      </c>
      <c r="K380">
        <f t="shared" si="53"/>
        <v>377</v>
      </c>
      <c r="L380" t="str">
        <f t="shared" ca="1" si="45"/>
        <v>入力（数値入力のみ）</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IFERROR(VLOOKUP($A381,python!$I:$J,2,FALSE),"")</f>
        <v>繰返し for</v>
      </c>
      <c r="D381" t="str">
        <f ca="1">IFERROR(VLOOKUP($A381,bat!$F:$G,2,FALSE),"")</f>
        <v/>
      </c>
      <c r="E381" t="str">
        <f ca="1">IFERROR(VLOOKUP($A381,shell!$F:$G,2,FALSE),"")</f>
        <v/>
      </c>
      <c r="F381" t="str">
        <f t="shared" ca="1" si="48"/>
        <v>繰返し for</v>
      </c>
      <c r="G381">
        <f ca="1">IF($F381="","",COUNTIF($F$3:$F381,$F381))</f>
        <v>1</v>
      </c>
      <c r="H381">
        <f ca="1">IF(OR(G381&gt;1,G381=""),"",COUNTIF($G$3:$G381,1))</f>
        <v>370</v>
      </c>
      <c r="I381" t="str">
        <f t="shared" ca="1" si="49"/>
        <v>繰返し for</v>
      </c>
      <c r="K381">
        <f t="shared" si="53"/>
        <v>378</v>
      </c>
      <c r="L381" t="str">
        <f t="shared" ca="1" si="45"/>
        <v>入力（数値/文字列入力）</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IFERROR(VLOOKUP($A382,python!$I:$J,2,FALSE),"")</f>
        <v>繰返し for</v>
      </c>
      <c r="D382" t="str">
        <f ca="1">IFERROR(VLOOKUP($A382,bat!$F:$G,2,FALSE),"")</f>
        <v/>
      </c>
      <c r="E382" t="str">
        <f ca="1">IFERROR(VLOOKUP($A382,shell!$F:$G,2,FALSE),"")</f>
        <v/>
      </c>
      <c r="F382" t="str">
        <f t="shared" ca="1" si="48"/>
        <v>繰返し for</v>
      </c>
      <c r="G382">
        <f ca="1">IF($F382="","",COUNTIF($F$3:$F382,$F382))</f>
        <v>2</v>
      </c>
      <c r="H382" t="str">
        <f ca="1">IF(OR(G382&gt;1,G382=""),"",COUNTIF($G$3:$G382,1))</f>
        <v/>
      </c>
      <c r="I382" t="str">
        <f t="shared" ca="1" si="49"/>
        <v>繰返し for</v>
      </c>
      <c r="K382">
        <f t="shared" si="53"/>
        <v>379</v>
      </c>
      <c r="L382" t="str">
        <f t="shared" ca="1" si="45"/>
        <v>出力（改行付与）</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IFERROR(VLOOKUP($A383,python!$I:$J,2,FALSE),"")</f>
        <v>繰返し for</v>
      </c>
      <c r="D383" t="str">
        <f ca="1">IFERROR(VLOOKUP($A383,bat!$F:$G,2,FALSE),"")</f>
        <v/>
      </c>
      <c r="E383" t="str">
        <f ca="1">IFERROR(VLOOKUP($A383,shell!$F:$G,2,FALSE),"")</f>
        <v/>
      </c>
      <c r="F383" t="str">
        <f t="shared" ca="1" si="48"/>
        <v>繰返し for</v>
      </c>
      <c r="G383">
        <f ca="1">IF($F383="","",COUNTIF($F$3:$F383,$F383))</f>
        <v>3</v>
      </c>
      <c r="H383" t="str">
        <f ca="1">IF(OR(G383&gt;1,G383=""),"",COUNTIF($G$3:$G383,1))</f>
        <v/>
      </c>
      <c r="I383" t="str">
        <f t="shared" ca="1" si="49"/>
        <v>繰返し for</v>
      </c>
      <c r="K383">
        <f t="shared" si="53"/>
        <v>380</v>
      </c>
      <c r="L383" t="str">
        <f t="shared" ca="1" si="45"/>
        <v>出力（改行付与なし）</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IFERROR(VLOOKUP($A384,python!$I:$J,2,FALSE),"")</f>
        <v>繰返し for</v>
      </c>
      <c r="D384" t="str">
        <f ca="1">IFERROR(VLOOKUP($A384,bat!$F:$G,2,FALSE),"")</f>
        <v/>
      </c>
      <c r="E384" t="str">
        <f ca="1">IFERROR(VLOOKUP($A384,shell!$F:$G,2,FALSE),"")</f>
        <v/>
      </c>
      <c r="F384" t="str">
        <f t="shared" ca="1" si="48"/>
        <v>繰返し for</v>
      </c>
      <c r="G384">
        <f ca="1">IF($F384="","",COUNTIF($F$3:$F384,$F384))</f>
        <v>4</v>
      </c>
      <c r="H384" t="str">
        <f ca="1">IF(OR(G384&gt;1,G384=""),"",COUNTIF($G$3:$G384,1))</f>
        <v/>
      </c>
      <c r="I384" t="str">
        <f t="shared" ca="1" si="49"/>
        <v>繰返し for</v>
      </c>
      <c r="K384">
        <f t="shared" si="53"/>
        <v>381</v>
      </c>
      <c r="L384" t="str">
        <f t="shared" ca="1" si="45"/>
        <v>出力（printf形式）</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IFERROR(VLOOKUP($A385,python!$I:$J,2,FALSE),"")</f>
        <v>繰返し for each</v>
      </c>
      <c r="D385" t="str">
        <f ca="1">IFERROR(VLOOKUP($A385,bat!$F:$G,2,FALSE),"")</f>
        <v/>
      </c>
      <c r="E385" t="str">
        <f ca="1">IFERROR(VLOOKUP($A385,shell!$F:$G,2,FALSE),"")</f>
        <v/>
      </c>
      <c r="F385" t="str">
        <f t="shared" ca="1" si="48"/>
        <v>繰返し for each</v>
      </c>
      <c r="G385">
        <f ca="1">IF($F385="","",COUNTIF($F$3:$F385,$F385))</f>
        <v>1</v>
      </c>
      <c r="H385">
        <f ca="1">IF(OR(G385&gt;1,G385=""),"",COUNTIF($G$3:$G385,1))</f>
        <v>371</v>
      </c>
      <c r="I385" t="str">
        <f t="shared" ca="1" si="49"/>
        <v>繰返し for each</v>
      </c>
      <c r="K385">
        <f t="shared" si="53"/>
        <v>382</v>
      </c>
      <c r="L385" t="str">
        <f t="shared" ca="1" si="45"/>
        <v>処理継続チェック(アサート)</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IFERROR(VLOOKUP($A386,python!$I:$J,2,FALSE),"")</f>
        <v>繰返し while</v>
      </c>
      <c r="D386" t="str">
        <f ca="1">IFERROR(VLOOKUP($A386,bat!$F:$G,2,FALSE),"")</f>
        <v/>
      </c>
      <c r="E386" t="str">
        <f ca="1">IFERROR(VLOOKUP($A386,shell!$F:$G,2,FALSE),"")</f>
        <v/>
      </c>
      <c r="F386" t="str">
        <f t="shared" ca="1" si="48"/>
        <v>繰返し while</v>
      </c>
      <c r="G386">
        <f ca="1">IF($F386="","",COUNTIF($F$3:$F386,$F386))</f>
        <v>1</v>
      </c>
      <c r="H386">
        <f ca="1">IF(OR(G386&gt;1,G386=""),"",COUNTIF($G$3:$G386,1))</f>
        <v>372</v>
      </c>
      <c r="I386" t="str">
        <f t="shared" ca="1" si="49"/>
        <v>繰返し while</v>
      </c>
      <c r="K386">
        <f t="shared" si="53"/>
        <v>383</v>
      </c>
      <c r="L386" t="str">
        <f t="shared" ca="1" si="45"/>
        <v>クラス 定義</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IFERROR(VLOOKUP($A387,python!$I:$J,2,FALSE),"")</f>
        <v>繰返し do while</v>
      </c>
      <c r="D387" t="str">
        <f ca="1">IFERROR(VLOOKUP($A387,bat!$F:$G,2,FALSE),"")</f>
        <v/>
      </c>
      <c r="E387" t="str">
        <f ca="1">IFERROR(VLOOKUP($A387,shell!$F:$G,2,FALSE),"")</f>
        <v/>
      </c>
      <c r="F387" t="str">
        <f t="shared" ca="1" si="48"/>
        <v>繰返し do while</v>
      </c>
      <c r="G387">
        <f ca="1">IF($F387="","",COUNTIF($F$3:$F387,$F387))</f>
        <v>1</v>
      </c>
      <c r="H387">
        <f ca="1">IF(OR(G387&gt;1,G387=""),"",COUNTIF($G$3:$G387,1))</f>
        <v>373</v>
      </c>
      <c r="I387" t="str">
        <f t="shared" ca="1" si="49"/>
        <v>繰返し do while</v>
      </c>
      <c r="K387">
        <f t="shared" si="53"/>
        <v>384</v>
      </c>
      <c r="L387" t="str">
        <f t="shared" ca="1" si="45"/>
        <v>クラス インスタンス生成</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IFERROR(VLOOKUP($A388,python!$I:$J,2,FALSE),"")</f>
        <v>繰返し do until</v>
      </c>
      <c r="D388" t="str">
        <f ca="1">IFERROR(VLOOKUP($A388,bat!$F:$G,2,FALSE),"")</f>
        <v/>
      </c>
      <c r="E388" t="str">
        <f ca="1">IFERROR(VLOOKUP($A388,shell!$F:$G,2,FALSE),"")</f>
        <v/>
      </c>
      <c r="F388" t="str">
        <f t="shared" ca="1" si="48"/>
        <v>繰返し do until</v>
      </c>
      <c r="G388">
        <f ca="1">IF($F388="","",COUNTIF($F$3:$F388,$F388))</f>
        <v>1</v>
      </c>
      <c r="H388">
        <f ca="1">IF(OR(G388&gt;1,G388=""),"",COUNTIF($G$3:$G388,1))</f>
        <v>374</v>
      </c>
      <c r="I388" t="str">
        <f t="shared" ca="1" si="49"/>
        <v>繰返し do until</v>
      </c>
      <c r="K388">
        <f t="shared" si="53"/>
        <v>385</v>
      </c>
      <c r="L388" t="str">
        <f t="shared" ref="L388:L451" ca="1" si="54">IFERROR(VLOOKUP($K388,$H:$I,2,FALSE),"")</f>
        <v>クラス インスタンス破棄</v>
      </c>
      <c r="M388" s="2" t="str">
        <f t="shared" ref="M388:M451" ca="1" si="55">IF($L388="","",IF(COUNTIF(B$3:B$1004,$L388)&gt;0,"○",""))</f>
        <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IFERROR(VLOOKUP($A389,python!$I:$J,2,FALSE),"")</f>
        <v>繰返し continue</v>
      </c>
      <c r="D389" t="str">
        <f ca="1">IFERROR(VLOOKUP($A389,bat!$F:$G,2,FALSE),"")</f>
        <v/>
      </c>
      <c r="E389" t="str">
        <f ca="1">IFERROR(VLOOKUP($A389,shell!$F:$G,2,FALSE),"")</f>
        <v/>
      </c>
      <c r="F389" t="str">
        <f t="shared" ref="F389:F452" ca="1" si="57">B389&amp;C389&amp;D389&amp;E389</f>
        <v>繰返し continue</v>
      </c>
      <c r="G389">
        <f ca="1">IF($F389="","",COUNTIF($F$3:$F389,$F389))</f>
        <v>1</v>
      </c>
      <c r="H389">
        <f ca="1">IF(OR(G389&gt;1,G389=""),"",COUNTIF($G$3:$G389,1))</f>
        <v>375</v>
      </c>
      <c r="I389" t="str">
        <f t="shared" ref="I389:I452" ca="1" si="58">F389</f>
        <v>繰返し continue</v>
      </c>
      <c r="K389">
        <f t="shared" si="53"/>
        <v>386</v>
      </c>
      <c r="L389" t="str">
        <f t="shared" ca="1" si="54"/>
        <v>一時停止</v>
      </c>
      <c r="M389" s="2" t="str">
        <f t="shared" ca="1" si="55"/>
        <v>○</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IFERROR(VLOOKUP($A390,python!$I:$J,2,FALSE),"")</f>
        <v>ブロック脱出（Sub/Function/For/Do）</v>
      </c>
      <c r="D390" t="str">
        <f ca="1">IFERROR(VLOOKUP($A390,bat!$F:$G,2,FALSE),"")</f>
        <v/>
      </c>
      <c r="E390" t="str">
        <f ca="1">IFERROR(VLOOKUP($A390,shell!$F:$G,2,FALSE),"")</f>
        <v/>
      </c>
      <c r="F390" t="str">
        <f t="shared" ca="1" si="57"/>
        <v>ブロック脱出（Sub/Function/For/Do）</v>
      </c>
      <c r="G390">
        <f ca="1">IF($F390="","",COUNTIF($F$3:$F390,$F390))</f>
        <v>1</v>
      </c>
      <c r="H390">
        <f ca="1">IF(OR(G390&gt;1,G390=""),"",COUNTIF($G$3:$G390,1))</f>
        <v>376</v>
      </c>
      <c r="I390" t="str">
        <f t="shared" ca="1" si="58"/>
        <v>ブロック脱出（Sub/Function/For/Do）</v>
      </c>
      <c r="K390">
        <f t="shared" ref="K390:K453" si="62">K389+1</f>
        <v>387</v>
      </c>
      <c r="L390" t="str">
        <f t="shared" ca="1" si="54"/>
        <v>エンコード宣言(文字コード)</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IFERROR(VLOOKUP($A391,python!$I:$J,2,FALSE),"")</f>
        <v>入力（数値入力のみ）</v>
      </c>
      <c r="D391" t="str">
        <f ca="1">IFERROR(VLOOKUP($A391,bat!$F:$G,2,FALSE),"")</f>
        <v/>
      </c>
      <c r="E391" t="str">
        <f ca="1">IFERROR(VLOOKUP($A391,shell!$F:$G,2,FALSE),"")</f>
        <v/>
      </c>
      <c r="F391" t="str">
        <f t="shared" ca="1" si="57"/>
        <v>入力（数値入力のみ）</v>
      </c>
      <c r="G391">
        <f ca="1">IF($F391="","",COUNTIF($F$3:$F391,$F391))</f>
        <v>1</v>
      </c>
      <c r="H391">
        <f ca="1">IF(OR(G391&gt;1,G391=""),"",COUNTIF($G$3:$G391,1))</f>
        <v>377</v>
      </c>
      <c r="I391" t="str">
        <f t="shared" ca="1" si="58"/>
        <v>入力（数値入力のみ）</v>
      </c>
      <c r="K391">
        <f t="shared" si="62"/>
        <v>388</v>
      </c>
      <c r="L391" t="str">
        <f t="shared" ca="1" si="54"/>
        <v>インタプリタパス指定</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IFERROR(VLOOKUP($A392,python!$I:$J,2,FALSE),"")</f>
        <v>入力（数値/文字列入力）</v>
      </c>
      <c r="D392" t="str">
        <f ca="1">IFERROR(VLOOKUP($A392,bat!$F:$G,2,FALSE),"")</f>
        <v/>
      </c>
      <c r="E392" t="str">
        <f ca="1">IFERROR(VLOOKUP($A392,shell!$F:$G,2,FALSE),"")</f>
        <v/>
      </c>
      <c r="F392" t="str">
        <f t="shared" ca="1" si="57"/>
        <v>入力（数値/文字列入力）</v>
      </c>
      <c r="G392">
        <f ca="1">IF($F392="","",COUNTIF($F$3:$F392,$F392))</f>
        <v>1</v>
      </c>
      <c r="H392">
        <f ca="1">IF(OR(G392&gt;1,G392=""),"",COUNTIF($G$3:$G392,1))</f>
        <v>378</v>
      </c>
      <c r="I392" t="str">
        <f t="shared" ca="1" si="58"/>
        <v>入力（数値/文字列入力）</v>
      </c>
      <c r="K392">
        <f t="shared" si="62"/>
        <v>389</v>
      </c>
      <c r="L392" t="str">
        <f t="shared" ca="1" si="54"/>
        <v>import(モジュール)</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IFERROR(VLOOKUP($A393,python!$I:$J,2,FALSE),"")</f>
        <v>出力（改行付与）</v>
      </c>
      <c r="D393" t="str">
        <f ca="1">IFERROR(VLOOKUP($A393,bat!$F:$G,2,FALSE),"")</f>
        <v/>
      </c>
      <c r="E393" t="str">
        <f ca="1">IFERROR(VLOOKUP($A393,shell!$F:$G,2,FALSE),"")</f>
        <v/>
      </c>
      <c r="F393" t="str">
        <f t="shared" ca="1" si="57"/>
        <v>出力（改行付与）</v>
      </c>
      <c r="G393">
        <f ca="1">IF($F393="","",COUNTIF($F$3:$F393,$F393))</f>
        <v>1</v>
      </c>
      <c r="H393">
        <f ca="1">IF(OR(G393&gt;1,G393=""),"",COUNTIF($G$3:$G393,1))</f>
        <v>379</v>
      </c>
      <c r="I393" t="str">
        <f t="shared" ca="1" si="58"/>
        <v>出力（改行付与）</v>
      </c>
      <c r="K393">
        <f t="shared" si="62"/>
        <v>390</v>
      </c>
      <c r="L393" t="str">
        <f t="shared" ca="1" si="54"/>
        <v>import(関数)</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IFERROR(VLOOKUP($A394,python!$I:$J,2,FALSE),"")</f>
        <v>出力（改行付与なし）</v>
      </c>
      <c r="D394" t="str">
        <f ca="1">IFERROR(VLOOKUP($A394,bat!$F:$G,2,FALSE),"")</f>
        <v/>
      </c>
      <c r="E394" t="str">
        <f ca="1">IFERROR(VLOOKUP($A394,shell!$F:$G,2,FALSE),"")</f>
        <v/>
      </c>
      <c r="F394" t="str">
        <f t="shared" ca="1" si="57"/>
        <v>出力（改行付与なし）</v>
      </c>
      <c r="G394">
        <f ca="1">IF($F394="","",COUNTIF($F$3:$F394,$F394))</f>
        <v>1</v>
      </c>
      <c r="H394">
        <f ca="1">IF(OR(G394&gt;1,G394=""),"",COUNTIF($G$3:$G394,1))</f>
        <v>380</v>
      </c>
      <c r="I394" t="str">
        <f t="shared" ca="1" si="58"/>
        <v>出力（改行付与なし）</v>
      </c>
      <c r="K394">
        <f t="shared" si="62"/>
        <v>391</v>
      </c>
      <c r="L394" t="str">
        <f t="shared" ca="1" si="54"/>
        <v>import(構造体)</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IFERROR(VLOOKUP($A395,python!$I:$J,2,FALSE),"")</f>
        <v>出力（printf形式）</v>
      </c>
      <c r="D395" t="str">
        <f ca="1">IFERROR(VLOOKUP($A395,bat!$F:$G,2,FALSE),"")</f>
        <v/>
      </c>
      <c r="E395" t="str">
        <f ca="1">IFERROR(VLOOKUP($A395,shell!$F:$G,2,FALSE),"")</f>
        <v/>
      </c>
      <c r="F395" t="str">
        <f t="shared" ca="1" si="57"/>
        <v>出力（printf形式）</v>
      </c>
      <c r="G395">
        <f ca="1">IF($F395="","",COUNTIF($F$3:$F395,$F395))</f>
        <v>1</v>
      </c>
      <c r="H395">
        <f ca="1">IF(OR(G395&gt;1,G395=""),"",COUNTIF($G$3:$G395,1))</f>
        <v>381</v>
      </c>
      <c r="I395" t="str">
        <f t="shared" ca="1" si="58"/>
        <v>出力（printf形式）</v>
      </c>
      <c r="K395">
        <f t="shared" si="62"/>
        <v>392</v>
      </c>
      <c r="L395" t="str">
        <f t="shared" ca="1" si="54"/>
        <v>import(名前変更)</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IFERROR(VLOOKUP($A396,python!$I:$J,2,FALSE),"")</f>
        <v>処理継続チェック(アサート)</v>
      </c>
      <c r="D396" t="str">
        <f ca="1">IFERROR(VLOOKUP($A396,bat!$F:$G,2,FALSE),"")</f>
        <v/>
      </c>
      <c r="E396" t="str">
        <f ca="1">IFERROR(VLOOKUP($A396,shell!$F:$G,2,FALSE),"")</f>
        <v/>
      </c>
      <c r="F396" t="str">
        <f t="shared" ca="1" si="57"/>
        <v>処理継続チェック(アサート)</v>
      </c>
      <c r="G396">
        <f ca="1">IF($F396="","",COUNTIF($F$3:$F396,$F396))</f>
        <v>1</v>
      </c>
      <c r="H396">
        <f ca="1">IF(OR(G396&gt;1,G396=""),"",COUNTIF($G$3:$G396,1))</f>
        <v>382</v>
      </c>
      <c r="I396" t="str">
        <f t="shared" ca="1" si="58"/>
        <v>処理継続チェック(アサート)</v>
      </c>
      <c r="K396">
        <f t="shared" si="62"/>
        <v>393</v>
      </c>
      <c r="L396" t="str">
        <f t="shared" ca="1" si="54"/>
        <v>条件式 and</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IFERROR(VLOOKUP($A397,python!$I:$J,2,FALSE),"")</f>
        <v>クラス 定義</v>
      </c>
      <c r="D397" t="str">
        <f ca="1">IFERROR(VLOOKUP($A397,bat!$F:$G,2,FALSE),"")</f>
        <v/>
      </c>
      <c r="E397" t="str">
        <f ca="1">IFERROR(VLOOKUP($A397,shell!$F:$G,2,FALSE),"")</f>
        <v/>
      </c>
      <c r="F397" t="str">
        <f t="shared" ca="1" si="57"/>
        <v>クラス 定義</v>
      </c>
      <c r="G397">
        <f ca="1">IF($F397="","",COUNTIF($F$3:$F397,$F397))</f>
        <v>1</v>
      </c>
      <c r="H397">
        <f ca="1">IF(OR(G397&gt;1,G397=""),"",COUNTIF($G$3:$G397,1))</f>
        <v>383</v>
      </c>
      <c r="I397" t="str">
        <f t="shared" ca="1" si="58"/>
        <v>クラス 定義</v>
      </c>
      <c r="K397">
        <f t="shared" si="62"/>
        <v>394</v>
      </c>
      <c r="L397" t="str">
        <f t="shared" ca="1" si="54"/>
        <v>条件式 or</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IFERROR(VLOOKUP($A398,python!$I:$J,2,FALSE),"")</f>
        <v>クラス インスタンス生成</v>
      </c>
      <c r="D398" t="str">
        <f ca="1">IFERROR(VLOOKUP($A398,bat!$F:$G,2,FALSE),"")</f>
        <v/>
      </c>
      <c r="E398" t="str">
        <f ca="1">IFERROR(VLOOKUP($A398,shell!$F:$G,2,FALSE),"")</f>
        <v/>
      </c>
      <c r="F398" t="str">
        <f t="shared" ca="1" si="57"/>
        <v>クラス インスタンス生成</v>
      </c>
      <c r="G398">
        <f ca="1">IF($F398="","",COUNTIF($F$3:$F398,$F398))</f>
        <v>1</v>
      </c>
      <c r="H398">
        <f ca="1">IF(OR(G398&gt;1,G398=""),"",COUNTIF($G$3:$G398,1))</f>
        <v>384</v>
      </c>
      <c r="I398" t="str">
        <f t="shared" ca="1" si="58"/>
        <v>クラス インスタンス生成</v>
      </c>
      <c r="K398">
        <f t="shared" si="62"/>
        <v>395</v>
      </c>
      <c r="L398" t="str">
        <f t="shared" ca="1" si="54"/>
        <v>条件式 not</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IFERROR(VLOOKUP($A399,python!$I:$J,2,FALSE),"")</f>
        <v>クラス インスタンス破棄</v>
      </c>
      <c r="D399" t="str">
        <f ca="1">IFERROR(VLOOKUP($A399,bat!$F:$G,2,FALSE),"")</f>
        <v/>
      </c>
      <c r="E399" t="str">
        <f ca="1">IFERROR(VLOOKUP($A399,shell!$F:$G,2,FALSE),"")</f>
        <v/>
      </c>
      <c r="F399" t="str">
        <f t="shared" ca="1" si="57"/>
        <v>クラス インスタンス破棄</v>
      </c>
      <c r="G399">
        <f ca="1">IF($F399="","",COUNTIF($F$3:$F399,$F399))</f>
        <v>1</v>
      </c>
      <c r="H399">
        <f ca="1">IF(OR(G399&gt;1,G399=""),"",COUNTIF($G$3:$G399,1))</f>
        <v>385</v>
      </c>
      <c r="I399" t="str">
        <f t="shared" ca="1" si="58"/>
        <v>クラス インスタンス破棄</v>
      </c>
      <c r="K399">
        <f t="shared" si="62"/>
        <v>396</v>
      </c>
      <c r="L399" t="str">
        <f t="shared" ca="1" si="54"/>
        <v>四則演算（加算）</v>
      </c>
      <c r="M399" s="2" t="str">
        <f t="shared" ca="1" si="55"/>
        <v/>
      </c>
      <c r="N399" s="2" t="str">
        <f t="shared" ca="1" si="56"/>
        <v>○</v>
      </c>
      <c r="O399" s="2" t="str">
        <f t="shared" ca="1" si="59"/>
        <v/>
      </c>
      <c r="P399" s="2" t="str">
        <f t="shared" ca="1" si="60"/>
        <v/>
      </c>
    </row>
    <row r="400" spans="1:16">
      <c r="A400">
        <f t="shared" si="61"/>
        <v>397</v>
      </c>
      <c r="B400" t="str">
        <f ca="1">IFERROR(VLOOKUP($A400,'vbs,vba'!$G:$H,2,FALSE),"")</f>
        <v/>
      </c>
      <c r="C400" t="str">
        <f ca="1">IFERROR(VLOOKUP($A400,python!$I:$J,2,FALSE),"")</f>
        <v>一時停止</v>
      </c>
      <c r="D400" t="str">
        <f ca="1">IFERROR(VLOOKUP($A400,bat!$F:$G,2,FALSE),"")</f>
        <v/>
      </c>
      <c r="E400" t="str">
        <f ca="1">IFERROR(VLOOKUP($A400,shell!$F:$G,2,FALSE),"")</f>
        <v/>
      </c>
      <c r="F400" t="str">
        <f t="shared" ca="1" si="57"/>
        <v>一時停止</v>
      </c>
      <c r="G400">
        <f ca="1">IF($F400="","",COUNTIF($F$3:$F400,$F400))</f>
        <v>1</v>
      </c>
      <c r="H400">
        <f ca="1">IF(OR(G400&gt;1,G400=""),"",COUNTIF($G$3:$G400,1))</f>
        <v>386</v>
      </c>
      <c r="I400" t="str">
        <f t="shared" ca="1" si="58"/>
        <v>一時停止</v>
      </c>
      <c r="K400">
        <f t="shared" si="62"/>
        <v>397</v>
      </c>
      <c r="L400" t="str">
        <f t="shared" ca="1" si="54"/>
        <v>四則演算（減算）</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IFERROR(VLOOKUP($A401,python!$I:$J,2,FALSE),"")</f>
        <v>エンコード宣言(文字コード)</v>
      </c>
      <c r="D401" t="str">
        <f ca="1">IFERROR(VLOOKUP($A401,bat!$F:$G,2,FALSE),"")</f>
        <v/>
      </c>
      <c r="E401" t="str">
        <f ca="1">IFERROR(VLOOKUP($A401,shell!$F:$G,2,FALSE),"")</f>
        <v/>
      </c>
      <c r="F401" t="str">
        <f t="shared" ca="1" si="57"/>
        <v>エンコード宣言(文字コード)</v>
      </c>
      <c r="G401">
        <f ca="1">IF($F401="","",COUNTIF($F$3:$F401,$F401))</f>
        <v>1</v>
      </c>
      <c r="H401">
        <f ca="1">IF(OR(G401&gt;1,G401=""),"",COUNTIF($G$3:$G401,1))</f>
        <v>387</v>
      </c>
      <c r="I401" t="str">
        <f t="shared" ca="1" si="58"/>
        <v>エンコード宣言(文字コード)</v>
      </c>
      <c r="K401">
        <f t="shared" si="62"/>
        <v>398</v>
      </c>
      <c r="L401" t="str">
        <f t="shared" ca="1" si="54"/>
        <v>四則演算（乗算）</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IFERROR(VLOOKUP($A402,python!$I:$J,2,FALSE),"")</f>
        <v>インタプリタパス指定</v>
      </c>
      <c r="D402" t="str">
        <f ca="1">IFERROR(VLOOKUP($A402,bat!$F:$G,2,FALSE),"")</f>
        <v/>
      </c>
      <c r="E402" t="str">
        <f ca="1">IFERROR(VLOOKUP($A402,shell!$F:$G,2,FALSE),"")</f>
        <v/>
      </c>
      <c r="F402" t="str">
        <f t="shared" ca="1" si="57"/>
        <v>インタプリタパス指定</v>
      </c>
      <c r="G402">
        <f ca="1">IF($F402="","",COUNTIF($F$3:$F402,$F402))</f>
        <v>1</v>
      </c>
      <c r="H402">
        <f ca="1">IF(OR(G402&gt;1,G402=""),"",COUNTIF($G$3:$G402,1))</f>
        <v>388</v>
      </c>
      <c r="I402" t="str">
        <f t="shared" ca="1" si="58"/>
        <v>インタプリタパス指定</v>
      </c>
      <c r="K402">
        <f t="shared" si="62"/>
        <v>399</v>
      </c>
      <c r="L402" t="str">
        <f t="shared" ca="1" si="54"/>
        <v>四則演算（除算）</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IFERROR(VLOOKUP($A403,python!$I:$J,2,FALSE),"")</f>
        <v>import(モジュール)</v>
      </c>
      <c r="D403" t="str">
        <f ca="1">IFERROR(VLOOKUP($A403,bat!$F:$G,2,FALSE),"")</f>
        <v/>
      </c>
      <c r="E403" t="str">
        <f ca="1">IFERROR(VLOOKUP($A403,shell!$F:$G,2,FALSE),"")</f>
        <v/>
      </c>
      <c r="F403" t="str">
        <f t="shared" ca="1" si="57"/>
        <v>import(モジュール)</v>
      </c>
      <c r="G403">
        <f ca="1">IF($F403="","",COUNTIF($F$3:$F403,$F403))</f>
        <v>1</v>
      </c>
      <c r="H403">
        <f ca="1">IF(OR(G403&gt;1,G403=""),"",COUNTIF($G$3:$G403,1))</f>
        <v>389</v>
      </c>
      <c r="I403" t="str">
        <f t="shared" ca="1" si="58"/>
        <v>import(モジュール)</v>
      </c>
      <c r="K403">
        <f t="shared" si="62"/>
        <v>400</v>
      </c>
      <c r="L403" t="str">
        <f t="shared" ca="1" si="54"/>
        <v>四則演算（切り捨て除算）</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IFERROR(VLOOKUP($A404,python!$I:$J,2,FALSE),"")</f>
        <v>import(関数)</v>
      </c>
      <c r="D404" t="str">
        <f ca="1">IFERROR(VLOOKUP($A404,bat!$F:$G,2,FALSE),"")</f>
        <v/>
      </c>
      <c r="E404" t="str">
        <f ca="1">IFERROR(VLOOKUP($A404,shell!$F:$G,2,FALSE),"")</f>
        <v/>
      </c>
      <c r="F404" t="str">
        <f t="shared" ca="1" si="57"/>
        <v>import(関数)</v>
      </c>
      <c r="G404">
        <f ca="1">IF($F404="","",COUNTIF($F$3:$F404,$F404))</f>
        <v>1</v>
      </c>
      <c r="H404">
        <f ca="1">IF(OR(G404&gt;1,G404=""),"",COUNTIF($G$3:$G404,1))</f>
        <v>390</v>
      </c>
      <c r="I404" t="str">
        <f t="shared" ca="1" si="58"/>
        <v>import(関数)</v>
      </c>
      <c r="K404">
        <f t="shared" si="62"/>
        <v>401</v>
      </c>
      <c r="L404" t="str">
        <f t="shared" ca="1" si="54"/>
        <v>四則演算（余り計算）</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IFERROR(VLOOKUP($A405,python!$I:$J,2,FALSE),"")</f>
        <v>import(構造体)</v>
      </c>
      <c r="D405" t="str">
        <f ca="1">IFERROR(VLOOKUP($A405,bat!$F:$G,2,FALSE),"")</f>
        <v/>
      </c>
      <c r="E405" t="str">
        <f ca="1">IFERROR(VLOOKUP($A405,shell!$F:$G,2,FALSE),"")</f>
        <v/>
      </c>
      <c r="F405" t="str">
        <f t="shared" ca="1" si="57"/>
        <v>import(構造体)</v>
      </c>
      <c r="G405">
        <f ca="1">IF($F405="","",COUNTIF($F$3:$F405,$F405))</f>
        <v>1</v>
      </c>
      <c r="H405">
        <f ca="1">IF(OR(G405&gt;1,G405=""),"",COUNTIF($G$3:$G405,1))</f>
        <v>391</v>
      </c>
      <c r="I405" t="str">
        <f t="shared" ca="1" si="58"/>
        <v>import(構造体)</v>
      </c>
      <c r="K405">
        <f t="shared" si="62"/>
        <v>402</v>
      </c>
      <c r="L405" t="str">
        <f t="shared" ca="1" si="54"/>
        <v>四則演算（累乗=aのb乗）</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IFERROR(VLOOKUP($A406,python!$I:$J,2,FALSE),"")</f>
        <v>import(名前変更)</v>
      </c>
      <c r="D406" t="str">
        <f ca="1">IFERROR(VLOOKUP($A406,bat!$F:$G,2,FALSE),"")</f>
        <v/>
      </c>
      <c r="E406" t="str">
        <f ca="1">IFERROR(VLOOKUP($A406,shell!$F:$G,2,FALSE),"")</f>
        <v/>
      </c>
      <c r="F406" t="str">
        <f t="shared" ca="1" si="57"/>
        <v>import(名前変更)</v>
      </c>
      <c r="G406">
        <f ca="1">IF($F406="","",COUNTIF($F$3:$F406,$F406))</f>
        <v>1</v>
      </c>
      <c r="H406">
        <f ca="1">IF(OR(G406&gt;1,G406=""),"",COUNTIF($G$3:$G406,1))</f>
        <v>392</v>
      </c>
      <c r="I406" t="str">
        <f t="shared" ca="1" si="58"/>
        <v>import(名前変更)</v>
      </c>
      <c r="K406">
        <f t="shared" si="62"/>
        <v>403</v>
      </c>
      <c r="L406" t="str">
        <f t="shared" ca="1" si="54"/>
        <v>インクリメント</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IFERROR(VLOOKUP($A407,python!$I:$J,2,FALSE),"")</f>
        <v>条件式 and</v>
      </c>
      <c r="D407" t="str">
        <f ca="1">IFERROR(VLOOKUP($A407,bat!$F:$G,2,FALSE),"")</f>
        <v/>
      </c>
      <c r="E407" t="str">
        <f ca="1">IFERROR(VLOOKUP($A407,shell!$F:$G,2,FALSE),"")</f>
        <v/>
      </c>
      <c r="F407" t="str">
        <f t="shared" ca="1" si="57"/>
        <v>条件式 and</v>
      </c>
      <c r="G407">
        <f ca="1">IF($F407="","",COUNTIF($F$3:$F407,$F407))</f>
        <v>1</v>
      </c>
      <c r="H407">
        <f ca="1">IF(OR(G407&gt;1,G407=""),"",COUNTIF($G$3:$G407,1))</f>
        <v>393</v>
      </c>
      <c r="I407" t="str">
        <f t="shared" ca="1" si="58"/>
        <v>条件式 and</v>
      </c>
      <c r="K407">
        <f t="shared" si="62"/>
        <v>404</v>
      </c>
      <c r="L407" t="str">
        <f t="shared" ca="1" si="54"/>
        <v>デクリメント</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IFERROR(VLOOKUP($A408,python!$I:$J,2,FALSE),"")</f>
        <v>条件式 or</v>
      </c>
      <c r="D408" t="str">
        <f ca="1">IFERROR(VLOOKUP($A408,bat!$F:$G,2,FALSE),"")</f>
        <v/>
      </c>
      <c r="E408" t="str">
        <f ca="1">IFERROR(VLOOKUP($A408,shell!$F:$G,2,FALSE),"")</f>
        <v/>
      </c>
      <c r="F408" t="str">
        <f t="shared" ca="1" si="57"/>
        <v>条件式 or</v>
      </c>
      <c r="G408">
        <f ca="1">IF($F408="","",COUNTIF($F$3:$F408,$F408))</f>
        <v>1</v>
      </c>
      <c r="H408">
        <f ca="1">IF(OR(G408&gt;1,G408=""),"",COUNTIF($G$3:$G408,1))</f>
        <v>394</v>
      </c>
      <c r="I408" t="str">
        <f t="shared" ca="1" si="58"/>
        <v>条件式 or</v>
      </c>
      <c r="K408">
        <f t="shared" si="62"/>
        <v>405</v>
      </c>
      <c r="L408" t="str">
        <f t="shared" ca="1" si="54"/>
        <v>値スワップ</v>
      </c>
      <c r="M408" s="2" t="str">
        <f t="shared" ca="1" si="55"/>
        <v/>
      </c>
      <c r="N408" s="2" t="str">
        <f t="shared" ca="1" si="56"/>
        <v>○</v>
      </c>
      <c r="O408" s="2" t="str">
        <f t="shared" ca="1" si="59"/>
        <v/>
      </c>
      <c r="P408" s="2" t="str">
        <f t="shared" ca="1" si="60"/>
        <v/>
      </c>
    </row>
    <row r="409" spans="1:16">
      <c r="A409">
        <f t="shared" si="61"/>
        <v>406</v>
      </c>
      <c r="B409" t="str">
        <f ca="1">IFERROR(VLOOKUP($A409,'vbs,vba'!$G:$H,2,FALSE),"")</f>
        <v/>
      </c>
      <c r="C409" t="str">
        <f ca="1">IFERROR(VLOOKUP($A409,python!$I:$J,2,FALSE),"")</f>
        <v>条件式 not</v>
      </c>
      <c r="D409" t="str">
        <f ca="1">IFERROR(VLOOKUP($A409,bat!$F:$G,2,FALSE),"")</f>
        <v/>
      </c>
      <c r="E409" t="str">
        <f ca="1">IFERROR(VLOOKUP($A409,shell!$F:$G,2,FALSE),"")</f>
        <v/>
      </c>
      <c r="F409" t="str">
        <f t="shared" ca="1" si="57"/>
        <v>条件式 not</v>
      </c>
      <c r="G409">
        <f ca="1">IF($F409="","",COUNTIF($F$3:$F409,$F409))</f>
        <v>1</v>
      </c>
      <c r="H409">
        <f ca="1">IF(OR(G409&gt;1,G409=""),"",COUNTIF($G$3:$G409,1))</f>
        <v>395</v>
      </c>
      <c r="I409" t="str">
        <f t="shared" ca="1" si="58"/>
        <v>条件式 not</v>
      </c>
      <c r="K409">
        <f t="shared" si="62"/>
        <v>406</v>
      </c>
      <c r="L409" t="str">
        <f t="shared" ca="1" si="54"/>
        <v>文字列表現(単一行)</v>
      </c>
      <c r="M409" s="2" t="str">
        <f t="shared" ca="1" si="55"/>
        <v/>
      </c>
      <c r="N409" s="2" t="str">
        <f t="shared" ca="1" si="56"/>
        <v>○</v>
      </c>
      <c r="O409" s="2" t="str">
        <f t="shared" ca="1" si="59"/>
        <v/>
      </c>
      <c r="P409" s="2" t="str">
        <f t="shared" ca="1" si="60"/>
        <v/>
      </c>
    </row>
    <row r="410" spans="1:16">
      <c r="A410">
        <f t="shared" si="61"/>
        <v>407</v>
      </c>
      <c r="B410" t="str">
        <f ca="1">IFERROR(VLOOKUP($A410,'vbs,vba'!$G:$H,2,FALSE),"")</f>
        <v/>
      </c>
      <c r="C410" t="str">
        <f ca="1">IFERROR(VLOOKUP($A410,python!$I:$J,2,FALSE),"")</f>
        <v>四則演算（加算）</v>
      </c>
      <c r="D410" t="str">
        <f ca="1">IFERROR(VLOOKUP($A410,bat!$F:$G,2,FALSE),"")</f>
        <v/>
      </c>
      <c r="E410" t="str">
        <f ca="1">IFERROR(VLOOKUP($A410,shell!$F:$G,2,FALSE),"")</f>
        <v/>
      </c>
      <c r="F410" t="str">
        <f t="shared" ca="1" si="57"/>
        <v>四則演算（加算）</v>
      </c>
      <c r="G410">
        <f ca="1">IF($F410="","",COUNTIF($F$3:$F410,$F410))</f>
        <v>1</v>
      </c>
      <c r="H410">
        <f ca="1">IF(OR(G410&gt;1,G410=""),"",COUNTIF($G$3:$G410,1))</f>
        <v>396</v>
      </c>
      <c r="I410" t="str">
        <f t="shared" ca="1" si="58"/>
        <v>四則演算（加算）</v>
      </c>
      <c r="K410">
        <f t="shared" si="62"/>
        <v>407</v>
      </c>
      <c r="L410" t="str">
        <f t="shared" ca="1" si="54"/>
        <v>文字列表現(複数行)</v>
      </c>
      <c r="M410" s="2" t="str">
        <f t="shared" ca="1" si="55"/>
        <v/>
      </c>
      <c r="N410" s="2" t="str">
        <f t="shared" ca="1" si="56"/>
        <v>○</v>
      </c>
      <c r="O410" s="2" t="str">
        <f t="shared" ca="1" si="59"/>
        <v/>
      </c>
      <c r="P410" s="2" t="str">
        <f t="shared" ca="1" si="60"/>
        <v/>
      </c>
    </row>
    <row r="411" spans="1:16">
      <c r="A411">
        <f t="shared" si="61"/>
        <v>408</v>
      </c>
      <c r="B411" t="str">
        <f ca="1">IFERROR(VLOOKUP($A411,'vbs,vba'!$G:$H,2,FALSE),"")</f>
        <v/>
      </c>
      <c r="C411" t="str">
        <f ca="1">IFERROR(VLOOKUP($A411,python!$I:$J,2,FALSE),"")</f>
        <v>四則演算（減算）</v>
      </c>
      <c r="D411" t="str">
        <f ca="1">IFERROR(VLOOKUP($A411,bat!$F:$G,2,FALSE),"")</f>
        <v/>
      </c>
      <c r="E411" t="str">
        <f ca="1">IFERROR(VLOOKUP($A411,shell!$F:$G,2,FALSE),"")</f>
        <v/>
      </c>
      <c r="F411" t="str">
        <f t="shared" ca="1" si="57"/>
        <v>四則演算（減算）</v>
      </c>
      <c r="G411">
        <f ca="1">IF($F411="","",COUNTIF($F$3:$F411,$F411))</f>
        <v>1</v>
      </c>
      <c r="H411">
        <f ca="1">IF(OR(G411&gt;1,G411=""),"",COUNTIF($G$3:$G411,1))</f>
        <v>397</v>
      </c>
      <c r="I411" t="str">
        <f t="shared" ca="1" si="58"/>
        <v>四則演算（減算）</v>
      </c>
      <c r="K411">
        <f t="shared" si="62"/>
        <v>408</v>
      </c>
      <c r="L411" t="str">
        <f t="shared" ca="1" si="54"/>
        <v>文字列表現(エスケープ無視)</v>
      </c>
      <c r="M411" s="2" t="str">
        <f t="shared" ca="1" si="55"/>
        <v/>
      </c>
      <c r="N411" s="2" t="str">
        <f t="shared" ca="1" si="56"/>
        <v>○</v>
      </c>
      <c r="O411" s="2" t="str">
        <f t="shared" ca="1" si="59"/>
        <v/>
      </c>
      <c r="P411" s="2" t="str">
        <f t="shared" ca="1" si="60"/>
        <v/>
      </c>
    </row>
    <row r="412" spans="1:16">
      <c r="A412">
        <f t="shared" si="61"/>
        <v>409</v>
      </c>
      <c r="B412" t="str">
        <f ca="1">IFERROR(VLOOKUP($A412,'vbs,vba'!$G:$H,2,FALSE),"")</f>
        <v/>
      </c>
      <c r="C412" t="str">
        <f ca="1">IFERROR(VLOOKUP($A412,python!$I:$J,2,FALSE),"")</f>
        <v>四則演算（乗算）</v>
      </c>
      <c r="D412" t="str">
        <f ca="1">IFERROR(VLOOKUP($A412,bat!$F:$G,2,FALSE),"")</f>
        <v/>
      </c>
      <c r="E412" t="str">
        <f ca="1">IFERROR(VLOOKUP($A412,shell!$F:$G,2,FALSE),"")</f>
        <v/>
      </c>
      <c r="F412" t="str">
        <f t="shared" ca="1" si="57"/>
        <v>四則演算（乗算）</v>
      </c>
      <c r="G412">
        <f ca="1">IF($F412="","",COUNTIF($F$3:$F412,$F412))</f>
        <v>1</v>
      </c>
      <c r="H412">
        <f ca="1">IF(OR(G412&gt;1,G412=""),"",COUNTIF($G$3:$G412,1))</f>
        <v>398</v>
      </c>
      <c r="I412" t="str">
        <f t="shared" ca="1" si="58"/>
        <v>四則演算（乗算）</v>
      </c>
      <c r="K412">
        <f t="shared" si="62"/>
        <v>409</v>
      </c>
      <c r="L412" t="str">
        <f t="shared" ca="1" si="54"/>
        <v>文字列 置換</v>
      </c>
      <c r="M412" s="2" t="str">
        <f t="shared" ca="1" si="55"/>
        <v/>
      </c>
      <c r="N412" s="2" t="str">
        <f t="shared" ca="1" si="56"/>
        <v>○</v>
      </c>
      <c r="O412" s="2" t="str">
        <f t="shared" ca="1" si="59"/>
        <v/>
      </c>
      <c r="P412" s="2" t="str">
        <f t="shared" ca="1" si="60"/>
        <v/>
      </c>
    </row>
    <row r="413" spans="1:16">
      <c r="A413">
        <f t="shared" si="61"/>
        <v>410</v>
      </c>
      <c r="B413" t="str">
        <f ca="1">IFERROR(VLOOKUP($A413,'vbs,vba'!$G:$H,2,FALSE),"")</f>
        <v/>
      </c>
      <c r="C413" t="str">
        <f ca="1">IFERROR(VLOOKUP($A413,python!$I:$J,2,FALSE),"")</f>
        <v>四則演算（除算）</v>
      </c>
      <c r="D413" t="str">
        <f ca="1">IFERROR(VLOOKUP($A413,bat!$F:$G,2,FALSE),"")</f>
        <v/>
      </c>
      <c r="E413" t="str">
        <f ca="1">IFERROR(VLOOKUP($A413,shell!$F:$G,2,FALSE),"")</f>
        <v/>
      </c>
      <c r="F413" t="str">
        <f t="shared" ca="1" si="57"/>
        <v>四則演算（除算）</v>
      </c>
      <c r="G413">
        <f ca="1">IF($F413="","",COUNTIF($F$3:$F413,$F413))</f>
        <v>1</v>
      </c>
      <c r="H413">
        <f ca="1">IF(OR(G413&gt;1,G413=""),"",COUNTIF($G$3:$G413,1))</f>
        <v>399</v>
      </c>
      <c r="I413" t="str">
        <f t="shared" ca="1" si="58"/>
        <v>四則演算（除算）</v>
      </c>
      <c r="K413">
        <f t="shared" si="62"/>
        <v>410</v>
      </c>
      <c r="L413" t="str">
        <f t="shared" ca="1" si="54"/>
        <v>文字列 位置検索（前方）</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IFERROR(VLOOKUP($A414,python!$I:$J,2,FALSE),"")</f>
        <v>四則演算（切り捨て除算）</v>
      </c>
      <c r="D414" t="str">
        <f ca="1">IFERROR(VLOOKUP($A414,bat!$F:$G,2,FALSE),"")</f>
        <v/>
      </c>
      <c r="E414" t="str">
        <f ca="1">IFERROR(VLOOKUP($A414,shell!$F:$G,2,FALSE),"")</f>
        <v/>
      </c>
      <c r="F414" t="str">
        <f t="shared" ca="1" si="57"/>
        <v>四則演算（切り捨て除算）</v>
      </c>
      <c r="G414">
        <f ca="1">IF($F414="","",COUNTIF($F$3:$F414,$F414))</f>
        <v>1</v>
      </c>
      <c r="H414">
        <f ca="1">IF(OR(G414&gt;1,G414=""),"",COUNTIF($G$3:$G414,1))</f>
        <v>400</v>
      </c>
      <c r="I414" t="str">
        <f t="shared" ca="1" si="58"/>
        <v>四則演算（切り捨て除算）</v>
      </c>
      <c r="K414">
        <f t="shared" si="62"/>
        <v>411</v>
      </c>
      <c r="L414" t="str">
        <f t="shared" ca="1" si="54"/>
        <v>文字列 位置検索（後方）</v>
      </c>
      <c r="M414" s="2" t="str">
        <f t="shared" ca="1" si="55"/>
        <v/>
      </c>
      <c r="N414" s="2" t="str">
        <f t="shared" ca="1" si="56"/>
        <v>○</v>
      </c>
      <c r="O414" s="2" t="str">
        <f t="shared" ca="1" si="59"/>
        <v/>
      </c>
      <c r="P414" s="2" t="str">
        <f t="shared" ca="1" si="60"/>
        <v/>
      </c>
    </row>
    <row r="415" spans="1:16">
      <c r="A415">
        <f t="shared" si="61"/>
        <v>412</v>
      </c>
      <c r="B415" t="str">
        <f ca="1">IFERROR(VLOOKUP($A415,'vbs,vba'!$G:$H,2,FALSE),"")</f>
        <v/>
      </c>
      <c r="C415" t="str">
        <f ca="1">IFERROR(VLOOKUP($A415,python!$I:$J,2,FALSE),"")</f>
        <v>四則演算（余り計算）</v>
      </c>
      <c r="D415" t="str">
        <f ca="1">IFERROR(VLOOKUP($A415,bat!$F:$G,2,FALSE),"")</f>
        <v/>
      </c>
      <c r="E415" t="str">
        <f ca="1">IFERROR(VLOOKUP($A415,shell!$F:$G,2,FALSE),"")</f>
        <v/>
      </c>
      <c r="F415" t="str">
        <f t="shared" ca="1" si="57"/>
        <v>四則演算（余り計算）</v>
      </c>
      <c r="G415">
        <f ca="1">IF($F415="","",COUNTIF($F$3:$F415,$F415))</f>
        <v>1</v>
      </c>
      <c r="H415">
        <f ca="1">IF(OR(G415&gt;1,G415=""),"",COUNTIF($G$3:$G415,1))</f>
        <v>401</v>
      </c>
      <c r="I415" t="str">
        <f t="shared" ca="1" si="58"/>
        <v>四則演算（余り計算）</v>
      </c>
      <c r="K415">
        <f t="shared" si="62"/>
        <v>412</v>
      </c>
      <c r="L415" t="str">
        <f t="shared" ca="1" si="54"/>
        <v>文字列 検索</v>
      </c>
      <c r="M415" s="2" t="str">
        <f t="shared" ca="1" si="55"/>
        <v/>
      </c>
      <c r="N415" s="2" t="str">
        <f t="shared" ca="1" si="56"/>
        <v>○</v>
      </c>
      <c r="O415" s="2" t="str">
        <f t="shared" ca="1" si="59"/>
        <v/>
      </c>
      <c r="P415" s="2" t="str">
        <f t="shared" ca="1" si="60"/>
        <v/>
      </c>
    </row>
    <row r="416" spans="1:16">
      <c r="A416">
        <f t="shared" si="61"/>
        <v>413</v>
      </c>
      <c r="B416" t="str">
        <f ca="1">IFERROR(VLOOKUP($A416,'vbs,vba'!$G:$H,2,FALSE),"")</f>
        <v/>
      </c>
      <c r="C416" t="str">
        <f ca="1">IFERROR(VLOOKUP($A416,python!$I:$J,2,FALSE),"")</f>
        <v>四則演算（累乗=aのb乗）</v>
      </c>
      <c r="D416" t="str">
        <f ca="1">IFERROR(VLOOKUP($A416,bat!$F:$G,2,FALSE),"")</f>
        <v/>
      </c>
      <c r="E416" t="str">
        <f ca="1">IFERROR(VLOOKUP($A416,shell!$F:$G,2,FALSE),"")</f>
        <v/>
      </c>
      <c r="F416" t="str">
        <f t="shared" ca="1" si="57"/>
        <v>四則演算（累乗=aのb乗）</v>
      </c>
      <c r="G416">
        <f ca="1">IF($F416="","",COUNTIF($F$3:$F416,$F416))</f>
        <v>1</v>
      </c>
      <c r="H416">
        <f ca="1">IF(OR(G416&gt;1,G416=""),"",COUNTIF($G$3:$G416,1))</f>
        <v>402</v>
      </c>
      <c r="I416" t="str">
        <f t="shared" ca="1" si="58"/>
        <v>四則演算（累乗=aのb乗）</v>
      </c>
      <c r="K416">
        <f t="shared" si="62"/>
        <v>413</v>
      </c>
      <c r="L416" t="str">
        <f t="shared" ca="1" si="54"/>
        <v>文字列 検索（先頭）</v>
      </c>
      <c r="M416" s="2" t="str">
        <f t="shared" ca="1" si="55"/>
        <v/>
      </c>
      <c r="N416" s="2" t="str">
        <f t="shared" ca="1" si="56"/>
        <v>○</v>
      </c>
      <c r="O416" s="2" t="str">
        <f t="shared" ca="1" si="59"/>
        <v/>
      </c>
      <c r="P416" s="2" t="str">
        <f t="shared" ca="1" si="60"/>
        <v/>
      </c>
    </row>
    <row r="417" spans="1:16">
      <c r="A417">
        <f t="shared" si="61"/>
        <v>414</v>
      </c>
      <c r="B417" t="str">
        <f ca="1">IFERROR(VLOOKUP($A417,'vbs,vba'!$G:$H,2,FALSE),"")</f>
        <v/>
      </c>
      <c r="C417" t="str">
        <f ca="1">IFERROR(VLOOKUP($A417,python!$I:$J,2,FALSE),"")</f>
        <v>インクリメント</v>
      </c>
      <c r="D417" t="str">
        <f ca="1">IFERROR(VLOOKUP($A417,bat!$F:$G,2,FALSE),"")</f>
        <v/>
      </c>
      <c r="E417" t="str">
        <f ca="1">IFERROR(VLOOKUP($A417,shell!$F:$G,2,FALSE),"")</f>
        <v/>
      </c>
      <c r="F417" t="str">
        <f t="shared" ca="1" si="57"/>
        <v>インクリメント</v>
      </c>
      <c r="G417">
        <f ca="1">IF($F417="","",COUNTIF($F$3:$F417,$F417))</f>
        <v>1</v>
      </c>
      <c r="H417">
        <f ca="1">IF(OR(G417&gt;1,G417=""),"",COUNTIF($G$3:$G417,1))</f>
        <v>403</v>
      </c>
      <c r="I417" t="str">
        <f t="shared" ca="1" si="58"/>
        <v>インクリメント</v>
      </c>
      <c r="K417">
        <f t="shared" si="62"/>
        <v>414</v>
      </c>
      <c r="L417" t="str">
        <f t="shared" ca="1" si="54"/>
        <v>文字列 検索（末尾）</v>
      </c>
      <c r="M417" s="2" t="str">
        <f t="shared" ca="1" si="55"/>
        <v/>
      </c>
      <c r="N417" s="2" t="str">
        <f t="shared" ca="1" si="56"/>
        <v>○</v>
      </c>
      <c r="O417" s="2" t="str">
        <f t="shared" ca="1" si="59"/>
        <v/>
      </c>
      <c r="P417" s="2" t="str">
        <f t="shared" ca="1" si="60"/>
        <v/>
      </c>
    </row>
    <row r="418" spans="1:16">
      <c r="A418">
        <f t="shared" si="61"/>
        <v>415</v>
      </c>
      <c r="B418" t="str">
        <f ca="1">IFERROR(VLOOKUP($A418,'vbs,vba'!$G:$H,2,FALSE),"")</f>
        <v/>
      </c>
      <c r="C418" t="str">
        <f ca="1">IFERROR(VLOOKUP($A418,python!$I:$J,2,FALSE),"")</f>
        <v>デクリメント</v>
      </c>
      <c r="D418" t="str">
        <f ca="1">IFERROR(VLOOKUP($A418,bat!$F:$G,2,FALSE),"")</f>
        <v/>
      </c>
      <c r="E418" t="str">
        <f ca="1">IFERROR(VLOOKUP($A418,shell!$F:$G,2,FALSE),"")</f>
        <v/>
      </c>
      <c r="F418" t="str">
        <f t="shared" ca="1" si="57"/>
        <v>デクリメント</v>
      </c>
      <c r="G418">
        <f ca="1">IF($F418="","",COUNTIF($F$3:$F418,$F418))</f>
        <v>1</v>
      </c>
      <c r="H418">
        <f ca="1">IF(OR(G418&gt;1,G418=""),"",COUNTIF($G$3:$G418,1))</f>
        <v>404</v>
      </c>
      <c r="I418" t="str">
        <f t="shared" ca="1" si="58"/>
        <v>デクリメント</v>
      </c>
      <c r="K418">
        <f t="shared" si="62"/>
        <v>415</v>
      </c>
      <c r="L418" t="str">
        <f t="shared" ca="1" si="54"/>
        <v>文字列 長さ（文字数）</v>
      </c>
      <c r="M418" s="2" t="str">
        <f t="shared" ca="1" si="55"/>
        <v>○</v>
      </c>
      <c r="N418" s="2" t="str">
        <f t="shared" ca="1" si="56"/>
        <v>○</v>
      </c>
      <c r="O418" s="2" t="str">
        <f t="shared" ca="1" si="59"/>
        <v/>
      </c>
      <c r="P418" s="2" t="str">
        <f t="shared" ca="1" si="60"/>
        <v/>
      </c>
    </row>
    <row r="419" spans="1:16">
      <c r="A419">
        <f t="shared" si="61"/>
        <v>416</v>
      </c>
      <c r="B419" t="str">
        <f ca="1">IFERROR(VLOOKUP($A419,'vbs,vba'!$G:$H,2,FALSE),"")</f>
        <v/>
      </c>
      <c r="C419" t="str">
        <f ca="1">IFERROR(VLOOKUP($A419,python!$I:$J,2,FALSE),"")</f>
        <v>値スワップ</v>
      </c>
      <c r="D419" t="str">
        <f ca="1">IFERROR(VLOOKUP($A419,bat!$F:$G,2,FALSE),"")</f>
        <v/>
      </c>
      <c r="E419" t="str">
        <f ca="1">IFERROR(VLOOKUP($A419,shell!$F:$G,2,FALSE),"")</f>
        <v/>
      </c>
      <c r="F419" t="str">
        <f t="shared" ca="1" si="57"/>
        <v>値スワップ</v>
      </c>
      <c r="G419">
        <f ca="1">IF($F419="","",COUNTIF($F$3:$F419,$F419))</f>
        <v>1</v>
      </c>
      <c r="H419">
        <f ca="1">IF(OR(G419&gt;1,G419=""),"",COUNTIF($G$3:$G419,1))</f>
        <v>405</v>
      </c>
      <c r="I419" t="str">
        <f t="shared" ca="1" si="58"/>
        <v>値スワップ</v>
      </c>
      <c r="K419">
        <f t="shared" si="62"/>
        <v>416</v>
      </c>
      <c r="L419" t="str">
        <f t="shared" ca="1" si="54"/>
        <v>文字列 長さ（バイト数）</v>
      </c>
      <c r="M419" s="2" t="str">
        <f t="shared" ca="1" si="55"/>
        <v>○</v>
      </c>
      <c r="N419" s="2" t="str">
        <f t="shared" ca="1" si="56"/>
        <v>○</v>
      </c>
      <c r="O419" s="2" t="str">
        <f t="shared" ca="1" si="59"/>
        <v/>
      </c>
      <c r="P419" s="2" t="str">
        <f t="shared" ca="1" si="60"/>
        <v/>
      </c>
    </row>
    <row r="420" spans="1:16">
      <c r="A420">
        <f t="shared" si="61"/>
        <v>417</v>
      </c>
      <c r="B420" t="str">
        <f ca="1">IFERROR(VLOOKUP($A420,'vbs,vba'!$G:$H,2,FALSE),"")</f>
        <v/>
      </c>
      <c r="C420" t="str">
        <f ca="1">IFERROR(VLOOKUP($A420,python!$I:$J,2,FALSE),"")</f>
        <v>文字列表現(単一行)</v>
      </c>
      <c r="D420" t="str">
        <f ca="1">IFERROR(VLOOKUP($A420,bat!$F:$G,2,FALSE),"")</f>
        <v/>
      </c>
      <c r="E420" t="str">
        <f ca="1">IFERROR(VLOOKUP($A420,shell!$F:$G,2,FALSE),"")</f>
        <v/>
      </c>
      <c r="F420" t="str">
        <f t="shared" ca="1" si="57"/>
        <v>文字列表現(単一行)</v>
      </c>
      <c r="G420">
        <f ca="1">IF($F420="","",COUNTIF($F$3:$F420,$F420))</f>
        <v>1</v>
      </c>
      <c r="H420">
        <f ca="1">IF(OR(G420&gt;1,G420=""),"",COUNTIF($G$3:$G420,1))</f>
        <v>406</v>
      </c>
      <c r="I420" t="str">
        <f t="shared" ca="1" si="58"/>
        <v>文字列表現(単一行)</v>
      </c>
      <c r="K420">
        <f t="shared" si="62"/>
        <v>417</v>
      </c>
      <c r="L420" t="str">
        <f t="shared" ca="1" si="54"/>
        <v>文字列 分割</v>
      </c>
      <c r="M420" s="2" t="str">
        <f t="shared" ca="1" si="55"/>
        <v/>
      </c>
      <c r="N420" s="2" t="str">
        <f t="shared" ca="1" si="56"/>
        <v>○</v>
      </c>
      <c r="O420" s="2" t="str">
        <f t="shared" ca="1" si="59"/>
        <v/>
      </c>
      <c r="P420" s="2" t="str">
        <f t="shared" ca="1" si="60"/>
        <v/>
      </c>
    </row>
    <row r="421" spans="1:16">
      <c r="A421">
        <f t="shared" si="61"/>
        <v>418</v>
      </c>
      <c r="B421" t="str">
        <f ca="1">IFERROR(VLOOKUP($A421,'vbs,vba'!$G:$H,2,FALSE),"")</f>
        <v/>
      </c>
      <c r="C421" t="str">
        <f ca="1">IFERROR(VLOOKUP($A421,python!$I:$J,2,FALSE),"")</f>
        <v>文字列表現(複数行)</v>
      </c>
      <c r="D421" t="str">
        <f ca="1">IFERROR(VLOOKUP($A421,bat!$F:$G,2,FALSE),"")</f>
        <v/>
      </c>
      <c r="E421" t="str">
        <f ca="1">IFERROR(VLOOKUP($A421,shell!$F:$G,2,FALSE),"")</f>
        <v/>
      </c>
      <c r="F421" t="str">
        <f t="shared" ca="1" si="57"/>
        <v>文字列表現(複数行)</v>
      </c>
      <c r="G421">
        <f ca="1">IF($F421="","",COUNTIF($F$3:$F421,$F421))</f>
        <v>1</v>
      </c>
      <c r="H421">
        <f ca="1">IF(OR(G421&gt;1,G421=""),"",COUNTIF($G$3:$G421,1))</f>
        <v>407</v>
      </c>
      <c r="I421" t="str">
        <f t="shared" ca="1" si="58"/>
        <v>文字列表現(複数行)</v>
      </c>
      <c r="K421">
        <f t="shared" si="62"/>
        <v>418</v>
      </c>
      <c r="L421" t="str">
        <f t="shared" ca="1" si="54"/>
        <v>文字列 結合</v>
      </c>
      <c r="M421" s="2" t="str">
        <f t="shared" ca="1" si="55"/>
        <v/>
      </c>
      <c r="N421" s="2" t="str">
        <f t="shared" ca="1" si="56"/>
        <v>○</v>
      </c>
      <c r="O421" s="2" t="str">
        <f t="shared" ca="1" si="59"/>
        <v/>
      </c>
      <c r="P421" s="2" t="str">
        <f t="shared" ca="1" si="60"/>
        <v/>
      </c>
    </row>
    <row r="422" spans="1:16">
      <c r="A422">
        <f t="shared" si="61"/>
        <v>419</v>
      </c>
      <c r="B422" t="str">
        <f ca="1">IFERROR(VLOOKUP($A422,'vbs,vba'!$G:$H,2,FALSE),"")</f>
        <v/>
      </c>
      <c r="C422" t="str">
        <f ca="1">IFERROR(VLOOKUP($A422,python!$I:$J,2,FALSE),"")</f>
        <v>文字列表現(エスケープ無視)</v>
      </c>
      <c r="D422" t="str">
        <f ca="1">IFERROR(VLOOKUP($A422,bat!$F:$G,2,FALSE),"")</f>
        <v/>
      </c>
      <c r="E422" t="str">
        <f ca="1">IFERROR(VLOOKUP($A422,shell!$F:$G,2,FALSE),"")</f>
        <v/>
      </c>
      <c r="F422" t="str">
        <f t="shared" ca="1" si="57"/>
        <v>文字列表現(エスケープ無視)</v>
      </c>
      <c r="G422">
        <f ca="1">IF($F422="","",COUNTIF($F$3:$F422,$F422))</f>
        <v>1</v>
      </c>
      <c r="H422">
        <f ca="1">IF(OR(G422&gt;1,G422=""),"",COUNTIF($G$3:$G422,1))</f>
        <v>408</v>
      </c>
      <c r="I422" t="str">
        <f t="shared" ca="1" si="58"/>
        <v>文字列表現(エスケープ無視)</v>
      </c>
      <c r="K422">
        <f t="shared" si="62"/>
        <v>419</v>
      </c>
      <c r="L422" t="str">
        <f t="shared" ca="1" si="54"/>
        <v>文字列 抽出</v>
      </c>
      <c r="M422" s="2" t="str">
        <f t="shared" ca="1" si="55"/>
        <v/>
      </c>
      <c r="N422" s="2" t="str">
        <f t="shared" ca="1" si="56"/>
        <v>○</v>
      </c>
      <c r="O422" s="2" t="str">
        <f t="shared" ca="1" si="59"/>
        <v/>
      </c>
      <c r="P422" s="2" t="str">
        <f t="shared" ca="1" si="60"/>
        <v/>
      </c>
    </row>
    <row r="423" spans="1:16">
      <c r="A423">
        <f t="shared" si="61"/>
        <v>420</v>
      </c>
      <c r="B423" t="str">
        <f ca="1">IFERROR(VLOOKUP($A423,'vbs,vba'!$G:$H,2,FALSE),"")</f>
        <v/>
      </c>
      <c r="C423" t="str">
        <f ca="1">IFERROR(VLOOKUP($A423,python!$I:$J,2,FALSE),"")</f>
        <v>文字列 置換</v>
      </c>
      <c r="D423" t="str">
        <f ca="1">IFERROR(VLOOKUP($A423,bat!$F:$G,2,FALSE),"")</f>
        <v/>
      </c>
      <c r="E423" t="str">
        <f ca="1">IFERROR(VLOOKUP($A423,shell!$F:$G,2,FALSE),"")</f>
        <v/>
      </c>
      <c r="F423" t="str">
        <f t="shared" ca="1" si="57"/>
        <v>文字列 置換</v>
      </c>
      <c r="G423">
        <f ca="1">IF($F423="","",COUNTIF($F$3:$F423,$F423))</f>
        <v>1</v>
      </c>
      <c r="H423">
        <f ca="1">IF(OR(G423&gt;1,G423=""),"",COUNTIF($G$3:$G423,1))</f>
        <v>409</v>
      </c>
      <c r="I423" t="str">
        <f t="shared" ca="1" si="58"/>
        <v>文字列 置換</v>
      </c>
      <c r="K423">
        <f t="shared" si="62"/>
        <v>420</v>
      </c>
      <c r="L423" t="str">
        <f t="shared" ca="1" si="54"/>
        <v>文字列 抽出 左</v>
      </c>
      <c r="M423" s="2" t="str">
        <f t="shared" ca="1" si="55"/>
        <v/>
      </c>
      <c r="N423" s="2" t="str">
        <f t="shared" ca="1" si="56"/>
        <v>○</v>
      </c>
      <c r="O423" s="2" t="str">
        <f t="shared" ca="1" si="59"/>
        <v/>
      </c>
      <c r="P423" s="2" t="str">
        <f t="shared" ca="1" si="60"/>
        <v/>
      </c>
    </row>
    <row r="424" spans="1:16">
      <c r="A424">
        <f t="shared" si="61"/>
        <v>421</v>
      </c>
      <c r="B424" t="str">
        <f ca="1">IFERROR(VLOOKUP($A424,'vbs,vba'!$G:$H,2,FALSE),"")</f>
        <v/>
      </c>
      <c r="C424" t="str">
        <f ca="1">IFERROR(VLOOKUP($A424,python!$I:$J,2,FALSE),"")</f>
        <v>文字列 位置検索（前方）</v>
      </c>
      <c r="D424" t="str">
        <f ca="1">IFERROR(VLOOKUP($A424,bat!$F:$G,2,FALSE),"")</f>
        <v/>
      </c>
      <c r="E424" t="str">
        <f ca="1">IFERROR(VLOOKUP($A424,shell!$F:$G,2,FALSE),"")</f>
        <v/>
      </c>
      <c r="F424" t="str">
        <f t="shared" ca="1" si="57"/>
        <v>文字列 位置検索（前方）</v>
      </c>
      <c r="G424">
        <f ca="1">IF($F424="","",COUNTIF($F$3:$F424,$F424))</f>
        <v>1</v>
      </c>
      <c r="H424">
        <f ca="1">IF(OR(G424&gt;1,G424=""),"",COUNTIF($G$3:$G424,1))</f>
        <v>410</v>
      </c>
      <c r="I424" t="str">
        <f t="shared" ca="1" si="58"/>
        <v>文字列 位置検索（前方）</v>
      </c>
      <c r="K424">
        <f t="shared" si="62"/>
        <v>421</v>
      </c>
      <c r="L424" t="str">
        <f t="shared" ca="1" si="54"/>
        <v>文字列 抽出 中</v>
      </c>
      <c r="M424" s="2" t="str">
        <f t="shared" ca="1" si="55"/>
        <v/>
      </c>
      <c r="N424" s="2" t="str">
        <f t="shared" ca="1" si="56"/>
        <v>○</v>
      </c>
      <c r="O424" s="2" t="str">
        <f t="shared" ca="1" si="59"/>
        <v/>
      </c>
      <c r="P424" s="2" t="str">
        <f t="shared" ca="1" si="60"/>
        <v/>
      </c>
    </row>
    <row r="425" spans="1:16">
      <c r="A425">
        <f t="shared" si="61"/>
        <v>422</v>
      </c>
      <c r="B425" t="str">
        <f ca="1">IFERROR(VLOOKUP($A425,'vbs,vba'!$G:$H,2,FALSE),"")</f>
        <v/>
      </c>
      <c r="C425" t="str">
        <f ca="1">IFERROR(VLOOKUP($A425,python!$I:$J,2,FALSE),"")</f>
        <v>文字列 位置検索（後方）</v>
      </c>
      <c r="D425" t="str">
        <f ca="1">IFERROR(VLOOKUP($A425,bat!$F:$G,2,FALSE),"")</f>
        <v/>
      </c>
      <c r="E425" t="str">
        <f ca="1">IFERROR(VLOOKUP($A425,shell!$F:$G,2,FALSE),"")</f>
        <v/>
      </c>
      <c r="F425" t="str">
        <f t="shared" ca="1" si="57"/>
        <v>文字列 位置検索（後方）</v>
      </c>
      <c r="G425">
        <f ca="1">IF($F425="","",COUNTIF($F$3:$F425,$F425))</f>
        <v>1</v>
      </c>
      <c r="H425">
        <f ca="1">IF(OR(G425&gt;1,G425=""),"",COUNTIF($G$3:$G425,1))</f>
        <v>411</v>
      </c>
      <c r="I425" t="str">
        <f t="shared" ca="1" si="58"/>
        <v>文字列 位置検索（後方）</v>
      </c>
      <c r="K425">
        <f t="shared" si="62"/>
        <v>422</v>
      </c>
      <c r="L425" t="str">
        <f t="shared" ca="1" si="54"/>
        <v>文字列 抽出 右</v>
      </c>
      <c r="M425" s="2" t="str">
        <f t="shared" ca="1" si="55"/>
        <v/>
      </c>
      <c r="N425" s="2" t="str">
        <f t="shared" ca="1" si="56"/>
        <v>○</v>
      </c>
      <c r="O425" s="2" t="str">
        <f t="shared" ca="1" si="59"/>
        <v/>
      </c>
      <c r="P425" s="2" t="str">
        <f t="shared" ca="1" si="60"/>
        <v/>
      </c>
    </row>
    <row r="426" spans="1:16">
      <c r="A426">
        <f t="shared" si="61"/>
        <v>423</v>
      </c>
      <c r="B426" t="str">
        <f ca="1">IFERROR(VLOOKUP($A426,'vbs,vba'!$G:$H,2,FALSE),"")</f>
        <v/>
      </c>
      <c r="C426" t="str">
        <f ca="1">IFERROR(VLOOKUP($A426,python!$I:$J,2,FALSE),"")</f>
        <v>文字列 検索</v>
      </c>
      <c r="D426" t="str">
        <f ca="1">IFERROR(VLOOKUP($A426,bat!$F:$G,2,FALSE),"")</f>
        <v/>
      </c>
      <c r="E426" t="str">
        <f ca="1">IFERROR(VLOOKUP($A426,shell!$F:$G,2,FALSE),"")</f>
        <v/>
      </c>
      <c r="F426" t="str">
        <f t="shared" ca="1" si="57"/>
        <v>文字列 検索</v>
      </c>
      <c r="G426">
        <f ca="1">IF($F426="","",COUNTIF($F$3:$F426,$F426))</f>
        <v>1</v>
      </c>
      <c r="H426">
        <f ca="1">IF(OR(G426&gt;1,G426=""),"",COUNTIF($G$3:$G426,1))</f>
        <v>412</v>
      </c>
      <c r="I426" t="str">
        <f t="shared" ca="1" si="58"/>
        <v>文字列 検索</v>
      </c>
      <c r="K426">
        <f t="shared" si="62"/>
        <v>423</v>
      </c>
      <c r="L426" t="str">
        <f t="shared" ca="1" si="54"/>
        <v>文字列 文字列除去（先頭＋末尾）</v>
      </c>
      <c r="M426" s="2" t="str">
        <f t="shared" ca="1" si="55"/>
        <v/>
      </c>
      <c r="N426" s="2" t="str">
        <f t="shared" ca="1" si="56"/>
        <v>○</v>
      </c>
      <c r="O426" s="2" t="str">
        <f t="shared" ca="1" si="59"/>
        <v/>
      </c>
      <c r="P426" s="2" t="str">
        <f t="shared" ca="1" si="60"/>
        <v/>
      </c>
    </row>
    <row r="427" spans="1:16">
      <c r="A427">
        <f t="shared" si="61"/>
        <v>424</v>
      </c>
      <c r="B427" t="str">
        <f ca="1">IFERROR(VLOOKUP($A427,'vbs,vba'!$G:$H,2,FALSE),"")</f>
        <v/>
      </c>
      <c r="C427" t="str">
        <f ca="1">IFERROR(VLOOKUP($A427,python!$I:$J,2,FALSE),"")</f>
        <v>文字列 検索（先頭）</v>
      </c>
      <c r="D427" t="str">
        <f ca="1">IFERROR(VLOOKUP($A427,bat!$F:$G,2,FALSE),"")</f>
        <v/>
      </c>
      <c r="E427" t="str">
        <f ca="1">IFERROR(VLOOKUP($A427,shell!$F:$G,2,FALSE),"")</f>
        <v/>
      </c>
      <c r="F427" t="str">
        <f t="shared" ca="1" si="57"/>
        <v>文字列 検索（先頭）</v>
      </c>
      <c r="G427">
        <f ca="1">IF($F427="","",COUNTIF($F$3:$F427,$F427))</f>
        <v>1</v>
      </c>
      <c r="H427">
        <f ca="1">IF(OR(G427&gt;1,G427=""),"",COUNTIF($G$3:$G427,1))</f>
        <v>413</v>
      </c>
      <c r="I427" t="str">
        <f t="shared" ca="1" si="58"/>
        <v>文字列 検索（先頭）</v>
      </c>
      <c r="K427">
        <f t="shared" si="62"/>
        <v>424</v>
      </c>
      <c r="L427" t="str">
        <f t="shared" ca="1" si="54"/>
        <v>文字列 文字列除去（先頭のみ）</v>
      </c>
      <c r="M427" s="2" t="str">
        <f t="shared" ca="1" si="55"/>
        <v/>
      </c>
      <c r="N427" s="2" t="str">
        <f t="shared" ca="1" si="56"/>
        <v>○</v>
      </c>
      <c r="O427" s="2" t="str">
        <f t="shared" ca="1" si="59"/>
        <v/>
      </c>
      <c r="P427" s="2" t="str">
        <f t="shared" ca="1" si="60"/>
        <v/>
      </c>
    </row>
    <row r="428" spans="1:16">
      <c r="A428">
        <f t="shared" si="61"/>
        <v>425</v>
      </c>
      <c r="B428" t="str">
        <f ca="1">IFERROR(VLOOKUP($A428,'vbs,vba'!$G:$H,2,FALSE),"")</f>
        <v/>
      </c>
      <c r="C428" t="str">
        <f ca="1">IFERROR(VLOOKUP($A428,python!$I:$J,2,FALSE),"")</f>
        <v>文字列 検索（末尾）</v>
      </c>
      <c r="D428" t="str">
        <f ca="1">IFERROR(VLOOKUP($A428,bat!$F:$G,2,FALSE),"")</f>
        <v/>
      </c>
      <c r="E428" t="str">
        <f ca="1">IFERROR(VLOOKUP($A428,shell!$F:$G,2,FALSE),"")</f>
        <v/>
      </c>
      <c r="F428" t="str">
        <f t="shared" ca="1" si="57"/>
        <v>文字列 検索（末尾）</v>
      </c>
      <c r="G428">
        <f ca="1">IF($F428="","",COUNTIF($F$3:$F428,$F428))</f>
        <v>1</v>
      </c>
      <c r="H428">
        <f ca="1">IF(OR(G428&gt;1,G428=""),"",COUNTIF($G$3:$G428,1))</f>
        <v>414</v>
      </c>
      <c r="I428" t="str">
        <f t="shared" ca="1" si="58"/>
        <v>文字列 検索（末尾）</v>
      </c>
      <c r="K428">
        <f t="shared" si="62"/>
        <v>425</v>
      </c>
      <c r="L428" t="str">
        <f t="shared" ca="1" si="54"/>
        <v>文字列 文字列除去（末尾のみ）</v>
      </c>
      <c r="M428" s="2" t="str">
        <f t="shared" ca="1" si="55"/>
        <v/>
      </c>
      <c r="N428" s="2" t="str">
        <f t="shared" ca="1" si="56"/>
        <v>○</v>
      </c>
      <c r="O428" s="2" t="str">
        <f t="shared" ca="1" si="59"/>
        <v/>
      </c>
      <c r="P428" s="2" t="str">
        <f t="shared" ca="1" si="60"/>
        <v/>
      </c>
    </row>
    <row r="429" spans="1:16">
      <c r="A429">
        <f t="shared" si="61"/>
        <v>426</v>
      </c>
      <c r="B429" t="str">
        <f ca="1">IFERROR(VLOOKUP($A429,'vbs,vba'!$G:$H,2,FALSE),"")</f>
        <v/>
      </c>
      <c r="C429" t="str">
        <f ca="1">IFERROR(VLOOKUP($A429,python!$I:$J,2,FALSE),"")</f>
        <v>文字列 長さ（文字数）</v>
      </c>
      <c r="D429" t="str">
        <f ca="1">IFERROR(VLOOKUP($A429,bat!$F:$G,2,FALSE),"")</f>
        <v/>
      </c>
      <c r="E429" t="str">
        <f ca="1">IFERROR(VLOOKUP($A429,shell!$F:$G,2,FALSE),"")</f>
        <v/>
      </c>
      <c r="F429" t="str">
        <f t="shared" ca="1" si="57"/>
        <v>文字列 長さ（文字数）</v>
      </c>
      <c r="G429">
        <f ca="1">IF($F429="","",COUNTIF($F$3:$F429,$F429))</f>
        <v>1</v>
      </c>
      <c r="H429">
        <f ca="1">IF(OR(G429&gt;1,G429=""),"",COUNTIF($G$3:$G429,1))</f>
        <v>415</v>
      </c>
      <c r="I429" t="str">
        <f t="shared" ca="1" si="58"/>
        <v>文字列 長さ（文字数）</v>
      </c>
      <c r="K429">
        <f t="shared" si="62"/>
        <v>426</v>
      </c>
      <c r="L429" t="str">
        <f t="shared" ca="1" si="54"/>
        <v>文字列 数値判定</v>
      </c>
      <c r="M429" s="2" t="str">
        <f t="shared" ca="1" si="55"/>
        <v/>
      </c>
      <c r="N429" s="2" t="str">
        <f t="shared" ca="1" si="56"/>
        <v>○</v>
      </c>
      <c r="O429" s="2" t="str">
        <f t="shared" ca="1" si="59"/>
        <v/>
      </c>
      <c r="P429" s="2" t="str">
        <f t="shared" ca="1" si="60"/>
        <v/>
      </c>
    </row>
    <row r="430" spans="1:16">
      <c r="A430">
        <f t="shared" si="61"/>
        <v>427</v>
      </c>
      <c r="B430" t="str">
        <f ca="1">IFERROR(VLOOKUP($A430,'vbs,vba'!$G:$H,2,FALSE),"")</f>
        <v/>
      </c>
      <c r="C430" t="str">
        <f ca="1">IFERROR(VLOOKUP($A430,python!$I:$J,2,FALSE),"")</f>
        <v>文字列 長さ（バイト数）</v>
      </c>
      <c r="D430" t="str">
        <f ca="1">IFERROR(VLOOKUP($A430,bat!$F:$G,2,FALSE),"")</f>
        <v/>
      </c>
      <c r="E430" t="str">
        <f ca="1">IFERROR(VLOOKUP($A430,shell!$F:$G,2,FALSE),"")</f>
        <v/>
      </c>
      <c r="F430" t="str">
        <f t="shared" ca="1" si="57"/>
        <v>文字列 長さ（バイト数）</v>
      </c>
      <c r="G430">
        <f ca="1">IF($F430="","",COUNTIF($F$3:$F430,$F430))</f>
        <v>1</v>
      </c>
      <c r="H430">
        <f ca="1">IF(OR(G430&gt;1,G430=""),"",COUNTIF($G$3:$G430,1))</f>
        <v>416</v>
      </c>
      <c r="I430" t="str">
        <f t="shared" ca="1" si="58"/>
        <v>文字列 長さ（バイト数）</v>
      </c>
      <c r="K430">
        <f t="shared" si="62"/>
        <v>427</v>
      </c>
      <c r="L430" t="str">
        <f t="shared" ca="1" si="54"/>
        <v>文字列 大文字判定</v>
      </c>
      <c r="M430" s="2" t="str">
        <f t="shared" ca="1" si="55"/>
        <v/>
      </c>
      <c r="N430" s="2" t="str">
        <f t="shared" ca="1" si="56"/>
        <v>○</v>
      </c>
      <c r="O430" s="2" t="str">
        <f t="shared" ca="1" si="59"/>
        <v/>
      </c>
      <c r="P430" s="2" t="str">
        <f t="shared" ca="1" si="60"/>
        <v/>
      </c>
    </row>
    <row r="431" spans="1:16">
      <c r="A431">
        <f t="shared" si="61"/>
        <v>428</v>
      </c>
      <c r="B431" t="str">
        <f ca="1">IFERROR(VLOOKUP($A431,'vbs,vba'!$G:$H,2,FALSE),"")</f>
        <v/>
      </c>
      <c r="C431" t="str">
        <f ca="1">IFERROR(VLOOKUP($A431,python!$I:$J,2,FALSE),"")</f>
        <v>文字列 分割</v>
      </c>
      <c r="D431" t="str">
        <f ca="1">IFERROR(VLOOKUP($A431,bat!$F:$G,2,FALSE),"")</f>
        <v/>
      </c>
      <c r="E431" t="str">
        <f ca="1">IFERROR(VLOOKUP($A431,shell!$F:$G,2,FALSE),"")</f>
        <v/>
      </c>
      <c r="F431" t="str">
        <f t="shared" ca="1" si="57"/>
        <v>文字列 分割</v>
      </c>
      <c r="G431">
        <f ca="1">IF($F431="","",COUNTIF($F$3:$F431,$F431))</f>
        <v>1</v>
      </c>
      <c r="H431">
        <f ca="1">IF(OR(G431&gt;1,G431=""),"",COUNTIF($G$3:$G431,1))</f>
        <v>417</v>
      </c>
      <c r="I431" t="str">
        <f t="shared" ca="1" si="58"/>
        <v>文字列 分割</v>
      </c>
      <c r="K431">
        <f t="shared" si="62"/>
        <v>428</v>
      </c>
      <c r="L431" t="str">
        <f t="shared" ca="1" si="54"/>
        <v>文字列 小文字判定</v>
      </c>
      <c r="M431" s="2" t="str">
        <f t="shared" ca="1" si="55"/>
        <v/>
      </c>
      <c r="N431" s="2" t="str">
        <f t="shared" ca="1" si="56"/>
        <v>○</v>
      </c>
      <c r="O431" s="2" t="str">
        <f t="shared" ca="1" si="59"/>
        <v/>
      </c>
      <c r="P431" s="2" t="str">
        <f t="shared" ca="1" si="60"/>
        <v/>
      </c>
    </row>
    <row r="432" spans="1:16">
      <c r="A432">
        <f t="shared" si="61"/>
        <v>429</v>
      </c>
      <c r="B432" t="str">
        <f ca="1">IFERROR(VLOOKUP($A432,'vbs,vba'!$G:$H,2,FALSE),"")</f>
        <v/>
      </c>
      <c r="C432" t="str">
        <f ca="1">IFERROR(VLOOKUP($A432,python!$I:$J,2,FALSE),"")</f>
        <v>文字列 結合</v>
      </c>
      <c r="D432" t="str">
        <f ca="1">IFERROR(VLOOKUP($A432,bat!$F:$G,2,FALSE),"")</f>
        <v/>
      </c>
      <c r="E432" t="str">
        <f ca="1">IFERROR(VLOOKUP($A432,shell!$F:$G,2,FALSE),"")</f>
        <v/>
      </c>
      <c r="F432" t="str">
        <f t="shared" ca="1" si="57"/>
        <v>文字列 結合</v>
      </c>
      <c r="G432">
        <f ca="1">IF($F432="","",COUNTIF($F$3:$F432,$F432))</f>
        <v>1</v>
      </c>
      <c r="H432">
        <f ca="1">IF(OR(G432&gt;1,G432=""),"",COUNTIF($G$3:$G432,1))</f>
        <v>418</v>
      </c>
      <c r="I432" t="str">
        <f t="shared" ca="1" si="58"/>
        <v>文字列 結合</v>
      </c>
      <c r="K432">
        <f t="shared" si="62"/>
        <v>429</v>
      </c>
      <c r="L432" t="str">
        <f t="shared" ca="1" si="54"/>
        <v>文字列⇒ASCII 変換</v>
      </c>
      <c r="M432" s="2" t="str">
        <f t="shared" ca="1" si="55"/>
        <v>○</v>
      </c>
      <c r="N432" s="2" t="str">
        <f t="shared" ca="1" si="56"/>
        <v>○</v>
      </c>
      <c r="O432" s="2" t="str">
        <f t="shared" ca="1" si="59"/>
        <v/>
      </c>
      <c r="P432" s="2" t="str">
        <f t="shared" ca="1" si="60"/>
        <v/>
      </c>
    </row>
    <row r="433" spans="1:16">
      <c r="A433">
        <f t="shared" si="61"/>
        <v>430</v>
      </c>
      <c r="B433" t="str">
        <f ca="1">IFERROR(VLOOKUP($A433,'vbs,vba'!$G:$H,2,FALSE),"")</f>
        <v/>
      </c>
      <c r="C433" t="str">
        <f ca="1">IFERROR(VLOOKUP($A433,python!$I:$J,2,FALSE),"")</f>
        <v>文字列 結合</v>
      </c>
      <c r="D433" t="str">
        <f ca="1">IFERROR(VLOOKUP($A433,bat!$F:$G,2,FALSE),"")</f>
        <v/>
      </c>
      <c r="E433" t="str">
        <f ca="1">IFERROR(VLOOKUP($A433,shell!$F:$G,2,FALSE),"")</f>
        <v/>
      </c>
      <c r="F433" t="str">
        <f t="shared" ca="1" si="57"/>
        <v>文字列 結合</v>
      </c>
      <c r="G433">
        <f ca="1">IF($F433="","",COUNTIF($F$3:$F433,$F433))</f>
        <v>2</v>
      </c>
      <c r="H433" t="str">
        <f ca="1">IF(OR(G433&gt;1,G433=""),"",COUNTIF($G$3:$G433,1))</f>
        <v/>
      </c>
      <c r="I433" t="str">
        <f t="shared" ca="1" si="58"/>
        <v>文字列 結合</v>
      </c>
      <c r="K433">
        <f t="shared" si="62"/>
        <v>430</v>
      </c>
      <c r="L433" t="str">
        <f t="shared" ca="1" si="54"/>
        <v>f文字列（0埋め指定）</v>
      </c>
      <c r="M433" s="2" t="str">
        <f t="shared" ca="1" si="55"/>
        <v/>
      </c>
      <c r="N433" s="2" t="str">
        <f t="shared" ca="1" si="56"/>
        <v>○</v>
      </c>
      <c r="O433" s="2" t="str">
        <f t="shared" ca="1" si="59"/>
        <v/>
      </c>
      <c r="P433" s="2" t="str">
        <f t="shared" ca="1" si="60"/>
        <v/>
      </c>
    </row>
    <row r="434" spans="1:16">
      <c r="A434">
        <f t="shared" si="61"/>
        <v>431</v>
      </c>
      <c r="B434" t="str">
        <f ca="1">IFERROR(VLOOKUP($A434,'vbs,vba'!$G:$H,2,FALSE),"")</f>
        <v/>
      </c>
      <c r="C434" t="str">
        <f ca="1">IFERROR(VLOOKUP($A434,python!$I:$J,2,FALSE),"")</f>
        <v>文字列 抽出</v>
      </c>
      <c r="D434" t="str">
        <f ca="1">IFERROR(VLOOKUP($A434,bat!$F:$G,2,FALSE),"")</f>
        <v/>
      </c>
      <c r="E434" t="str">
        <f ca="1">IFERROR(VLOOKUP($A434,shell!$F:$G,2,FALSE),"")</f>
        <v/>
      </c>
      <c r="F434" t="str">
        <f t="shared" ca="1" si="57"/>
        <v>文字列 抽出</v>
      </c>
      <c r="G434">
        <f ca="1">IF($F434="","",COUNTIF($F$3:$F434,$F434))</f>
        <v>1</v>
      </c>
      <c r="H434">
        <f ca="1">IF(OR(G434&gt;1,G434=""),"",COUNTIF($G$3:$G434,1))</f>
        <v>419</v>
      </c>
      <c r="I434" t="str">
        <f t="shared" ca="1" si="58"/>
        <v>文字列 抽出</v>
      </c>
      <c r="K434">
        <f t="shared" si="62"/>
        <v>431</v>
      </c>
      <c r="L434" t="str">
        <f t="shared" ca="1" si="54"/>
        <v>f文字列（カンマ区切り指定）</v>
      </c>
      <c r="M434" s="2" t="str">
        <f t="shared" ca="1" si="55"/>
        <v/>
      </c>
      <c r="N434" s="2" t="str">
        <f t="shared" ca="1" si="56"/>
        <v>○</v>
      </c>
      <c r="O434" s="2" t="str">
        <f t="shared" ca="1" si="59"/>
        <v/>
      </c>
      <c r="P434" s="2" t="str">
        <f t="shared" ca="1" si="60"/>
        <v/>
      </c>
    </row>
    <row r="435" spans="1:16">
      <c r="A435">
        <f t="shared" si="61"/>
        <v>432</v>
      </c>
      <c r="B435" t="str">
        <f ca="1">IFERROR(VLOOKUP($A435,'vbs,vba'!$G:$H,2,FALSE),"")</f>
        <v/>
      </c>
      <c r="C435" t="str">
        <f ca="1">IFERROR(VLOOKUP($A435,python!$I:$J,2,FALSE),"")</f>
        <v>文字列 抽出 左</v>
      </c>
      <c r="D435" t="str">
        <f ca="1">IFERROR(VLOOKUP($A435,bat!$F:$G,2,FALSE),"")</f>
        <v/>
      </c>
      <c r="E435" t="str">
        <f ca="1">IFERROR(VLOOKUP($A435,shell!$F:$G,2,FALSE),"")</f>
        <v/>
      </c>
      <c r="F435" t="str">
        <f t="shared" ca="1" si="57"/>
        <v>文字列 抽出 左</v>
      </c>
      <c r="G435">
        <f ca="1">IF($F435="","",COUNTIF($F$3:$F435,$F435))</f>
        <v>1</v>
      </c>
      <c r="H435">
        <f ca="1">IF(OR(G435&gt;1,G435=""),"",COUNTIF($G$3:$G435,1))</f>
        <v>420</v>
      </c>
      <c r="I435" t="str">
        <f t="shared" ca="1" si="58"/>
        <v>文字列 抽出 左</v>
      </c>
      <c r="K435">
        <f t="shared" si="62"/>
        <v>432</v>
      </c>
      <c r="L435" t="str">
        <f t="shared" ca="1" si="54"/>
        <v>f文字列（浮動小数 桁数指定）</v>
      </c>
      <c r="M435" s="2" t="str">
        <f t="shared" ca="1" si="55"/>
        <v/>
      </c>
      <c r="N435" s="2" t="str">
        <f t="shared" ca="1" si="56"/>
        <v>○</v>
      </c>
      <c r="O435" s="2" t="str">
        <f t="shared" ca="1" si="59"/>
        <v/>
      </c>
      <c r="P435" s="2" t="str">
        <f t="shared" ca="1" si="60"/>
        <v/>
      </c>
    </row>
    <row r="436" spans="1:16">
      <c r="A436">
        <f t="shared" si="61"/>
        <v>433</v>
      </c>
      <c r="B436" t="str">
        <f ca="1">IFERROR(VLOOKUP($A436,'vbs,vba'!$G:$H,2,FALSE),"")</f>
        <v/>
      </c>
      <c r="C436" t="str">
        <f ca="1">IFERROR(VLOOKUP($A436,python!$I:$J,2,FALSE),"")</f>
        <v>文字列 抽出 中</v>
      </c>
      <c r="D436" t="str">
        <f ca="1">IFERROR(VLOOKUP($A436,bat!$F:$G,2,FALSE),"")</f>
        <v/>
      </c>
      <c r="E436" t="str">
        <f ca="1">IFERROR(VLOOKUP($A436,shell!$F:$G,2,FALSE),"")</f>
        <v/>
      </c>
      <c r="F436" t="str">
        <f t="shared" ca="1" si="57"/>
        <v>文字列 抽出 中</v>
      </c>
      <c r="G436">
        <f ca="1">IF($F436="","",COUNTIF($F$3:$F436,$F436))</f>
        <v>1</v>
      </c>
      <c r="H436">
        <f ca="1">IF(OR(G436&gt;1,G436=""),"",COUNTIF($G$3:$G436,1))</f>
        <v>421</v>
      </c>
      <c r="I436" t="str">
        <f t="shared" ca="1" si="58"/>
        <v>文字列 抽出 中</v>
      </c>
      <c r="K436">
        <f t="shared" si="62"/>
        <v>433</v>
      </c>
      <c r="L436" t="str">
        <f t="shared" ca="1" si="54"/>
        <v>f文字列（浮動小数 有効桁数指定）</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IFERROR(VLOOKUP($A437,python!$I:$J,2,FALSE),"")</f>
        <v>文字列 抽出 右</v>
      </c>
      <c r="D437" t="str">
        <f ca="1">IFERROR(VLOOKUP($A437,bat!$F:$G,2,FALSE),"")</f>
        <v/>
      </c>
      <c r="E437" t="str">
        <f ca="1">IFERROR(VLOOKUP($A437,shell!$F:$G,2,FALSE),"")</f>
        <v/>
      </c>
      <c r="F437" t="str">
        <f t="shared" ca="1" si="57"/>
        <v>文字列 抽出 右</v>
      </c>
      <c r="G437">
        <f ca="1">IF($F437="","",COUNTIF($F$3:$F437,$F437))</f>
        <v>1</v>
      </c>
      <c r="H437">
        <f ca="1">IF(OR(G437&gt;1,G437=""),"",COUNTIF($G$3:$G437,1))</f>
        <v>422</v>
      </c>
      <c r="I437" t="str">
        <f t="shared" ca="1" si="58"/>
        <v>文字列 抽出 右</v>
      </c>
      <c r="K437">
        <f t="shared" si="62"/>
        <v>434</v>
      </c>
      <c r="L437" t="str">
        <f t="shared" ca="1" si="54"/>
        <v>f文字列（浮動小数 指数表記指定(小文字)）</v>
      </c>
      <c r="M437" s="2" t="str">
        <f t="shared" ca="1" si="55"/>
        <v/>
      </c>
      <c r="N437" s="2" t="str">
        <f t="shared" ca="1" si="56"/>
        <v>○</v>
      </c>
      <c r="O437" s="2" t="str">
        <f t="shared" ca="1" si="59"/>
        <v/>
      </c>
      <c r="P437" s="2" t="str">
        <f t="shared" ca="1" si="60"/>
        <v/>
      </c>
    </row>
    <row r="438" spans="1:16">
      <c r="A438">
        <f t="shared" si="61"/>
        <v>435</v>
      </c>
      <c r="B438" t="str">
        <f ca="1">IFERROR(VLOOKUP($A438,'vbs,vba'!$G:$H,2,FALSE),"")</f>
        <v/>
      </c>
      <c r="C438" t="str">
        <f ca="1">IFERROR(VLOOKUP($A438,python!$I:$J,2,FALSE),"")</f>
        <v>文字列 文字列除去（先頭＋末尾）</v>
      </c>
      <c r="D438" t="str">
        <f ca="1">IFERROR(VLOOKUP($A438,bat!$F:$G,2,FALSE),"")</f>
        <v/>
      </c>
      <c r="E438" t="str">
        <f ca="1">IFERROR(VLOOKUP($A438,shell!$F:$G,2,FALSE),"")</f>
        <v/>
      </c>
      <c r="F438" t="str">
        <f t="shared" ca="1" si="57"/>
        <v>文字列 文字列除去（先頭＋末尾）</v>
      </c>
      <c r="G438">
        <f ca="1">IF($F438="","",COUNTIF($F$3:$F438,$F438))</f>
        <v>1</v>
      </c>
      <c r="H438">
        <f ca="1">IF(OR(G438&gt;1,G438=""),"",COUNTIF($G$3:$G438,1))</f>
        <v>423</v>
      </c>
      <c r="I438" t="str">
        <f t="shared" ca="1" si="58"/>
        <v>文字列 文字列除去（先頭＋末尾）</v>
      </c>
      <c r="K438">
        <f t="shared" si="62"/>
        <v>435</v>
      </c>
      <c r="L438" t="str">
        <f t="shared" ca="1" si="54"/>
        <v>f文字列（浮動小数 指数表記指定(大文字)）</v>
      </c>
      <c r="M438" s="2" t="str">
        <f t="shared" ca="1" si="55"/>
        <v/>
      </c>
      <c r="N438" s="2" t="str">
        <f t="shared" ca="1" si="56"/>
        <v>○</v>
      </c>
      <c r="O438" s="2" t="str">
        <f t="shared" ca="1" si="59"/>
        <v/>
      </c>
      <c r="P438" s="2" t="str">
        <f t="shared" ca="1" si="60"/>
        <v/>
      </c>
    </row>
    <row r="439" spans="1:16">
      <c r="A439">
        <f t="shared" si="61"/>
        <v>436</v>
      </c>
      <c r="B439" t="str">
        <f ca="1">IFERROR(VLOOKUP($A439,'vbs,vba'!$G:$H,2,FALSE),"")</f>
        <v/>
      </c>
      <c r="C439" t="str">
        <f ca="1">IFERROR(VLOOKUP($A439,python!$I:$J,2,FALSE),"")</f>
        <v>文字列 文字列除去（先頭のみ）</v>
      </c>
      <c r="D439" t="str">
        <f ca="1">IFERROR(VLOOKUP($A439,bat!$F:$G,2,FALSE),"")</f>
        <v/>
      </c>
      <c r="E439" t="str">
        <f ca="1">IFERROR(VLOOKUP($A439,shell!$F:$G,2,FALSE),"")</f>
        <v/>
      </c>
      <c r="F439" t="str">
        <f t="shared" ca="1" si="57"/>
        <v>文字列 文字列除去（先頭のみ）</v>
      </c>
      <c r="G439">
        <f ca="1">IF($F439="","",COUNTIF($F$3:$F439,$F439))</f>
        <v>1</v>
      </c>
      <c r="H439">
        <f ca="1">IF(OR(G439&gt;1,G439=""),"",COUNTIF($G$3:$G439,1))</f>
        <v>424</v>
      </c>
      <c r="I439" t="str">
        <f t="shared" ca="1" si="58"/>
        <v>文字列 文字列除去（先頭のみ）</v>
      </c>
      <c r="K439">
        <f t="shared" si="62"/>
        <v>436</v>
      </c>
      <c r="L439" t="str">
        <f t="shared" ca="1" si="54"/>
        <v>f文字列（浮動小数 パーセンテージ表記指定）</v>
      </c>
      <c r="M439" s="2" t="str">
        <f t="shared" ca="1" si="55"/>
        <v/>
      </c>
      <c r="N439" s="2" t="str">
        <f t="shared" ca="1" si="56"/>
        <v>○</v>
      </c>
      <c r="O439" s="2" t="str">
        <f t="shared" ca="1" si="59"/>
        <v/>
      </c>
      <c r="P439" s="2" t="str">
        <f t="shared" ca="1" si="60"/>
        <v/>
      </c>
    </row>
    <row r="440" spans="1:16">
      <c r="A440">
        <f t="shared" si="61"/>
        <v>437</v>
      </c>
      <c r="B440" t="str">
        <f ca="1">IFERROR(VLOOKUP($A440,'vbs,vba'!$G:$H,2,FALSE),"")</f>
        <v/>
      </c>
      <c r="C440" t="str">
        <f ca="1">IFERROR(VLOOKUP($A440,python!$I:$J,2,FALSE),"")</f>
        <v>文字列 文字列除去（末尾のみ）</v>
      </c>
      <c r="D440" t="str">
        <f ca="1">IFERROR(VLOOKUP($A440,bat!$F:$G,2,FALSE),"")</f>
        <v/>
      </c>
      <c r="E440" t="str">
        <f ca="1">IFERROR(VLOOKUP($A440,shell!$F:$G,2,FALSE),"")</f>
        <v/>
      </c>
      <c r="F440" t="str">
        <f t="shared" ca="1" si="57"/>
        <v>文字列 文字列除去（末尾のみ）</v>
      </c>
      <c r="G440">
        <f ca="1">IF($F440="","",COUNTIF($F$3:$F440,$F440))</f>
        <v>1</v>
      </c>
      <c r="H440">
        <f ca="1">IF(OR(G440&gt;1,G440=""),"",COUNTIF($G$3:$G440,1))</f>
        <v>425</v>
      </c>
      <c r="I440" t="str">
        <f t="shared" ca="1" si="58"/>
        <v>文字列 文字列除去（末尾のみ）</v>
      </c>
      <c r="K440">
        <f t="shared" si="62"/>
        <v>437</v>
      </c>
      <c r="L440" t="str">
        <f t="shared" ca="1" si="54"/>
        <v>f文字列（2進数表記指定）</v>
      </c>
      <c r="M440" s="2" t="str">
        <f t="shared" ca="1" si="55"/>
        <v/>
      </c>
      <c r="N440" s="2" t="str">
        <f t="shared" ca="1" si="56"/>
        <v>○</v>
      </c>
      <c r="O440" s="2" t="str">
        <f t="shared" ca="1" si="59"/>
        <v/>
      </c>
      <c r="P440" s="2" t="str">
        <f t="shared" ca="1" si="60"/>
        <v/>
      </c>
    </row>
    <row r="441" spans="1:16">
      <c r="A441">
        <f t="shared" si="61"/>
        <v>438</v>
      </c>
      <c r="B441" t="str">
        <f ca="1">IFERROR(VLOOKUP($A441,'vbs,vba'!$G:$H,2,FALSE),"")</f>
        <v/>
      </c>
      <c r="C441" t="str">
        <f ca="1">IFERROR(VLOOKUP($A441,python!$I:$J,2,FALSE),"")</f>
        <v>文字列 数値判定</v>
      </c>
      <c r="D441" t="str">
        <f ca="1">IFERROR(VLOOKUP($A441,bat!$F:$G,2,FALSE),"")</f>
        <v/>
      </c>
      <c r="E441" t="str">
        <f ca="1">IFERROR(VLOOKUP($A441,shell!$F:$G,2,FALSE),"")</f>
        <v/>
      </c>
      <c r="F441" t="str">
        <f t="shared" ca="1" si="57"/>
        <v>文字列 数値判定</v>
      </c>
      <c r="G441">
        <f ca="1">IF($F441="","",COUNTIF($F$3:$F441,$F441))</f>
        <v>1</v>
      </c>
      <c r="H441">
        <f ca="1">IF(OR(G441&gt;1,G441=""),"",COUNTIF($G$3:$G441,1))</f>
        <v>426</v>
      </c>
      <c r="I441" t="str">
        <f t="shared" ca="1" si="58"/>
        <v>文字列 数値判定</v>
      </c>
      <c r="K441">
        <f t="shared" si="62"/>
        <v>438</v>
      </c>
      <c r="L441" t="str">
        <f t="shared" ca="1" si="54"/>
        <v>f文字列（8進数表記指定）</v>
      </c>
      <c r="M441" s="2" t="str">
        <f t="shared" ca="1" si="55"/>
        <v/>
      </c>
      <c r="N441" s="2" t="str">
        <f t="shared" ca="1" si="56"/>
        <v>○</v>
      </c>
      <c r="O441" s="2" t="str">
        <f t="shared" ca="1" si="59"/>
        <v/>
      </c>
      <c r="P441" s="2" t="str">
        <f t="shared" ca="1" si="60"/>
        <v/>
      </c>
    </row>
    <row r="442" spans="1:16">
      <c r="A442">
        <f t="shared" si="61"/>
        <v>439</v>
      </c>
      <c r="B442" t="str">
        <f ca="1">IFERROR(VLOOKUP($A442,'vbs,vba'!$G:$H,2,FALSE),"")</f>
        <v/>
      </c>
      <c r="C442" t="str">
        <f ca="1">IFERROR(VLOOKUP($A442,python!$I:$J,2,FALSE),"")</f>
        <v>文字列 大文字判定</v>
      </c>
      <c r="D442" t="str">
        <f ca="1">IFERROR(VLOOKUP($A442,bat!$F:$G,2,FALSE),"")</f>
        <v/>
      </c>
      <c r="E442" t="str">
        <f ca="1">IFERROR(VLOOKUP($A442,shell!$F:$G,2,FALSE),"")</f>
        <v/>
      </c>
      <c r="F442" t="str">
        <f t="shared" ca="1" si="57"/>
        <v>文字列 大文字判定</v>
      </c>
      <c r="G442">
        <f ca="1">IF($F442="","",COUNTIF($F$3:$F442,$F442))</f>
        <v>1</v>
      </c>
      <c r="H442">
        <f ca="1">IF(OR(G442&gt;1,G442=""),"",COUNTIF($G$3:$G442,1))</f>
        <v>427</v>
      </c>
      <c r="I442" t="str">
        <f t="shared" ca="1" si="58"/>
        <v>文字列 大文字判定</v>
      </c>
      <c r="K442">
        <f t="shared" si="62"/>
        <v>439</v>
      </c>
      <c r="L442" t="str">
        <f t="shared" ca="1" si="54"/>
        <v>f文字列（16進数表記指定(小文字)）</v>
      </c>
      <c r="M442" s="2" t="str">
        <f t="shared" ca="1" si="55"/>
        <v/>
      </c>
      <c r="N442" s="2" t="str">
        <f t="shared" ca="1" si="56"/>
        <v>○</v>
      </c>
      <c r="O442" s="2" t="str">
        <f t="shared" ca="1" si="59"/>
        <v/>
      </c>
      <c r="P442" s="2" t="str">
        <f t="shared" ca="1" si="60"/>
        <v/>
      </c>
    </row>
    <row r="443" spans="1:16">
      <c r="A443">
        <f t="shared" si="61"/>
        <v>440</v>
      </c>
      <c r="B443" t="str">
        <f ca="1">IFERROR(VLOOKUP($A443,'vbs,vba'!$G:$H,2,FALSE),"")</f>
        <v/>
      </c>
      <c r="C443" t="str">
        <f ca="1">IFERROR(VLOOKUP($A443,python!$I:$J,2,FALSE),"")</f>
        <v>文字列 小文字判定</v>
      </c>
      <c r="D443" t="str">
        <f ca="1">IFERROR(VLOOKUP($A443,bat!$F:$G,2,FALSE),"")</f>
        <v/>
      </c>
      <c r="E443" t="str">
        <f ca="1">IFERROR(VLOOKUP($A443,shell!$F:$G,2,FALSE),"")</f>
        <v/>
      </c>
      <c r="F443" t="str">
        <f t="shared" ca="1" si="57"/>
        <v>文字列 小文字判定</v>
      </c>
      <c r="G443">
        <f ca="1">IF($F443="","",COUNTIF($F$3:$F443,$F443))</f>
        <v>1</v>
      </c>
      <c r="H443">
        <f ca="1">IF(OR(G443&gt;1,G443=""),"",COUNTIF($G$3:$G443,1))</f>
        <v>428</v>
      </c>
      <c r="I443" t="str">
        <f t="shared" ca="1" si="58"/>
        <v>文字列 小文字判定</v>
      </c>
      <c r="K443">
        <f t="shared" si="62"/>
        <v>440</v>
      </c>
      <c r="L443" t="str">
        <f t="shared" ca="1" si="54"/>
        <v>f文字列（16進数表記指定(大文字)）</v>
      </c>
      <c r="M443" s="2" t="str">
        <f t="shared" ca="1" si="55"/>
        <v/>
      </c>
      <c r="N443" s="2" t="str">
        <f t="shared" ca="1" si="56"/>
        <v>○</v>
      </c>
      <c r="O443" s="2" t="str">
        <f t="shared" ca="1" si="59"/>
        <v/>
      </c>
      <c r="P443" s="2" t="str">
        <f t="shared" ca="1" si="60"/>
        <v/>
      </c>
    </row>
    <row r="444" spans="1:16">
      <c r="A444">
        <f t="shared" si="61"/>
        <v>441</v>
      </c>
      <c r="B444" t="str">
        <f ca="1">IFERROR(VLOOKUP($A444,'vbs,vba'!$G:$H,2,FALSE),"")</f>
        <v/>
      </c>
      <c r="C444" t="str">
        <f ca="1">IFERROR(VLOOKUP($A444,python!$I:$J,2,FALSE),"")</f>
        <v>文字列⇒ASCII 変換</v>
      </c>
      <c r="D444" t="str">
        <f ca="1">IFERROR(VLOOKUP($A444,bat!$F:$G,2,FALSE),"")</f>
        <v/>
      </c>
      <c r="E444" t="str">
        <f ca="1">IFERROR(VLOOKUP($A444,shell!$F:$G,2,FALSE),"")</f>
        <v/>
      </c>
      <c r="F444" t="str">
        <f t="shared" ca="1" si="57"/>
        <v>文字列⇒ASCII 変換</v>
      </c>
      <c r="G444">
        <f ca="1">IF($F444="","",COUNTIF($F$3:$F444,$F444))</f>
        <v>1</v>
      </c>
      <c r="H444">
        <f ca="1">IF(OR(G444&gt;1,G444=""),"",COUNTIF($G$3:$G444,1))</f>
        <v>429</v>
      </c>
      <c r="I444" t="str">
        <f t="shared" ca="1" si="58"/>
        <v>文字列⇒ASCII 変換</v>
      </c>
      <c r="K444">
        <f t="shared" si="62"/>
        <v>441</v>
      </c>
      <c r="L444" t="str">
        <f t="shared" ca="1" si="54"/>
        <v>f文字列（2進数表記指定 0埋め）</v>
      </c>
      <c r="M444" s="2" t="str">
        <f t="shared" ca="1" si="55"/>
        <v/>
      </c>
      <c r="N444" s="2" t="str">
        <f t="shared" ca="1" si="56"/>
        <v>○</v>
      </c>
      <c r="O444" s="2" t="str">
        <f t="shared" ca="1" si="59"/>
        <v/>
      </c>
      <c r="P444" s="2" t="str">
        <f t="shared" ca="1" si="60"/>
        <v/>
      </c>
    </row>
    <row r="445" spans="1:16">
      <c r="A445">
        <f t="shared" si="61"/>
        <v>442</v>
      </c>
      <c r="B445" t="str">
        <f ca="1">IFERROR(VLOOKUP($A445,'vbs,vba'!$G:$H,2,FALSE),"")</f>
        <v/>
      </c>
      <c r="C445" t="str">
        <f ca="1">IFERROR(VLOOKUP($A445,python!$I:$J,2,FALSE),"")</f>
        <v>f文字列（0埋め指定）</v>
      </c>
      <c r="D445" t="str">
        <f ca="1">IFERROR(VLOOKUP($A445,bat!$F:$G,2,FALSE),"")</f>
        <v/>
      </c>
      <c r="E445" t="str">
        <f ca="1">IFERROR(VLOOKUP($A445,shell!$F:$G,2,FALSE),"")</f>
        <v/>
      </c>
      <c r="F445" t="str">
        <f t="shared" ca="1" si="57"/>
        <v>f文字列（0埋め指定）</v>
      </c>
      <c r="G445">
        <f ca="1">IF($F445="","",COUNTIF($F$3:$F445,$F445))</f>
        <v>1</v>
      </c>
      <c r="H445">
        <f ca="1">IF(OR(G445&gt;1,G445=""),"",COUNTIF($G$3:$G445,1))</f>
        <v>430</v>
      </c>
      <c r="I445" t="str">
        <f t="shared" ca="1" si="58"/>
        <v>f文字列（0埋め指定）</v>
      </c>
      <c r="K445">
        <f t="shared" si="62"/>
        <v>442</v>
      </c>
      <c r="L445" t="str">
        <f t="shared" ca="1" si="54"/>
        <v>f文字列（8進数表記指定 0埋め）</v>
      </c>
      <c r="M445" s="2" t="str">
        <f t="shared" ca="1" si="55"/>
        <v/>
      </c>
      <c r="N445" s="2" t="str">
        <f t="shared" ca="1" si="56"/>
        <v>○</v>
      </c>
      <c r="O445" s="2" t="str">
        <f t="shared" ca="1" si="59"/>
        <v/>
      </c>
      <c r="P445" s="2" t="str">
        <f t="shared" ca="1" si="60"/>
        <v/>
      </c>
    </row>
    <row r="446" spans="1:16">
      <c r="A446">
        <f t="shared" si="61"/>
        <v>443</v>
      </c>
      <c r="B446" t="str">
        <f ca="1">IFERROR(VLOOKUP($A446,'vbs,vba'!$G:$H,2,FALSE),"")</f>
        <v/>
      </c>
      <c r="C446" t="str">
        <f ca="1">IFERROR(VLOOKUP($A446,python!$I:$J,2,FALSE),"")</f>
        <v>f文字列（カンマ区切り指定）</v>
      </c>
      <c r="D446" t="str">
        <f ca="1">IFERROR(VLOOKUP($A446,bat!$F:$G,2,FALSE),"")</f>
        <v/>
      </c>
      <c r="E446" t="str">
        <f ca="1">IFERROR(VLOOKUP($A446,shell!$F:$G,2,FALSE),"")</f>
        <v/>
      </c>
      <c r="F446" t="str">
        <f t="shared" ca="1" si="57"/>
        <v>f文字列（カンマ区切り指定）</v>
      </c>
      <c r="G446">
        <f ca="1">IF($F446="","",COUNTIF($F$3:$F446,$F446))</f>
        <v>1</v>
      </c>
      <c r="H446">
        <f ca="1">IF(OR(G446&gt;1,G446=""),"",COUNTIF($G$3:$G446,1))</f>
        <v>431</v>
      </c>
      <c r="I446" t="str">
        <f t="shared" ca="1" si="58"/>
        <v>f文字列（カンマ区切り指定）</v>
      </c>
      <c r="K446">
        <f t="shared" si="62"/>
        <v>443</v>
      </c>
      <c r="L446" t="str">
        <f t="shared" ca="1" si="54"/>
        <v>f文字列（16進数表記指定(小文字) 0埋め）</v>
      </c>
      <c r="M446" s="2" t="str">
        <f t="shared" ca="1" si="55"/>
        <v/>
      </c>
      <c r="N446" s="2" t="str">
        <f t="shared" ca="1" si="56"/>
        <v>○</v>
      </c>
      <c r="O446" s="2" t="str">
        <f t="shared" ca="1" si="59"/>
        <v/>
      </c>
      <c r="P446" s="2" t="str">
        <f t="shared" ca="1" si="60"/>
        <v/>
      </c>
    </row>
    <row r="447" spans="1:16">
      <c r="A447">
        <f t="shared" si="61"/>
        <v>444</v>
      </c>
      <c r="B447" t="str">
        <f ca="1">IFERROR(VLOOKUP($A447,'vbs,vba'!$G:$H,2,FALSE),"")</f>
        <v/>
      </c>
      <c r="C447" t="str">
        <f ca="1">IFERROR(VLOOKUP($A447,python!$I:$J,2,FALSE),"")</f>
        <v>f文字列（浮動小数 桁数指定）</v>
      </c>
      <c r="D447" t="str">
        <f ca="1">IFERROR(VLOOKUP($A447,bat!$F:$G,2,FALSE),"")</f>
        <v/>
      </c>
      <c r="E447" t="str">
        <f ca="1">IFERROR(VLOOKUP($A447,shell!$F:$G,2,FALSE),"")</f>
        <v/>
      </c>
      <c r="F447" t="str">
        <f t="shared" ca="1" si="57"/>
        <v>f文字列（浮動小数 桁数指定）</v>
      </c>
      <c r="G447">
        <f ca="1">IF($F447="","",COUNTIF($F$3:$F447,$F447))</f>
        <v>1</v>
      </c>
      <c r="H447">
        <f ca="1">IF(OR(G447&gt;1,G447=""),"",COUNTIF($G$3:$G447,1))</f>
        <v>432</v>
      </c>
      <c r="I447" t="str">
        <f t="shared" ca="1" si="58"/>
        <v>f文字列（浮動小数 桁数指定）</v>
      </c>
      <c r="K447">
        <f t="shared" si="62"/>
        <v>444</v>
      </c>
      <c r="L447" t="str">
        <f t="shared" ca="1" si="54"/>
        <v>f文字列（16進数表記指定(大文字) 0埋め）</v>
      </c>
      <c r="M447" s="2" t="str">
        <f t="shared" ca="1" si="55"/>
        <v/>
      </c>
      <c r="N447" s="2" t="str">
        <f t="shared" ca="1" si="56"/>
        <v>○</v>
      </c>
      <c r="O447" s="2" t="str">
        <f t="shared" ca="1" si="59"/>
        <v/>
      </c>
      <c r="P447" s="2" t="str">
        <f t="shared" ca="1" si="60"/>
        <v/>
      </c>
    </row>
    <row r="448" spans="1:16">
      <c r="A448">
        <f t="shared" si="61"/>
        <v>445</v>
      </c>
      <c r="B448" t="str">
        <f ca="1">IFERROR(VLOOKUP($A448,'vbs,vba'!$G:$H,2,FALSE),"")</f>
        <v/>
      </c>
      <c r="C448" t="str">
        <f ca="1">IFERROR(VLOOKUP($A448,python!$I:$J,2,FALSE),"")</f>
        <v>f文字列（浮動小数 有効桁数指定）</v>
      </c>
      <c r="D448" t="str">
        <f ca="1">IFERROR(VLOOKUP($A448,bat!$F:$G,2,FALSE),"")</f>
        <v/>
      </c>
      <c r="E448" t="str">
        <f ca="1">IFERROR(VLOOKUP($A448,shell!$F:$G,2,FALSE),"")</f>
        <v/>
      </c>
      <c r="F448" t="str">
        <f t="shared" ca="1" si="57"/>
        <v>f文字列（浮動小数 有効桁数指定）</v>
      </c>
      <c r="G448">
        <f ca="1">IF($F448="","",COUNTIF($F$3:$F448,$F448))</f>
        <v>1</v>
      </c>
      <c r="H448">
        <f ca="1">IF(OR(G448&gt;1,G448=""),"",COUNTIF($G$3:$G448,1))</f>
        <v>433</v>
      </c>
      <c r="I448" t="str">
        <f t="shared" ca="1" si="58"/>
        <v>f文字列（浮動小数 有効桁数指定）</v>
      </c>
      <c r="K448">
        <f t="shared" si="62"/>
        <v>445</v>
      </c>
      <c r="L448" t="str">
        <f t="shared" ca="1" si="54"/>
        <v>f文字列（2進数表記指定 プレフィックス付与）</v>
      </c>
      <c r="M448" s="2" t="str">
        <f t="shared" ca="1" si="55"/>
        <v/>
      </c>
      <c r="N448" s="2" t="str">
        <f t="shared" ca="1" si="56"/>
        <v>○</v>
      </c>
      <c r="O448" s="2" t="str">
        <f t="shared" ca="1" si="59"/>
        <v/>
      </c>
      <c r="P448" s="2" t="str">
        <f t="shared" ca="1" si="60"/>
        <v/>
      </c>
    </row>
    <row r="449" spans="1:16">
      <c r="A449">
        <f t="shared" si="61"/>
        <v>446</v>
      </c>
      <c r="B449" t="str">
        <f ca="1">IFERROR(VLOOKUP($A449,'vbs,vba'!$G:$H,2,FALSE),"")</f>
        <v/>
      </c>
      <c r="C449" t="str">
        <f ca="1">IFERROR(VLOOKUP($A449,python!$I:$J,2,FALSE),"")</f>
        <v>f文字列（浮動小数 指数表記指定(小文字)）</v>
      </c>
      <c r="D449" t="str">
        <f ca="1">IFERROR(VLOOKUP($A449,bat!$F:$G,2,FALSE),"")</f>
        <v/>
      </c>
      <c r="E449" t="str">
        <f ca="1">IFERROR(VLOOKUP($A449,shell!$F:$G,2,FALSE),"")</f>
        <v/>
      </c>
      <c r="F449" t="str">
        <f t="shared" ca="1" si="57"/>
        <v>f文字列（浮動小数 指数表記指定(小文字)）</v>
      </c>
      <c r="G449">
        <f ca="1">IF($F449="","",COUNTIF($F$3:$F449,$F449))</f>
        <v>1</v>
      </c>
      <c r="H449">
        <f ca="1">IF(OR(G449&gt;1,G449=""),"",COUNTIF($G$3:$G449,1))</f>
        <v>434</v>
      </c>
      <c r="I449" t="str">
        <f t="shared" ca="1" si="58"/>
        <v>f文字列（浮動小数 指数表記指定(小文字)）</v>
      </c>
      <c r="K449">
        <f t="shared" si="62"/>
        <v>446</v>
      </c>
      <c r="L449" t="str">
        <f t="shared" ca="1" si="54"/>
        <v>f文字列（8進数表記指定 プレフィックス付与）</v>
      </c>
      <c r="M449" s="2" t="str">
        <f t="shared" ca="1" si="55"/>
        <v/>
      </c>
      <c r="N449" s="2" t="str">
        <f t="shared" ca="1" si="56"/>
        <v>○</v>
      </c>
      <c r="O449" s="2" t="str">
        <f t="shared" ca="1" si="59"/>
        <v/>
      </c>
      <c r="P449" s="2" t="str">
        <f t="shared" ca="1" si="60"/>
        <v/>
      </c>
    </row>
    <row r="450" spans="1:16">
      <c r="A450">
        <f t="shared" si="61"/>
        <v>447</v>
      </c>
      <c r="B450" t="str">
        <f ca="1">IFERROR(VLOOKUP($A450,'vbs,vba'!$G:$H,2,FALSE),"")</f>
        <v/>
      </c>
      <c r="C450" t="str">
        <f ca="1">IFERROR(VLOOKUP($A450,python!$I:$J,2,FALSE),"")</f>
        <v>f文字列（浮動小数 指数表記指定(大文字)）</v>
      </c>
      <c r="D450" t="str">
        <f ca="1">IFERROR(VLOOKUP($A450,bat!$F:$G,2,FALSE),"")</f>
        <v/>
      </c>
      <c r="E450" t="str">
        <f ca="1">IFERROR(VLOOKUP($A450,shell!$F:$G,2,FALSE),"")</f>
        <v/>
      </c>
      <c r="F450" t="str">
        <f t="shared" ca="1" si="57"/>
        <v>f文字列（浮動小数 指数表記指定(大文字)）</v>
      </c>
      <c r="G450">
        <f ca="1">IF($F450="","",COUNTIF($F$3:$F450,$F450))</f>
        <v>1</v>
      </c>
      <c r="H450">
        <f ca="1">IF(OR(G450&gt;1,G450=""),"",COUNTIF($G$3:$G450,1))</f>
        <v>435</v>
      </c>
      <c r="I450" t="str">
        <f t="shared" ca="1" si="58"/>
        <v>f文字列（浮動小数 指数表記指定(大文字)）</v>
      </c>
      <c r="K450">
        <f t="shared" si="62"/>
        <v>447</v>
      </c>
      <c r="L450" t="str">
        <f t="shared" ca="1" si="54"/>
        <v>f文字列（16進数表記指定(小文字) プレフィックス付与）</v>
      </c>
      <c r="M450" s="2" t="str">
        <f t="shared" ca="1" si="55"/>
        <v/>
      </c>
      <c r="N450" s="2" t="str">
        <f t="shared" ca="1" si="56"/>
        <v>○</v>
      </c>
      <c r="O450" s="2" t="str">
        <f t="shared" ca="1" si="59"/>
        <v/>
      </c>
      <c r="P450" s="2" t="str">
        <f t="shared" ca="1" si="60"/>
        <v/>
      </c>
    </row>
    <row r="451" spans="1:16">
      <c r="A451">
        <f t="shared" si="61"/>
        <v>448</v>
      </c>
      <c r="B451" t="str">
        <f ca="1">IFERROR(VLOOKUP($A451,'vbs,vba'!$G:$H,2,FALSE),"")</f>
        <v/>
      </c>
      <c r="C451" t="str">
        <f ca="1">IFERROR(VLOOKUP($A451,python!$I:$J,2,FALSE),"")</f>
        <v>f文字列（浮動小数 パーセンテージ表記指定）</v>
      </c>
      <c r="D451" t="str">
        <f ca="1">IFERROR(VLOOKUP($A451,bat!$F:$G,2,FALSE),"")</f>
        <v/>
      </c>
      <c r="E451" t="str">
        <f ca="1">IFERROR(VLOOKUP($A451,shell!$F:$G,2,FALSE),"")</f>
        <v/>
      </c>
      <c r="F451" t="str">
        <f t="shared" ca="1" si="57"/>
        <v>f文字列（浮動小数 パーセンテージ表記指定）</v>
      </c>
      <c r="G451">
        <f ca="1">IF($F451="","",COUNTIF($F$3:$F451,$F451))</f>
        <v>1</v>
      </c>
      <c r="H451">
        <f ca="1">IF(OR(G451&gt;1,G451=""),"",COUNTIF($G$3:$G451,1))</f>
        <v>436</v>
      </c>
      <c r="I451" t="str">
        <f t="shared" ca="1" si="58"/>
        <v>f文字列（浮動小数 パーセンテージ表記指定）</v>
      </c>
      <c r="K451">
        <f t="shared" si="62"/>
        <v>448</v>
      </c>
      <c r="L451" t="str">
        <f t="shared" ca="1" si="54"/>
        <v>f文字列（16進数表記指定(大文字) プレフィックス付与）</v>
      </c>
      <c r="M451" s="2" t="str">
        <f t="shared" ca="1" si="55"/>
        <v/>
      </c>
      <c r="N451" s="2" t="str">
        <f t="shared" ca="1" si="56"/>
        <v>○</v>
      </c>
      <c r="O451" s="2" t="str">
        <f t="shared" ca="1" si="59"/>
        <v/>
      </c>
      <c r="P451" s="2" t="str">
        <f t="shared" ca="1" si="60"/>
        <v/>
      </c>
    </row>
    <row r="452" spans="1:16">
      <c r="A452">
        <f t="shared" si="61"/>
        <v>449</v>
      </c>
      <c r="B452" t="str">
        <f ca="1">IFERROR(VLOOKUP($A452,'vbs,vba'!$G:$H,2,FALSE),"")</f>
        <v/>
      </c>
      <c r="C452" t="str">
        <f ca="1">IFERROR(VLOOKUP($A452,python!$I:$J,2,FALSE),"")</f>
        <v>f文字列（2進数表記指定）</v>
      </c>
      <c r="D452" t="str">
        <f ca="1">IFERROR(VLOOKUP($A452,bat!$F:$G,2,FALSE),"")</f>
        <v/>
      </c>
      <c r="E452" t="str">
        <f ca="1">IFERROR(VLOOKUP($A452,shell!$F:$G,2,FALSE),"")</f>
        <v/>
      </c>
      <c r="F452" t="str">
        <f t="shared" ca="1" si="57"/>
        <v>f文字列（2進数表記指定）</v>
      </c>
      <c r="G452">
        <f ca="1">IF($F452="","",COUNTIF($F$3:$F452,$F452))</f>
        <v>1</v>
      </c>
      <c r="H452">
        <f ca="1">IF(OR(G452&gt;1,G452=""),"",COUNTIF($G$3:$G452,1))</f>
        <v>437</v>
      </c>
      <c r="I452" t="str">
        <f t="shared" ca="1" si="58"/>
        <v>f文字列（2進数表記指定）</v>
      </c>
      <c r="K452">
        <f t="shared" si="62"/>
        <v>449</v>
      </c>
      <c r="L452" t="str">
        <f t="shared" ref="L452:L515" ca="1" si="63">IFERROR(VLOOKUP($K452,$H:$I,2,FALSE),"")</f>
        <v>f文字列（日時表記）</v>
      </c>
      <c r="M452" s="2" t="str">
        <f t="shared" ref="M452:M496" ca="1" si="64">IF($L452="","",IF(COUNTIF(B$3:B$1004,$L452)&gt;0,"○",""))</f>
        <v/>
      </c>
      <c r="N452" s="2" t="str">
        <f t="shared" ref="N452:N515" ca="1" si="65">IF($L452="","",IF(COUNTIF(C$3:C$1004,$L452)&gt;0,"○",""))</f>
        <v>○</v>
      </c>
      <c r="O452" s="2" t="str">
        <f t="shared" ca="1" si="59"/>
        <v/>
      </c>
      <c r="P452" s="2" t="str">
        <f t="shared" ca="1" si="60"/>
        <v/>
      </c>
    </row>
    <row r="453" spans="1:16">
      <c r="A453">
        <f t="shared" si="61"/>
        <v>450</v>
      </c>
      <c r="B453" t="str">
        <f ca="1">IFERROR(VLOOKUP($A453,'vbs,vba'!$G:$H,2,FALSE),"")</f>
        <v/>
      </c>
      <c r="C453" t="str">
        <f ca="1">IFERROR(VLOOKUP($A453,python!$I:$J,2,FALSE),"")</f>
        <v>f文字列（8進数表記指定）</v>
      </c>
      <c r="D453" t="str">
        <f ca="1">IFERROR(VLOOKUP($A453,bat!$F:$G,2,FALSE),"")</f>
        <v/>
      </c>
      <c r="E453" t="str">
        <f ca="1">IFERROR(VLOOKUP($A453,shell!$F:$G,2,FALSE),"")</f>
        <v/>
      </c>
      <c r="F453" t="str">
        <f t="shared" ref="F453:F516" ca="1" si="66">B453&amp;C453&amp;D453&amp;E453</f>
        <v>f文字列（8進数表記指定）</v>
      </c>
      <c r="G453">
        <f ca="1">IF($F453="","",COUNTIF($F$3:$F453,$F453))</f>
        <v>1</v>
      </c>
      <c r="H453">
        <f ca="1">IF(OR(G453&gt;1,G453=""),"",COUNTIF($G$3:$G453,1))</f>
        <v>438</v>
      </c>
      <c r="I453" t="str">
        <f t="shared" ref="I453:I516" ca="1" si="67">F453</f>
        <v>f文字列（8進数表記指定）</v>
      </c>
      <c r="K453">
        <f t="shared" si="62"/>
        <v>450</v>
      </c>
      <c r="L453" t="str">
        <f t="shared" ca="1" si="63"/>
        <v>f文字列（空白右詰め）</v>
      </c>
      <c r="M453" s="2" t="str">
        <f t="shared" ca="1" si="64"/>
        <v/>
      </c>
      <c r="N453" s="2" t="str">
        <f t="shared" ca="1" si="65"/>
        <v>○</v>
      </c>
      <c r="O453" s="2" t="str">
        <f t="shared" ref="O453:O516" ca="1" si="68">IF($L453="","",IF(COUNTIF(D$3:D$1004,$L453)&gt;0,"○",""))</f>
        <v/>
      </c>
      <c r="P453" s="2" t="str">
        <f t="shared" ref="P453:P516" ca="1" si="69">IF($L453="","",IF(COUNTIF(E$3:E$1004,$L453)&gt;0,"○",""))</f>
        <v/>
      </c>
    </row>
    <row r="454" spans="1:16">
      <c r="A454">
        <f t="shared" ref="A454:A517" si="70">A453+1</f>
        <v>451</v>
      </c>
      <c r="B454" t="str">
        <f ca="1">IFERROR(VLOOKUP($A454,'vbs,vba'!$G:$H,2,FALSE),"")</f>
        <v/>
      </c>
      <c r="C454" t="str">
        <f ca="1">IFERROR(VLOOKUP($A454,python!$I:$J,2,FALSE),"")</f>
        <v>f文字列（16進数表記指定(小文字)）</v>
      </c>
      <c r="D454" t="str">
        <f ca="1">IFERROR(VLOOKUP($A454,bat!$F:$G,2,FALSE),"")</f>
        <v/>
      </c>
      <c r="E454" t="str">
        <f ca="1">IFERROR(VLOOKUP($A454,shell!$F:$G,2,FALSE),"")</f>
        <v/>
      </c>
      <c r="F454" t="str">
        <f t="shared" ca="1" si="66"/>
        <v>f文字列（16進数表記指定(小文字)）</v>
      </c>
      <c r="G454">
        <f ca="1">IF($F454="","",COUNTIF($F$3:$F454,$F454))</f>
        <v>1</v>
      </c>
      <c r="H454">
        <f ca="1">IF(OR(G454&gt;1,G454=""),"",COUNTIF($G$3:$G454,1))</f>
        <v>439</v>
      </c>
      <c r="I454" t="str">
        <f t="shared" ca="1" si="67"/>
        <v>f文字列（16進数表記指定(小文字)）</v>
      </c>
      <c r="K454">
        <f t="shared" ref="K454:K517" si="71">K453+1</f>
        <v>451</v>
      </c>
      <c r="L454" t="str">
        <f t="shared" ca="1" si="63"/>
        <v>f文字列（空白中央詰め）</v>
      </c>
      <c r="M454" s="2" t="str">
        <f t="shared" ca="1" si="64"/>
        <v/>
      </c>
      <c r="N454" s="2" t="str">
        <f t="shared" ca="1" si="65"/>
        <v>○</v>
      </c>
      <c r="O454" s="2" t="str">
        <f t="shared" ca="1" si="68"/>
        <v/>
      </c>
      <c r="P454" s="2" t="str">
        <f t="shared" ca="1" si="69"/>
        <v/>
      </c>
    </row>
    <row r="455" spans="1:16">
      <c r="A455">
        <f t="shared" si="70"/>
        <v>452</v>
      </c>
      <c r="B455" t="str">
        <f ca="1">IFERROR(VLOOKUP($A455,'vbs,vba'!$G:$H,2,FALSE),"")</f>
        <v/>
      </c>
      <c r="C455" t="str">
        <f ca="1">IFERROR(VLOOKUP($A455,python!$I:$J,2,FALSE),"")</f>
        <v>f文字列（16進数表記指定(大文字)）</v>
      </c>
      <c r="D455" t="str">
        <f ca="1">IFERROR(VLOOKUP($A455,bat!$F:$G,2,FALSE),"")</f>
        <v/>
      </c>
      <c r="E455" t="str">
        <f ca="1">IFERROR(VLOOKUP($A455,shell!$F:$G,2,FALSE),"")</f>
        <v/>
      </c>
      <c r="F455" t="str">
        <f t="shared" ca="1" si="66"/>
        <v>f文字列（16進数表記指定(大文字)）</v>
      </c>
      <c r="G455">
        <f ca="1">IF($F455="","",COUNTIF($F$3:$F455,$F455))</f>
        <v>1</v>
      </c>
      <c r="H455">
        <f ca="1">IF(OR(G455&gt;1,G455=""),"",COUNTIF($G$3:$G455,1))</f>
        <v>440</v>
      </c>
      <c r="I455" t="str">
        <f t="shared" ca="1" si="67"/>
        <v>f文字列（16進数表記指定(大文字)）</v>
      </c>
      <c r="K455">
        <f t="shared" si="71"/>
        <v>452</v>
      </c>
      <c r="L455" t="str">
        <f t="shared" ca="1" si="63"/>
        <v>f文字列（空白左詰め）</v>
      </c>
      <c r="M455" s="2" t="str">
        <f t="shared" ca="1" si="64"/>
        <v/>
      </c>
      <c r="N455" s="2" t="str">
        <f t="shared" ca="1" si="65"/>
        <v>○</v>
      </c>
      <c r="O455" s="2" t="str">
        <f t="shared" ca="1" si="68"/>
        <v/>
      </c>
      <c r="P455" s="2" t="str">
        <f t="shared" ca="1" si="69"/>
        <v/>
      </c>
    </row>
    <row r="456" spans="1:16">
      <c r="A456">
        <f t="shared" si="70"/>
        <v>453</v>
      </c>
      <c r="B456" t="str">
        <f ca="1">IFERROR(VLOOKUP($A456,'vbs,vba'!$G:$H,2,FALSE),"")</f>
        <v/>
      </c>
      <c r="C456" t="str">
        <f ca="1">IFERROR(VLOOKUP($A456,python!$I:$J,2,FALSE),"")</f>
        <v>f文字列（2進数表記指定 0埋め）</v>
      </c>
      <c r="D456" t="str">
        <f ca="1">IFERROR(VLOOKUP($A456,bat!$F:$G,2,FALSE),"")</f>
        <v/>
      </c>
      <c r="E456" t="str">
        <f ca="1">IFERROR(VLOOKUP($A456,shell!$F:$G,2,FALSE),"")</f>
        <v/>
      </c>
      <c r="F456" t="str">
        <f t="shared" ca="1" si="66"/>
        <v>f文字列（2進数表記指定 0埋め）</v>
      </c>
      <c r="G456">
        <f ca="1">IF($F456="","",COUNTIF($F$3:$F456,$F456))</f>
        <v>1</v>
      </c>
      <c r="H456">
        <f ca="1">IF(OR(G456&gt;1,G456=""),"",COUNTIF($G$3:$G456,1))</f>
        <v>441</v>
      </c>
      <c r="I456" t="str">
        <f t="shared" ca="1" si="67"/>
        <v>f文字列（2進数表記指定 0埋め）</v>
      </c>
      <c r="K456">
        <f t="shared" si="71"/>
        <v>453</v>
      </c>
      <c r="L456" t="str">
        <f t="shared" ca="1" si="63"/>
        <v>f文字列（指定文字右詰め）</v>
      </c>
      <c r="M456" s="2" t="str">
        <f t="shared" ca="1" si="64"/>
        <v/>
      </c>
      <c r="N456" s="2" t="str">
        <f t="shared" ca="1" si="65"/>
        <v>○</v>
      </c>
      <c r="O456" s="2" t="str">
        <f t="shared" ca="1" si="68"/>
        <v/>
      </c>
      <c r="P456" s="2" t="str">
        <f t="shared" ca="1" si="69"/>
        <v/>
      </c>
    </row>
    <row r="457" spans="1:16">
      <c r="A457">
        <f t="shared" si="70"/>
        <v>454</v>
      </c>
      <c r="B457" t="str">
        <f ca="1">IFERROR(VLOOKUP($A457,'vbs,vba'!$G:$H,2,FALSE),"")</f>
        <v/>
      </c>
      <c r="C457" t="str">
        <f ca="1">IFERROR(VLOOKUP($A457,python!$I:$J,2,FALSE),"")</f>
        <v>f文字列（8進数表記指定 0埋め）</v>
      </c>
      <c r="D457" t="str">
        <f ca="1">IFERROR(VLOOKUP($A457,bat!$F:$G,2,FALSE),"")</f>
        <v/>
      </c>
      <c r="E457" t="str">
        <f ca="1">IFERROR(VLOOKUP($A457,shell!$F:$G,2,FALSE),"")</f>
        <v/>
      </c>
      <c r="F457" t="str">
        <f t="shared" ca="1" si="66"/>
        <v>f文字列（8進数表記指定 0埋め）</v>
      </c>
      <c r="G457">
        <f ca="1">IF($F457="","",COUNTIF($F$3:$F457,$F457))</f>
        <v>1</v>
      </c>
      <c r="H457">
        <f ca="1">IF(OR(G457&gt;1,G457=""),"",COUNTIF($G$3:$G457,1))</f>
        <v>442</v>
      </c>
      <c r="I457" t="str">
        <f t="shared" ca="1" si="67"/>
        <v>f文字列（8進数表記指定 0埋め）</v>
      </c>
      <c r="K457">
        <f t="shared" si="71"/>
        <v>454</v>
      </c>
      <c r="L457" t="str">
        <f t="shared" ca="1" si="63"/>
        <v>f文字列（指定文字中央詰め）</v>
      </c>
      <c r="M457" s="2" t="str">
        <f t="shared" ca="1" si="64"/>
        <v/>
      </c>
      <c r="N457" s="2" t="str">
        <f t="shared" ca="1" si="65"/>
        <v>○</v>
      </c>
      <c r="O457" s="2" t="str">
        <f t="shared" ca="1" si="68"/>
        <v/>
      </c>
      <c r="P457" s="2" t="str">
        <f t="shared" ca="1" si="69"/>
        <v/>
      </c>
    </row>
    <row r="458" spans="1:16">
      <c r="A458">
        <f t="shared" si="70"/>
        <v>455</v>
      </c>
      <c r="B458" t="str">
        <f ca="1">IFERROR(VLOOKUP($A458,'vbs,vba'!$G:$H,2,FALSE),"")</f>
        <v/>
      </c>
      <c r="C458" t="str">
        <f ca="1">IFERROR(VLOOKUP($A458,python!$I:$J,2,FALSE),"")</f>
        <v>f文字列（16進数表記指定(小文字) 0埋め）</v>
      </c>
      <c r="D458" t="str">
        <f ca="1">IFERROR(VLOOKUP($A458,bat!$F:$G,2,FALSE),"")</f>
        <v/>
      </c>
      <c r="E458" t="str">
        <f ca="1">IFERROR(VLOOKUP($A458,shell!$F:$G,2,FALSE),"")</f>
        <v/>
      </c>
      <c r="F458" t="str">
        <f t="shared" ca="1" si="66"/>
        <v>f文字列（16進数表記指定(小文字) 0埋め）</v>
      </c>
      <c r="G458">
        <f ca="1">IF($F458="","",COUNTIF($F$3:$F458,$F458))</f>
        <v>1</v>
      </c>
      <c r="H458">
        <f ca="1">IF(OR(G458&gt;1,G458=""),"",COUNTIF($G$3:$G458,1))</f>
        <v>443</v>
      </c>
      <c r="I458" t="str">
        <f t="shared" ca="1" si="67"/>
        <v>f文字列（16進数表記指定(小文字) 0埋め）</v>
      </c>
      <c r="K458">
        <f t="shared" si="71"/>
        <v>455</v>
      </c>
      <c r="L458" t="str">
        <f t="shared" ca="1" si="63"/>
        <v>f文字列（指定文字左詰め）</v>
      </c>
      <c r="M458" s="2" t="str">
        <f t="shared" ca="1" si="64"/>
        <v/>
      </c>
      <c r="N458" s="2" t="str">
        <f t="shared" ca="1" si="65"/>
        <v>○</v>
      </c>
      <c r="O458" s="2" t="str">
        <f t="shared" ca="1" si="68"/>
        <v/>
      </c>
      <c r="P458" s="2" t="str">
        <f t="shared" ca="1" si="69"/>
        <v/>
      </c>
    </row>
    <row r="459" spans="1:16">
      <c r="A459">
        <f t="shared" si="70"/>
        <v>456</v>
      </c>
      <c r="B459" t="str">
        <f ca="1">IFERROR(VLOOKUP($A459,'vbs,vba'!$G:$H,2,FALSE),"")</f>
        <v/>
      </c>
      <c r="C459" t="str">
        <f ca="1">IFERROR(VLOOKUP($A459,python!$I:$J,2,FALSE),"")</f>
        <v>f文字列（16進数表記指定(大文字) 0埋め）</v>
      </c>
      <c r="D459" t="str">
        <f ca="1">IFERROR(VLOOKUP($A459,bat!$F:$G,2,FALSE),"")</f>
        <v/>
      </c>
      <c r="E459" t="str">
        <f ca="1">IFERROR(VLOOKUP($A459,shell!$F:$G,2,FALSE),"")</f>
        <v/>
      </c>
      <c r="F459" t="str">
        <f t="shared" ca="1" si="66"/>
        <v>f文字列（16進数表記指定(大文字) 0埋め）</v>
      </c>
      <c r="G459">
        <f ca="1">IF($F459="","",COUNTIF($F$3:$F459,$F459))</f>
        <v>1</v>
      </c>
      <c r="H459">
        <f ca="1">IF(OR(G459&gt;1,G459=""),"",COUNTIF($G$3:$G459,1))</f>
        <v>444</v>
      </c>
      <c r="I459" t="str">
        <f t="shared" ca="1" si="67"/>
        <v>f文字列（16進数表記指定(大文字) 0埋め）</v>
      </c>
      <c r="K459">
        <f t="shared" si="71"/>
        <v>456</v>
      </c>
      <c r="L459" t="str">
        <f t="shared" ca="1" si="63"/>
        <v>f文字列（変数名表示）</v>
      </c>
      <c r="M459" s="2" t="str">
        <f t="shared" ca="1" si="64"/>
        <v/>
      </c>
      <c r="N459" s="2" t="str">
        <f t="shared" ca="1" si="65"/>
        <v>○</v>
      </c>
      <c r="O459" s="2" t="str">
        <f t="shared" ca="1" si="68"/>
        <v/>
      </c>
      <c r="P459" s="2" t="str">
        <f t="shared" ca="1" si="69"/>
        <v/>
      </c>
    </row>
    <row r="460" spans="1:16">
      <c r="A460">
        <f t="shared" si="70"/>
        <v>457</v>
      </c>
      <c r="B460" t="str">
        <f ca="1">IFERROR(VLOOKUP($A460,'vbs,vba'!$G:$H,2,FALSE),"")</f>
        <v/>
      </c>
      <c r="C460" t="str">
        <f ca="1">IFERROR(VLOOKUP($A460,python!$I:$J,2,FALSE),"")</f>
        <v>f文字列（2進数表記指定 プレフィックス付与）</v>
      </c>
      <c r="D460" t="str">
        <f ca="1">IFERROR(VLOOKUP($A460,bat!$F:$G,2,FALSE),"")</f>
        <v/>
      </c>
      <c r="E460" t="str">
        <f ca="1">IFERROR(VLOOKUP($A460,shell!$F:$G,2,FALSE),"")</f>
        <v/>
      </c>
      <c r="F460" t="str">
        <f t="shared" ca="1" si="66"/>
        <v>f文字列（2進数表記指定 プレフィックス付与）</v>
      </c>
      <c r="G460">
        <f ca="1">IF($F460="","",COUNTIF($F$3:$F460,$F460))</f>
        <v>1</v>
      </c>
      <c r="H460">
        <f ca="1">IF(OR(G460&gt;1,G460=""),"",COUNTIF($G$3:$G460,1))</f>
        <v>445</v>
      </c>
      <c r="I460" t="str">
        <f t="shared" ca="1" si="67"/>
        <v>f文字列（2進数表記指定 プレフィックス付与）</v>
      </c>
      <c r="K460">
        <f t="shared" si="71"/>
        <v>457</v>
      </c>
      <c r="L460" t="str">
        <f t="shared" ca="1" si="63"/>
        <v>ASCII⇒文字列 変換</v>
      </c>
      <c r="M460" s="2" t="str">
        <f t="shared" ca="1" si="64"/>
        <v>○</v>
      </c>
      <c r="N460" s="2" t="str">
        <f t="shared" ca="1" si="65"/>
        <v>○</v>
      </c>
      <c r="O460" s="2" t="str">
        <f t="shared" ca="1" si="68"/>
        <v/>
      </c>
      <c r="P460" s="2" t="str">
        <f t="shared" ca="1" si="69"/>
        <v/>
      </c>
    </row>
    <row r="461" spans="1:16">
      <c r="A461">
        <f t="shared" si="70"/>
        <v>458</v>
      </c>
      <c r="B461" t="str">
        <f ca="1">IFERROR(VLOOKUP($A461,'vbs,vba'!$G:$H,2,FALSE),"")</f>
        <v/>
      </c>
      <c r="C461" t="str">
        <f ca="1">IFERROR(VLOOKUP($A461,python!$I:$J,2,FALSE),"")</f>
        <v>f文字列（8進数表記指定 プレフィックス付与）</v>
      </c>
      <c r="D461" t="str">
        <f ca="1">IFERROR(VLOOKUP($A461,bat!$F:$G,2,FALSE),"")</f>
        <v/>
      </c>
      <c r="E461" t="str">
        <f ca="1">IFERROR(VLOOKUP($A461,shell!$F:$G,2,FALSE),"")</f>
        <v/>
      </c>
      <c r="F461" t="str">
        <f t="shared" ca="1" si="66"/>
        <v>f文字列（8進数表記指定 プレフィックス付与）</v>
      </c>
      <c r="G461">
        <f ca="1">IF($F461="","",COUNTIF($F$3:$F461,$F461))</f>
        <v>1</v>
      </c>
      <c r="H461">
        <f ca="1">IF(OR(G461&gt;1,G461=""),"",COUNTIF($G$3:$G461,1))</f>
        <v>446</v>
      </c>
      <c r="I461" t="str">
        <f t="shared" ca="1" si="67"/>
        <v>f文字列（8進数表記指定 プレフィックス付与）</v>
      </c>
      <c r="K461">
        <f t="shared" si="71"/>
        <v>458</v>
      </c>
      <c r="L461" t="str">
        <f t="shared" ca="1" si="63"/>
        <v>文字列 繰り返し</v>
      </c>
      <c r="M461" s="2" t="str">
        <f t="shared" ca="1" si="64"/>
        <v/>
      </c>
      <c r="N461" s="2" t="str">
        <f t="shared" ca="1" si="65"/>
        <v>○</v>
      </c>
      <c r="O461" s="2" t="str">
        <f t="shared" ca="1" si="68"/>
        <v/>
      </c>
      <c r="P461" s="2" t="str">
        <f t="shared" ca="1" si="69"/>
        <v/>
      </c>
    </row>
    <row r="462" spans="1:16">
      <c r="A462">
        <f t="shared" si="70"/>
        <v>459</v>
      </c>
      <c r="B462" t="str">
        <f ca="1">IFERROR(VLOOKUP($A462,'vbs,vba'!$G:$H,2,FALSE),"")</f>
        <v/>
      </c>
      <c r="C462" t="str">
        <f ca="1">IFERROR(VLOOKUP($A462,python!$I:$J,2,FALSE),"")</f>
        <v>f文字列（16進数表記指定(小文字) プレフィックス付与）</v>
      </c>
      <c r="D462" t="str">
        <f ca="1">IFERROR(VLOOKUP($A462,bat!$F:$G,2,FALSE),"")</f>
        <v/>
      </c>
      <c r="E462" t="str">
        <f ca="1">IFERROR(VLOOKUP($A462,shell!$F:$G,2,FALSE),"")</f>
        <v/>
      </c>
      <c r="F462" t="str">
        <f t="shared" ca="1" si="66"/>
        <v>f文字列（16進数表記指定(小文字) プレフィックス付与）</v>
      </c>
      <c r="G462">
        <f ca="1">IF($F462="","",COUNTIF($F$3:$F462,$F462))</f>
        <v>1</v>
      </c>
      <c r="H462">
        <f ca="1">IF(OR(G462&gt;1,G462=""),"",COUNTIF($G$3:$G462,1))</f>
        <v>447</v>
      </c>
      <c r="I462" t="str">
        <f t="shared" ca="1" si="67"/>
        <v>f文字列（16進数表記指定(小文字) プレフィックス付与）</v>
      </c>
      <c r="K462">
        <f t="shared" si="71"/>
        <v>459</v>
      </c>
      <c r="L462" t="str">
        <f t="shared" ca="1" si="63"/>
        <v>文字列 大文字化</v>
      </c>
      <c r="M462" s="2" t="str">
        <f t="shared" ca="1" si="64"/>
        <v/>
      </c>
      <c r="N462" s="2" t="str">
        <f t="shared" ca="1" si="65"/>
        <v>○</v>
      </c>
      <c r="O462" s="2" t="str">
        <f t="shared" ca="1" si="68"/>
        <v/>
      </c>
      <c r="P462" s="2" t="str">
        <f t="shared" ca="1" si="69"/>
        <v/>
      </c>
    </row>
    <row r="463" spans="1:16">
      <c r="A463">
        <f t="shared" si="70"/>
        <v>460</v>
      </c>
      <c r="B463" t="str">
        <f ca="1">IFERROR(VLOOKUP($A463,'vbs,vba'!$G:$H,2,FALSE),"")</f>
        <v/>
      </c>
      <c r="C463" t="str">
        <f ca="1">IFERROR(VLOOKUP($A463,python!$I:$J,2,FALSE),"")</f>
        <v>f文字列（16進数表記指定(大文字) プレフィックス付与）</v>
      </c>
      <c r="D463" t="str">
        <f ca="1">IFERROR(VLOOKUP($A463,bat!$F:$G,2,FALSE),"")</f>
        <v/>
      </c>
      <c r="E463" t="str">
        <f ca="1">IFERROR(VLOOKUP($A463,shell!$F:$G,2,FALSE),"")</f>
        <v/>
      </c>
      <c r="F463" t="str">
        <f t="shared" ca="1" si="66"/>
        <v>f文字列（16進数表記指定(大文字) プレフィックス付与）</v>
      </c>
      <c r="G463">
        <f ca="1">IF($F463="","",COUNTIF($F$3:$F463,$F463))</f>
        <v>1</v>
      </c>
      <c r="H463">
        <f ca="1">IF(OR(G463&gt;1,G463=""),"",COUNTIF($G$3:$G463,1))</f>
        <v>448</v>
      </c>
      <c r="I463" t="str">
        <f t="shared" ca="1" si="67"/>
        <v>f文字列（16進数表記指定(大文字) プレフィックス付与）</v>
      </c>
      <c r="K463">
        <f t="shared" si="71"/>
        <v>460</v>
      </c>
      <c r="L463" t="str">
        <f t="shared" ca="1" si="63"/>
        <v>文字列 小文字化</v>
      </c>
      <c r="M463" s="2" t="str">
        <f t="shared" ca="1" si="64"/>
        <v/>
      </c>
      <c r="N463" s="2" t="str">
        <f t="shared" ca="1" si="65"/>
        <v>○</v>
      </c>
      <c r="O463" s="2" t="str">
        <f t="shared" ca="1" si="68"/>
        <v/>
      </c>
      <c r="P463" s="2" t="str">
        <f t="shared" ca="1" si="69"/>
        <v/>
      </c>
    </row>
    <row r="464" spans="1:16">
      <c r="A464">
        <f t="shared" si="70"/>
        <v>461</v>
      </c>
      <c r="B464" t="str">
        <f ca="1">IFERROR(VLOOKUP($A464,'vbs,vba'!$G:$H,2,FALSE),"")</f>
        <v/>
      </c>
      <c r="C464" t="str">
        <f ca="1">IFERROR(VLOOKUP($A464,python!$I:$J,2,FALSE),"")</f>
        <v>f文字列（日時表記）</v>
      </c>
      <c r="D464" t="str">
        <f ca="1">IFERROR(VLOOKUP($A464,bat!$F:$G,2,FALSE),"")</f>
        <v/>
      </c>
      <c r="E464" t="str">
        <f ca="1">IFERROR(VLOOKUP($A464,shell!$F:$G,2,FALSE),"")</f>
        <v/>
      </c>
      <c r="F464" t="str">
        <f t="shared" ca="1" si="66"/>
        <v>f文字列（日時表記）</v>
      </c>
      <c r="G464">
        <f ca="1">IF($F464="","",COUNTIF($F$3:$F464,$F464))</f>
        <v>1</v>
      </c>
      <c r="H464">
        <f ca="1">IF(OR(G464&gt;1,G464=""),"",COUNTIF($G$3:$G464,1))</f>
        <v>449</v>
      </c>
      <c r="I464" t="str">
        <f t="shared" ca="1" si="67"/>
        <v>f文字列（日時表記）</v>
      </c>
      <c r="K464">
        <f t="shared" si="71"/>
        <v>461</v>
      </c>
      <c r="L464" t="str">
        <f t="shared" ca="1" si="63"/>
        <v>文字列 文字埋込</v>
      </c>
      <c r="M464" s="2" t="str">
        <f t="shared" ca="1" si="64"/>
        <v/>
      </c>
      <c r="N464" s="2" t="str">
        <f t="shared" ca="1" si="65"/>
        <v>○</v>
      </c>
      <c r="O464" s="2" t="str">
        <f t="shared" ca="1" si="68"/>
        <v/>
      </c>
      <c r="P464" s="2" t="str">
        <f t="shared" ca="1" si="69"/>
        <v/>
      </c>
    </row>
    <row r="465" spans="1:16">
      <c r="A465">
        <f t="shared" si="70"/>
        <v>462</v>
      </c>
      <c r="B465" t="str">
        <f ca="1">IFERROR(VLOOKUP($A465,'vbs,vba'!$G:$H,2,FALSE),"")</f>
        <v/>
      </c>
      <c r="C465" t="str">
        <f ca="1">IFERROR(VLOOKUP($A465,python!$I:$J,2,FALSE),"")</f>
        <v>f文字列（空白右詰め）</v>
      </c>
      <c r="D465" t="str">
        <f ca="1">IFERROR(VLOOKUP($A465,bat!$F:$G,2,FALSE),"")</f>
        <v/>
      </c>
      <c r="E465" t="str">
        <f ca="1">IFERROR(VLOOKUP($A465,shell!$F:$G,2,FALSE),"")</f>
        <v/>
      </c>
      <c r="F465" t="str">
        <f t="shared" ca="1" si="66"/>
        <v>f文字列（空白右詰め）</v>
      </c>
      <c r="G465">
        <f ca="1">IF($F465="","",COUNTIF($F$3:$F465,$F465))</f>
        <v>1</v>
      </c>
      <c r="H465">
        <f ca="1">IF(OR(G465&gt;1,G465=""),"",COUNTIF($G$3:$G465,1))</f>
        <v>450</v>
      </c>
      <c r="I465" t="str">
        <f t="shared" ca="1" si="67"/>
        <v>f文字列（空白右詰め）</v>
      </c>
      <c r="K465">
        <f t="shared" si="71"/>
        <v>462</v>
      </c>
      <c r="L465" t="str">
        <f t="shared" ca="1" si="63"/>
        <v>文字列 ０埋込</v>
      </c>
      <c r="M465" s="2" t="str">
        <f t="shared" ca="1" si="64"/>
        <v/>
      </c>
      <c r="N465" s="2" t="str">
        <f t="shared" ca="1" si="65"/>
        <v>○</v>
      </c>
      <c r="O465" s="2" t="str">
        <f t="shared" ca="1" si="68"/>
        <v/>
      </c>
      <c r="P465" s="2" t="str">
        <f t="shared" ca="1" si="69"/>
        <v/>
      </c>
    </row>
    <row r="466" spans="1:16">
      <c r="A466">
        <f t="shared" si="70"/>
        <v>463</v>
      </c>
      <c r="B466" t="str">
        <f ca="1">IFERROR(VLOOKUP($A466,'vbs,vba'!$G:$H,2,FALSE),"")</f>
        <v/>
      </c>
      <c r="C466" t="str">
        <f ca="1">IFERROR(VLOOKUP($A466,python!$I:$J,2,FALSE),"")</f>
        <v>f文字列（空白中央詰め）</v>
      </c>
      <c r="D466" t="str">
        <f ca="1">IFERROR(VLOOKUP($A466,bat!$F:$G,2,FALSE),"")</f>
        <v/>
      </c>
      <c r="E466" t="str">
        <f ca="1">IFERROR(VLOOKUP($A466,shell!$F:$G,2,FALSE),"")</f>
        <v/>
      </c>
      <c r="F466" t="str">
        <f t="shared" ca="1" si="66"/>
        <v>f文字列（空白中央詰め）</v>
      </c>
      <c r="G466">
        <f ca="1">IF($F466="","",COUNTIF($F$3:$F466,$F466))</f>
        <v>1</v>
      </c>
      <c r="H466">
        <f ca="1">IF(OR(G466&gt;1,G466=""),"",COUNTIF($G$3:$G466,1))</f>
        <v>451</v>
      </c>
      <c r="I466" t="str">
        <f t="shared" ca="1" si="67"/>
        <v>f文字列（空白中央詰め）</v>
      </c>
      <c r="K466">
        <f t="shared" si="71"/>
        <v>463</v>
      </c>
      <c r="L466" t="str">
        <f t="shared" ca="1" si="63"/>
        <v>型取得（値）</v>
      </c>
      <c r="M466" s="2" t="str">
        <f t="shared" ca="1" si="64"/>
        <v>○</v>
      </c>
      <c r="N466" s="2" t="str">
        <f t="shared" ca="1" si="65"/>
        <v>○</v>
      </c>
      <c r="O466" s="2" t="str">
        <f t="shared" ca="1" si="68"/>
        <v/>
      </c>
      <c r="P466" s="2" t="str">
        <f t="shared" ca="1" si="69"/>
        <v/>
      </c>
    </row>
    <row r="467" spans="1:16">
      <c r="A467">
        <f t="shared" si="70"/>
        <v>464</v>
      </c>
      <c r="B467" t="str">
        <f ca="1">IFERROR(VLOOKUP($A467,'vbs,vba'!$G:$H,2,FALSE),"")</f>
        <v/>
      </c>
      <c r="C467" t="str">
        <f ca="1">IFERROR(VLOOKUP($A467,python!$I:$J,2,FALSE),"")</f>
        <v>f文字列（空白左詰め）</v>
      </c>
      <c r="D467" t="str">
        <f ca="1">IFERROR(VLOOKUP($A467,bat!$F:$G,2,FALSE),"")</f>
        <v/>
      </c>
      <c r="E467" t="str">
        <f ca="1">IFERROR(VLOOKUP($A467,shell!$F:$G,2,FALSE),"")</f>
        <v/>
      </c>
      <c r="F467" t="str">
        <f t="shared" ca="1" si="66"/>
        <v>f文字列（空白左詰め）</v>
      </c>
      <c r="G467">
        <f ca="1">IF($F467="","",COUNTIF($F$3:$F467,$F467))</f>
        <v>1</v>
      </c>
      <c r="H467">
        <f ca="1">IF(OR(G467&gt;1,G467=""),"",COUNTIF($G$3:$G467,1))</f>
        <v>452</v>
      </c>
      <c r="I467" t="str">
        <f t="shared" ca="1" si="67"/>
        <v>f文字列（空白左詰め）</v>
      </c>
      <c r="K467">
        <f t="shared" si="71"/>
        <v>464</v>
      </c>
      <c r="L467" t="str">
        <f t="shared" ca="1" si="63"/>
        <v>型取得（文字列）</v>
      </c>
      <c r="M467" s="2" t="str">
        <f t="shared" ca="1" si="64"/>
        <v>○</v>
      </c>
      <c r="N467" s="2" t="str">
        <f t="shared" ca="1" si="65"/>
        <v>○</v>
      </c>
      <c r="O467" s="2" t="str">
        <f t="shared" ca="1" si="68"/>
        <v/>
      </c>
      <c r="P467" s="2" t="str">
        <f t="shared" ca="1" si="69"/>
        <v/>
      </c>
    </row>
    <row r="468" spans="1:16">
      <c r="A468">
        <f t="shared" si="70"/>
        <v>465</v>
      </c>
      <c r="B468" t="str">
        <f ca="1">IFERROR(VLOOKUP($A468,'vbs,vba'!$G:$H,2,FALSE),"")</f>
        <v/>
      </c>
      <c r="C468" t="str">
        <f ca="1">IFERROR(VLOOKUP($A468,python!$I:$J,2,FALSE),"")</f>
        <v>f文字列（指定文字右詰め）</v>
      </c>
      <c r="D468" t="str">
        <f ca="1">IFERROR(VLOOKUP($A468,bat!$F:$G,2,FALSE),"")</f>
        <v/>
      </c>
      <c r="E468" t="str">
        <f ca="1">IFERROR(VLOOKUP($A468,shell!$F:$G,2,FALSE),"")</f>
        <v/>
      </c>
      <c r="F468" t="str">
        <f t="shared" ca="1" si="66"/>
        <v>f文字列（指定文字右詰め）</v>
      </c>
      <c r="G468">
        <f ca="1">IF($F468="","",COUNTIF($F$3:$F468,$F468))</f>
        <v>1</v>
      </c>
      <c r="H468">
        <f ca="1">IF(OR(G468&gt;1,G468=""),"",COUNTIF($G$3:$G468,1))</f>
        <v>453</v>
      </c>
      <c r="I468" t="str">
        <f t="shared" ca="1" si="67"/>
        <v>f文字列（指定文字右詰め）</v>
      </c>
      <c r="K468">
        <f t="shared" si="71"/>
        <v>465</v>
      </c>
      <c r="L468" t="str">
        <f t="shared" ca="1" si="63"/>
        <v>10⇒16進数変換</v>
      </c>
      <c r="M468" s="2" t="str">
        <f t="shared" ca="1" si="64"/>
        <v>○</v>
      </c>
      <c r="N468" s="2" t="str">
        <f t="shared" ca="1" si="65"/>
        <v>○</v>
      </c>
      <c r="O468" s="2" t="str">
        <f t="shared" ca="1" si="68"/>
        <v/>
      </c>
      <c r="P468" s="2" t="str">
        <f t="shared" ca="1" si="69"/>
        <v/>
      </c>
    </row>
    <row r="469" spans="1:16">
      <c r="A469">
        <f t="shared" si="70"/>
        <v>466</v>
      </c>
      <c r="B469" t="str">
        <f ca="1">IFERROR(VLOOKUP($A469,'vbs,vba'!$G:$H,2,FALSE),"")</f>
        <v/>
      </c>
      <c r="C469" t="str">
        <f ca="1">IFERROR(VLOOKUP($A469,python!$I:$J,2,FALSE),"")</f>
        <v>f文字列（指定文字中央詰め）</v>
      </c>
      <c r="D469" t="str">
        <f ca="1">IFERROR(VLOOKUP($A469,bat!$F:$G,2,FALSE),"")</f>
        <v/>
      </c>
      <c r="E469" t="str">
        <f ca="1">IFERROR(VLOOKUP($A469,shell!$F:$G,2,FALSE),"")</f>
        <v/>
      </c>
      <c r="F469" t="str">
        <f t="shared" ca="1" si="66"/>
        <v>f文字列（指定文字中央詰め）</v>
      </c>
      <c r="G469">
        <f ca="1">IF($F469="","",COUNTIF($F$3:$F469,$F469))</f>
        <v>1</v>
      </c>
      <c r="H469">
        <f ca="1">IF(OR(G469&gt;1,G469=""),"",COUNTIF($G$3:$G469,1))</f>
        <v>454</v>
      </c>
      <c r="I469" t="str">
        <f t="shared" ca="1" si="67"/>
        <v>f文字列（指定文字中央詰め）</v>
      </c>
      <c r="K469">
        <f t="shared" si="71"/>
        <v>466</v>
      </c>
      <c r="L469" t="str">
        <f t="shared" ca="1" si="63"/>
        <v>16⇒10進数変換</v>
      </c>
      <c r="M469" s="2" t="str">
        <f t="shared" ca="1" si="64"/>
        <v>○</v>
      </c>
      <c r="N469" s="2" t="str">
        <f t="shared" ca="1" si="65"/>
        <v>○</v>
      </c>
      <c r="O469" s="2" t="str">
        <f t="shared" ca="1" si="68"/>
        <v/>
      </c>
      <c r="P469" s="2" t="str">
        <f t="shared" ca="1" si="69"/>
        <v/>
      </c>
    </row>
    <row r="470" spans="1:16">
      <c r="A470">
        <f t="shared" si="70"/>
        <v>467</v>
      </c>
      <c r="B470" t="str">
        <f ca="1">IFERROR(VLOOKUP($A470,'vbs,vba'!$G:$H,2,FALSE),"")</f>
        <v/>
      </c>
      <c r="C470" t="str">
        <f ca="1">IFERROR(VLOOKUP($A470,python!$I:$J,2,FALSE),"")</f>
        <v>f文字列（指定文字左詰め）</v>
      </c>
      <c r="D470" t="str">
        <f ca="1">IFERROR(VLOOKUP($A470,bat!$F:$G,2,FALSE),"")</f>
        <v/>
      </c>
      <c r="E470" t="str">
        <f ca="1">IFERROR(VLOOKUP($A470,shell!$F:$G,2,FALSE),"")</f>
        <v/>
      </c>
      <c r="F470" t="str">
        <f t="shared" ca="1" si="66"/>
        <v>f文字列（指定文字左詰め）</v>
      </c>
      <c r="G470">
        <f ca="1">IF($F470="","",COUNTIF($F$3:$F470,$F470))</f>
        <v>1</v>
      </c>
      <c r="H470">
        <f ca="1">IF(OR(G470&gt;1,G470=""),"",COUNTIF($G$3:$G470,1))</f>
        <v>455</v>
      </c>
      <c r="I470" t="str">
        <f t="shared" ca="1" si="67"/>
        <v>f文字列（指定文字左詰め）</v>
      </c>
      <c r="K470">
        <f t="shared" si="71"/>
        <v>467</v>
      </c>
      <c r="L470" t="str">
        <f t="shared" ca="1" si="63"/>
        <v>数値リテラル(16進数)</v>
      </c>
      <c r="M470" s="2" t="str">
        <f t="shared" ca="1" si="64"/>
        <v/>
      </c>
      <c r="N470" s="2" t="str">
        <f t="shared" ca="1" si="65"/>
        <v>○</v>
      </c>
      <c r="O470" s="2" t="str">
        <f t="shared" ca="1" si="68"/>
        <v/>
      </c>
      <c r="P470" s="2" t="str">
        <f t="shared" ca="1" si="69"/>
        <v/>
      </c>
    </row>
    <row r="471" spans="1:16">
      <c r="A471">
        <f t="shared" si="70"/>
        <v>468</v>
      </c>
      <c r="B471" t="str">
        <f ca="1">IFERROR(VLOOKUP($A471,'vbs,vba'!$G:$H,2,FALSE),"")</f>
        <v/>
      </c>
      <c r="C471" t="str">
        <f ca="1">IFERROR(VLOOKUP($A471,python!$I:$J,2,FALSE),"")</f>
        <v>f文字列（変数名表示）</v>
      </c>
      <c r="D471" t="str">
        <f ca="1">IFERROR(VLOOKUP($A471,bat!$F:$G,2,FALSE),"")</f>
        <v/>
      </c>
      <c r="E471" t="str">
        <f ca="1">IFERROR(VLOOKUP($A471,shell!$F:$G,2,FALSE),"")</f>
        <v/>
      </c>
      <c r="F471" t="str">
        <f t="shared" ca="1" si="66"/>
        <v>f文字列（変数名表示）</v>
      </c>
      <c r="G471">
        <f ca="1">IF($F471="","",COUNTIF($F$3:$F471,$F471))</f>
        <v>1</v>
      </c>
      <c r="H471">
        <f ca="1">IF(OR(G471&gt;1,G471=""),"",COUNTIF($G$3:$G471,1))</f>
        <v>456</v>
      </c>
      <c r="I471" t="str">
        <f t="shared" ca="1" si="67"/>
        <v>f文字列（変数名表示）</v>
      </c>
      <c r="K471">
        <f t="shared" si="71"/>
        <v>468</v>
      </c>
      <c r="L471" t="str">
        <f t="shared" ca="1" si="63"/>
        <v>数値リテラル(2進数)</v>
      </c>
      <c r="M471" s="2" t="str">
        <f t="shared" ca="1" si="64"/>
        <v/>
      </c>
      <c r="N471" s="2" t="str">
        <f t="shared" ca="1" si="65"/>
        <v>○</v>
      </c>
      <c r="O471" s="2" t="str">
        <f t="shared" ca="1" si="68"/>
        <v/>
      </c>
      <c r="P471" s="2" t="str">
        <f t="shared" ca="1" si="69"/>
        <v/>
      </c>
    </row>
    <row r="472" spans="1:16">
      <c r="A472">
        <f t="shared" si="70"/>
        <v>469</v>
      </c>
      <c r="B472" t="str">
        <f ca="1">IFERROR(VLOOKUP($A472,'vbs,vba'!$G:$H,2,FALSE),"")</f>
        <v/>
      </c>
      <c r="C472" t="str">
        <f ca="1">IFERROR(VLOOKUP($A472,python!$I:$J,2,FALSE),"")</f>
        <v>f文字列（変数名表示）</v>
      </c>
      <c r="D472" t="str">
        <f ca="1">IFERROR(VLOOKUP($A472,bat!$F:$G,2,FALSE),"")</f>
        <v/>
      </c>
      <c r="E472" t="str">
        <f ca="1">IFERROR(VLOOKUP($A472,shell!$F:$G,2,FALSE),"")</f>
        <v/>
      </c>
      <c r="F472" t="str">
        <f t="shared" ca="1" si="66"/>
        <v>f文字列（変数名表示）</v>
      </c>
      <c r="G472">
        <f ca="1">IF($F472="","",COUNTIF($F$3:$F472,$F472))</f>
        <v>2</v>
      </c>
      <c r="H472" t="str">
        <f ca="1">IF(OR(G472&gt;1,G472=""),"",COUNTIF($G$3:$G472,1))</f>
        <v/>
      </c>
      <c r="I472" t="str">
        <f t="shared" ca="1" si="67"/>
        <v>f文字列（変数名表示）</v>
      </c>
      <c r="K472">
        <f t="shared" si="71"/>
        <v>469</v>
      </c>
      <c r="L472" t="str">
        <f t="shared" ca="1" si="63"/>
        <v>数値⇒文字列 変換</v>
      </c>
      <c r="M472" s="2" t="str">
        <f t="shared" ca="1" si="64"/>
        <v>○</v>
      </c>
      <c r="N472" s="2" t="str">
        <f t="shared" ca="1" si="65"/>
        <v>○</v>
      </c>
      <c r="O472" s="2" t="str">
        <f t="shared" ca="1" si="68"/>
        <v/>
      </c>
      <c r="P472" s="2" t="str">
        <f t="shared" ca="1" si="69"/>
        <v/>
      </c>
    </row>
    <row r="473" spans="1:16">
      <c r="A473">
        <f t="shared" si="70"/>
        <v>470</v>
      </c>
      <c r="B473" t="str">
        <f ca="1">IFERROR(VLOOKUP($A473,'vbs,vba'!$G:$H,2,FALSE),"")</f>
        <v/>
      </c>
      <c r="C473" t="str">
        <f ca="1">IFERROR(VLOOKUP($A473,python!$I:$J,2,FALSE),"")</f>
        <v>f文字列（変数名表示）</v>
      </c>
      <c r="D473" t="str">
        <f ca="1">IFERROR(VLOOKUP($A473,bat!$F:$G,2,FALSE),"")</f>
        <v/>
      </c>
      <c r="E473" t="str">
        <f ca="1">IFERROR(VLOOKUP($A473,shell!$F:$G,2,FALSE),"")</f>
        <v/>
      </c>
      <c r="F473" t="str">
        <f t="shared" ca="1" si="66"/>
        <v>f文字列（変数名表示）</v>
      </c>
      <c r="G473">
        <f ca="1">IF($F473="","",COUNTIF($F$3:$F473,$F473))</f>
        <v>3</v>
      </c>
      <c r="H473" t="str">
        <f ca="1">IF(OR(G473&gt;1,G473=""),"",COUNTIF($G$3:$G473,1))</f>
        <v/>
      </c>
      <c r="I473" t="str">
        <f t="shared" ca="1" si="67"/>
        <v>f文字列（変数名表示）</v>
      </c>
      <c r="K473">
        <f t="shared" si="71"/>
        <v>470</v>
      </c>
      <c r="L473" t="str">
        <f t="shared" ca="1" si="63"/>
        <v>文字列⇒数値 変換</v>
      </c>
      <c r="M473" s="2" t="str">
        <f t="shared" ca="1" si="64"/>
        <v/>
      </c>
      <c r="N473" s="2" t="str">
        <f t="shared" ca="1" si="65"/>
        <v>○</v>
      </c>
      <c r="O473" s="2" t="str">
        <f t="shared" ca="1" si="68"/>
        <v/>
      </c>
      <c r="P473" s="2" t="str">
        <f t="shared" ca="1" si="69"/>
        <v/>
      </c>
    </row>
    <row r="474" spans="1:16">
      <c r="A474">
        <f t="shared" si="70"/>
        <v>471</v>
      </c>
      <c r="B474" t="str">
        <f ca="1">IFERROR(VLOOKUP($A474,'vbs,vba'!$G:$H,2,FALSE),"")</f>
        <v/>
      </c>
      <c r="C474" t="str">
        <f ca="1">IFERROR(VLOOKUP($A474,python!$I:$J,2,FALSE),"")</f>
        <v>ASCII⇒文字列 変換</v>
      </c>
      <c r="D474" t="str">
        <f ca="1">IFERROR(VLOOKUP($A474,bat!$F:$G,2,FALSE),"")</f>
        <v/>
      </c>
      <c r="E474" t="str">
        <f ca="1">IFERROR(VLOOKUP($A474,shell!$F:$G,2,FALSE),"")</f>
        <v/>
      </c>
      <c r="F474" t="str">
        <f t="shared" ca="1" si="66"/>
        <v>ASCII⇒文字列 変換</v>
      </c>
      <c r="G474">
        <f ca="1">IF($F474="","",COUNTIF($F$3:$F474,$F474))</f>
        <v>1</v>
      </c>
      <c r="H474">
        <f ca="1">IF(OR(G474&gt;1,G474=""),"",COUNTIF($G$3:$G474,1))</f>
        <v>457</v>
      </c>
      <c r="I474" t="str">
        <f t="shared" ca="1" si="67"/>
        <v>ASCII⇒文字列 変換</v>
      </c>
      <c r="K474">
        <f t="shared" si="71"/>
        <v>471</v>
      </c>
      <c r="L474" t="str">
        <f t="shared" ca="1" si="63"/>
        <v>改行</v>
      </c>
      <c r="M474" s="2" t="str">
        <f t="shared" ca="1" si="64"/>
        <v>○</v>
      </c>
      <c r="N474" s="2" t="str">
        <f t="shared" ca="1" si="65"/>
        <v>○</v>
      </c>
      <c r="O474" s="2" t="str">
        <f t="shared" ca="1" si="68"/>
        <v/>
      </c>
      <c r="P474" s="2" t="str">
        <f t="shared" ca="1" si="69"/>
        <v/>
      </c>
    </row>
    <row r="475" spans="1:16">
      <c r="A475">
        <f t="shared" si="70"/>
        <v>472</v>
      </c>
      <c r="B475" t="str">
        <f ca="1">IFERROR(VLOOKUP($A475,'vbs,vba'!$G:$H,2,FALSE),"")</f>
        <v/>
      </c>
      <c r="C475" t="str">
        <f ca="1">IFERROR(VLOOKUP($A475,python!$I:$J,2,FALSE),"")</f>
        <v>文字列 繰り返し</v>
      </c>
      <c r="D475" t="str">
        <f ca="1">IFERROR(VLOOKUP($A475,bat!$F:$G,2,FALSE),"")</f>
        <v/>
      </c>
      <c r="E475" t="str">
        <f ca="1">IFERROR(VLOOKUP($A475,shell!$F:$G,2,FALSE),"")</f>
        <v/>
      </c>
      <c r="F475" t="str">
        <f t="shared" ca="1" si="66"/>
        <v>文字列 繰り返し</v>
      </c>
      <c r="G475">
        <f ca="1">IF($F475="","",COUNTIF($F$3:$F475,$F475))</f>
        <v>1</v>
      </c>
      <c r="H475">
        <f ca="1">IF(OR(G475&gt;1,G475=""),"",COUNTIF($G$3:$G475,1))</f>
        <v>458</v>
      </c>
      <c r="I475" t="str">
        <f t="shared" ca="1" si="67"/>
        <v>文字列 繰り返し</v>
      </c>
      <c r="K475">
        <f t="shared" si="71"/>
        <v>472</v>
      </c>
      <c r="L475" t="str">
        <f t="shared" ca="1" si="63"/>
        <v>import math</v>
      </c>
      <c r="M475" s="2" t="str">
        <f t="shared" ca="1" si="64"/>
        <v/>
      </c>
      <c r="N475" s="2" t="str">
        <f t="shared" ca="1" si="65"/>
        <v>○</v>
      </c>
      <c r="O475" s="2" t="str">
        <f t="shared" ca="1" si="68"/>
        <v/>
      </c>
      <c r="P475" s="2" t="str">
        <f t="shared" ca="1" si="69"/>
        <v/>
      </c>
    </row>
    <row r="476" spans="1:16">
      <c r="A476">
        <f t="shared" si="70"/>
        <v>473</v>
      </c>
      <c r="B476" t="str">
        <f ca="1">IFERROR(VLOOKUP($A476,'vbs,vba'!$G:$H,2,FALSE),"")</f>
        <v/>
      </c>
      <c r="C476" t="str">
        <f ca="1">IFERROR(VLOOKUP($A476,python!$I:$J,2,FALSE),"")</f>
        <v>文字列 大文字化</v>
      </c>
      <c r="D476" t="str">
        <f ca="1">IFERROR(VLOOKUP($A476,bat!$F:$G,2,FALSE),"")</f>
        <v/>
      </c>
      <c r="E476" t="str">
        <f ca="1">IFERROR(VLOOKUP($A476,shell!$F:$G,2,FALSE),"")</f>
        <v/>
      </c>
      <c r="F476" t="str">
        <f t="shared" ca="1" si="66"/>
        <v>文字列 大文字化</v>
      </c>
      <c r="G476">
        <f ca="1">IF($F476="","",COUNTIF($F$3:$F476,$F476))</f>
        <v>1</v>
      </c>
      <c r="H476">
        <f ca="1">IF(OR(G476&gt;1,G476=""),"",COUNTIF($G$3:$G476,1))</f>
        <v>459</v>
      </c>
      <c r="I476" t="str">
        <f t="shared" ca="1" si="67"/>
        <v>文字列 大文字化</v>
      </c>
      <c r="K476">
        <f t="shared" si="71"/>
        <v>473</v>
      </c>
      <c r="L476" t="str">
        <f t="shared" ca="1" si="63"/>
        <v>少数 四捨五入用関数定義</v>
      </c>
      <c r="M476" s="2" t="str">
        <f t="shared" ca="1" si="64"/>
        <v/>
      </c>
      <c r="N476" s="2" t="str">
        <f t="shared" ca="1" si="65"/>
        <v>○</v>
      </c>
      <c r="O476" s="2" t="str">
        <f t="shared" ca="1" si="68"/>
        <v/>
      </c>
      <c r="P476" s="2" t="str">
        <f t="shared" ca="1" si="69"/>
        <v/>
      </c>
    </row>
    <row r="477" spans="1:16">
      <c r="A477">
        <f t="shared" si="70"/>
        <v>474</v>
      </c>
      <c r="B477" t="str">
        <f ca="1">IFERROR(VLOOKUP($A477,'vbs,vba'!$G:$H,2,FALSE),"")</f>
        <v/>
      </c>
      <c r="C477" t="str">
        <f ca="1">IFERROR(VLOOKUP($A477,python!$I:$J,2,FALSE),"")</f>
        <v>文字列 小文字化</v>
      </c>
      <c r="D477" t="str">
        <f ca="1">IFERROR(VLOOKUP($A477,bat!$F:$G,2,FALSE),"")</f>
        <v/>
      </c>
      <c r="E477" t="str">
        <f ca="1">IFERROR(VLOOKUP($A477,shell!$F:$G,2,FALSE),"")</f>
        <v/>
      </c>
      <c r="F477" t="str">
        <f t="shared" ca="1" si="66"/>
        <v>文字列 小文字化</v>
      </c>
      <c r="G477">
        <f ca="1">IF($F477="","",COUNTIF($F$3:$F477,$F477))</f>
        <v>1</v>
      </c>
      <c r="H477">
        <f ca="1">IF(OR(G477&gt;1,G477=""),"",COUNTIF($G$3:$G477,1))</f>
        <v>460</v>
      </c>
      <c r="I477" t="str">
        <f t="shared" ca="1" si="67"/>
        <v>文字列 小文字化</v>
      </c>
      <c r="K477">
        <f t="shared" si="71"/>
        <v>474</v>
      </c>
      <c r="L477" t="str">
        <f t="shared" ca="1" si="63"/>
        <v>少数 正数 四捨五入（整数）</v>
      </c>
      <c r="M477" s="2" t="str">
        <f t="shared" ca="1" si="64"/>
        <v/>
      </c>
      <c r="N477" s="2" t="str">
        <f t="shared" ca="1" si="65"/>
        <v>○</v>
      </c>
      <c r="O477" s="2" t="str">
        <f t="shared" ca="1" si="68"/>
        <v/>
      </c>
      <c r="P477" s="2" t="str">
        <f t="shared" ca="1" si="69"/>
        <v/>
      </c>
    </row>
    <row r="478" spans="1:16">
      <c r="A478">
        <f t="shared" si="70"/>
        <v>475</v>
      </c>
      <c r="B478" t="str">
        <f ca="1">IFERROR(VLOOKUP($A478,'vbs,vba'!$G:$H,2,FALSE),"")</f>
        <v/>
      </c>
      <c r="C478" t="str">
        <f ca="1">IFERROR(VLOOKUP($A478,python!$I:$J,2,FALSE),"")</f>
        <v>文字列 文字埋込</v>
      </c>
      <c r="D478" t="str">
        <f ca="1">IFERROR(VLOOKUP($A478,bat!$F:$G,2,FALSE),"")</f>
        <v/>
      </c>
      <c r="E478" t="str">
        <f ca="1">IFERROR(VLOOKUP($A478,shell!$F:$G,2,FALSE),"")</f>
        <v/>
      </c>
      <c r="F478" t="str">
        <f t="shared" ca="1" si="66"/>
        <v>文字列 文字埋込</v>
      </c>
      <c r="G478">
        <f ca="1">IF($F478="","",COUNTIF($F$3:$F478,$F478))</f>
        <v>1</v>
      </c>
      <c r="H478">
        <f ca="1">IF(OR(G478&gt;1,G478=""),"",COUNTIF($G$3:$G478,1))</f>
        <v>461</v>
      </c>
      <c r="I478" t="str">
        <f t="shared" ca="1" si="67"/>
        <v>文字列 文字埋込</v>
      </c>
      <c r="K478">
        <f t="shared" si="71"/>
        <v>475</v>
      </c>
      <c r="L478" t="str">
        <f t="shared" ca="1" si="63"/>
        <v>少数 正数 四捨五入（第一位）</v>
      </c>
      <c r="M478" s="2" t="str">
        <f t="shared" ca="1" si="64"/>
        <v>○</v>
      </c>
      <c r="N478" s="2" t="str">
        <f t="shared" ca="1" si="65"/>
        <v>○</v>
      </c>
      <c r="O478" s="2" t="str">
        <f t="shared" ca="1" si="68"/>
        <v/>
      </c>
      <c r="P478" s="2" t="str">
        <f t="shared" ca="1" si="69"/>
        <v/>
      </c>
    </row>
    <row r="479" spans="1:16">
      <c r="A479">
        <f t="shared" si="70"/>
        <v>476</v>
      </c>
      <c r="B479" t="str">
        <f ca="1">IFERROR(VLOOKUP($A479,'vbs,vba'!$G:$H,2,FALSE),"")</f>
        <v/>
      </c>
      <c r="C479" t="str">
        <f ca="1">IFERROR(VLOOKUP($A479,python!$I:$J,2,FALSE),"")</f>
        <v>文字列 ０埋込</v>
      </c>
      <c r="D479" t="str">
        <f ca="1">IFERROR(VLOOKUP($A479,bat!$F:$G,2,FALSE),"")</f>
        <v/>
      </c>
      <c r="E479" t="str">
        <f ca="1">IFERROR(VLOOKUP($A479,shell!$F:$G,2,FALSE),"")</f>
        <v/>
      </c>
      <c r="F479" t="str">
        <f t="shared" ca="1" si="66"/>
        <v>文字列 ０埋込</v>
      </c>
      <c r="G479">
        <f ca="1">IF($F479="","",COUNTIF($F$3:$F479,$F479))</f>
        <v>1</v>
      </c>
      <c r="H479">
        <f ca="1">IF(OR(G479&gt;1,G479=""),"",COUNTIF($G$3:$G479,1))</f>
        <v>462</v>
      </c>
      <c r="I479" t="str">
        <f t="shared" ca="1" si="67"/>
        <v>文字列 ０埋込</v>
      </c>
      <c r="K479">
        <f t="shared" si="71"/>
        <v>476</v>
      </c>
      <c r="L479" t="str">
        <f t="shared" ca="1" si="63"/>
        <v>少数 正数 四捨五入（第二位）</v>
      </c>
      <c r="M479" s="2" t="str">
        <f t="shared" ca="1" si="64"/>
        <v>○</v>
      </c>
      <c r="N479" s="2" t="str">
        <f t="shared" ca="1" si="65"/>
        <v>○</v>
      </c>
      <c r="O479" s="2" t="str">
        <f t="shared" ca="1" si="68"/>
        <v/>
      </c>
      <c r="P479" s="2" t="str">
        <f t="shared" ca="1" si="69"/>
        <v/>
      </c>
    </row>
    <row r="480" spans="1:16">
      <c r="A480">
        <f t="shared" si="70"/>
        <v>477</v>
      </c>
      <c r="B480" t="str">
        <f ca="1">IFERROR(VLOOKUP($A480,'vbs,vba'!$G:$H,2,FALSE),"")</f>
        <v/>
      </c>
      <c r="C480" t="str">
        <f ca="1">IFERROR(VLOOKUP($A480,python!$I:$J,2,FALSE),"")</f>
        <v>型取得（値）</v>
      </c>
      <c r="D480" t="str">
        <f ca="1">IFERROR(VLOOKUP($A480,bat!$F:$G,2,FALSE),"")</f>
        <v/>
      </c>
      <c r="E480" t="str">
        <f ca="1">IFERROR(VLOOKUP($A480,shell!$F:$G,2,FALSE),"")</f>
        <v/>
      </c>
      <c r="F480" t="str">
        <f t="shared" ca="1" si="66"/>
        <v>型取得（値）</v>
      </c>
      <c r="G480">
        <f ca="1">IF($F480="","",COUNTIF($F$3:$F480,$F480))</f>
        <v>1</v>
      </c>
      <c r="H480">
        <f ca="1">IF(OR(G480&gt;1,G480=""),"",COUNTIF($G$3:$G480,1))</f>
        <v>463</v>
      </c>
      <c r="I480" t="str">
        <f t="shared" ca="1" si="67"/>
        <v>型取得（値）</v>
      </c>
      <c r="K480">
        <f t="shared" si="71"/>
        <v>477</v>
      </c>
      <c r="L480" t="str">
        <f t="shared" ca="1" si="63"/>
        <v>少数 負数 四捨五入（整数）</v>
      </c>
      <c r="M480" s="2" t="str">
        <f t="shared" ca="1" si="64"/>
        <v/>
      </c>
      <c r="N480" s="2" t="str">
        <f t="shared" ca="1" si="65"/>
        <v>○</v>
      </c>
      <c r="O480" s="2" t="str">
        <f t="shared" ca="1" si="68"/>
        <v/>
      </c>
      <c r="P480" s="2" t="str">
        <f t="shared" ca="1" si="69"/>
        <v/>
      </c>
    </row>
    <row r="481" spans="1:16">
      <c r="A481">
        <f t="shared" si="70"/>
        <v>478</v>
      </c>
      <c r="B481" t="str">
        <f ca="1">IFERROR(VLOOKUP($A481,'vbs,vba'!$G:$H,2,FALSE),"")</f>
        <v/>
      </c>
      <c r="C481" t="str">
        <f ca="1">IFERROR(VLOOKUP($A481,python!$I:$J,2,FALSE),"")</f>
        <v>型取得（文字列）</v>
      </c>
      <c r="D481" t="str">
        <f ca="1">IFERROR(VLOOKUP($A481,bat!$F:$G,2,FALSE),"")</f>
        <v/>
      </c>
      <c r="E481" t="str">
        <f ca="1">IFERROR(VLOOKUP($A481,shell!$F:$G,2,FALSE),"")</f>
        <v/>
      </c>
      <c r="F481" t="str">
        <f t="shared" ca="1" si="66"/>
        <v>型取得（文字列）</v>
      </c>
      <c r="G481">
        <f ca="1">IF($F481="","",COUNTIF($F$3:$F481,$F481))</f>
        <v>1</v>
      </c>
      <c r="H481">
        <f ca="1">IF(OR(G481&gt;1,G481=""),"",COUNTIF($G$3:$G481,1))</f>
        <v>464</v>
      </c>
      <c r="I481" t="str">
        <f t="shared" ca="1" si="67"/>
        <v>型取得（文字列）</v>
      </c>
      <c r="K481">
        <f t="shared" si="71"/>
        <v>478</v>
      </c>
      <c r="L481" t="str">
        <f t="shared" ca="1" si="63"/>
        <v>少数 負数 四捨五入（第一位）</v>
      </c>
      <c r="M481" s="2" t="str">
        <f t="shared" ca="1" si="64"/>
        <v>○</v>
      </c>
      <c r="N481" s="2" t="str">
        <f t="shared" ca="1" si="65"/>
        <v>○</v>
      </c>
      <c r="O481" s="2" t="str">
        <f t="shared" ca="1" si="68"/>
        <v/>
      </c>
      <c r="P481" s="2" t="str">
        <f t="shared" ca="1" si="69"/>
        <v/>
      </c>
    </row>
    <row r="482" spans="1:16">
      <c r="A482">
        <f t="shared" si="70"/>
        <v>479</v>
      </c>
      <c r="B482" t="str">
        <f ca="1">IFERROR(VLOOKUP($A482,'vbs,vba'!$G:$H,2,FALSE),"")</f>
        <v/>
      </c>
      <c r="C482" t="str">
        <f ca="1">IFERROR(VLOOKUP($A482,python!$I:$J,2,FALSE),"")</f>
        <v>10⇒16進数変換</v>
      </c>
      <c r="D482" t="str">
        <f ca="1">IFERROR(VLOOKUP($A482,bat!$F:$G,2,FALSE),"")</f>
        <v/>
      </c>
      <c r="E482" t="str">
        <f ca="1">IFERROR(VLOOKUP($A482,shell!$F:$G,2,FALSE),"")</f>
        <v/>
      </c>
      <c r="F482" t="str">
        <f t="shared" ca="1" si="66"/>
        <v>10⇒16進数変換</v>
      </c>
      <c r="G482">
        <f ca="1">IF($F482="","",COUNTIF($F$3:$F482,$F482))</f>
        <v>1</v>
      </c>
      <c r="H482">
        <f ca="1">IF(OR(G482&gt;1,G482=""),"",COUNTIF($G$3:$G482,1))</f>
        <v>465</v>
      </c>
      <c r="I482" t="str">
        <f t="shared" ca="1" si="67"/>
        <v>10⇒16進数変換</v>
      </c>
      <c r="K482">
        <f t="shared" si="71"/>
        <v>479</v>
      </c>
      <c r="L482" t="str">
        <f t="shared" ca="1" si="63"/>
        <v>少数 負数 四捨五入（第二位）</v>
      </c>
      <c r="M482" s="2" t="str">
        <f t="shared" ca="1" si="64"/>
        <v>○</v>
      </c>
      <c r="N482" s="2" t="str">
        <f t="shared" ca="1" si="65"/>
        <v>○</v>
      </c>
      <c r="O482" s="2" t="str">
        <f t="shared" ca="1" si="68"/>
        <v/>
      </c>
      <c r="P482" s="2" t="str">
        <f t="shared" ca="1" si="69"/>
        <v/>
      </c>
    </row>
    <row r="483" spans="1:16">
      <c r="A483">
        <f t="shared" si="70"/>
        <v>480</v>
      </c>
      <c r="B483" t="str">
        <f ca="1">IFERROR(VLOOKUP($A483,'vbs,vba'!$G:$H,2,FALSE),"")</f>
        <v/>
      </c>
      <c r="C483" t="str">
        <f ca="1">IFERROR(VLOOKUP($A483,python!$I:$J,2,FALSE),"")</f>
        <v>16⇒10進数変換</v>
      </c>
      <c r="D483" t="str">
        <f ca="1">IFERROR(VLOOKUP($A483,bat!$F:$G,2,FALSE),"")</f>
        <v/>
      </c>
      <c r="E483" t="str">
        <f ca="1">IFERROR(VLOOKUP($A483,shell!$F:$G,2,FALSE),"")</f>
        <v/>
      </c>
      <c r="F483" t="str">
        <f t="shared" ca="1" si="66"/>
        <v>16⇒10進数変換</v>
      </c>
      <c r="G483">
        <f ca="1">IF($F483="","",COUNTIF($F$3:$F483,$F483))</f>
        <v>1</v>
      </c>
      <c r="H483">
        <f ca="1">IF(OR(G483&gt;1,G483=""),"",COUNTIF($G$3:$G483,1))</f>
        <v>466</v>
      </c>
      <c r="I483" t="str">
        <f t="shared" ca="1" si="67"/>
        <v>16⇒10進数変換</v>
      </c>
      <c r="K483">
        <f t="shared" si="71"/>
        <v>480</v>
      </c>
      <c r="L483" t="str">
        <f t="shared" ca="1" si="63"/>
        <v>少数 正数 切り捨て（整数）</v>
      </c>
      <c r="M483" s="2" t="str">
        <f t="shared" ca="1" si="64"/>
        <v/>
      </c>
      <c r="N483" s="2" t="str">
        <f t="shared" ca="1" si="65"/>
        <v>○</v>
      </c>
      <c r="O483" s="2" t="str">
        <f t="shared" ca="1" si="68"/>
        <v/>
      </c>
      <c r="P483" s="2" t="str">
        <f t="shared" ca="1" si="69"/>
        <v/>
      </c>
    </row>
    <row r="484" spans="1:16">
      <c r="A484">
        <f t="shared" si="70"/>
        <v>481</v>
      </c>
      <c r="B484" t="str">
        <f ca="1">IFERROR(VLOOKUP($A484,'vbs,vba'!$G:$H,2,FALSE),"")</f>
        <v/>
      </c>
      <c r="C484" t="str">
        <f ca="1">IFERROR(VLOOKUP($A484,python!$I:$J,2,FALSE),"")</f>
        <v>数値リテラル(16進数)</v>
      </c>
      <c r="D484" t="str">
        <f ca="1">IFERROR(VLOOKUP($A484,bat!$F:$G,2,FALSE),"")</f>
        <v/>
      </c>
      <c r="E484" t="str">
        <f ca="1">IFERROR(VLOOKUP($A484,shell!$F:$G,2,FALSE),"")</f>
        <v/>
      </c>
      <c r="F484" t="str">
        <f t="shared" ca="1" si="66"/>
        <v>数値リテラル(16進数)</v>
      </c>
      <c r="G484">
        <f ca="1">IF($F484="","",COUNTIF($F$3:$F484,$F484))</f>
        <v>1</v>
      </c>
      <c r="H484">
        <f ca="1">IF(OR(G484&gt;1,G484=""),"",COUNTIF($G$3:$G484,1))</f>
        <v>467</v>
      </c>
      <c r="I484" t="str">
        <f t="shared" ca="1" si="67"/>
        <v>数値リテラル(16進数)</v>
      </c>
      <c r="K484">
        <f t="shared" si="71"/>
        <v>481</v>
      </c>
      <c r="L484" t="str">
        <f t="shared" ca="1" si="63"/>
        <v>少数 正数 切り捨て（第一位）</v>
      </c>
      <c r="M484" s="2" t="str">
        <f t="shared" ca="1" si="64"/>
        <v/>
      </c>
      <c r="N484" s="2" t="str">
        <f t="shared" ca="1" si="65"/>
        <v>○</v>
      </c>
      <c r="O484" s="2" t="str">
        <f t="shared" ca="1" si="68"/>
        <v/>
      </c>
      <c r="P484" s="2" t="str">
        <f t="shared" ca="1" si="69"/>
        <v/>
      </c>
    </row>
    <row r="485" spans="1:16">
      <c r="A485">
        <f t="shared" si="70"/>
        <v>482</v>
      </c>
      <c r="B485" t="str">
        <f ca="1">IFERROR(VLOOKUP($A485,'vbs,vba'!$G:$H,2,FALSE),"")</f>
        <v/>
      </c>
      <c r="C485" t="str">
        <f ca="1">IFERROR(VLOOKUP($A485,python!$I:$J,2,FALSE),"")</f>
        <v>数値リテラル(2進数)</v>
      </c>
      <c r="D485" t="str">
        <f ca="1">IFERROR(VLOOKUP($A485,bat!$F:$G,2,FALSE),"")</f>
        <v/>
      </c>
      <c r="E485" t="str">
        <f ca="1">IFERROR(VLOOKUP($A485,shell!$F:$G,2,FALSE),"")</f>
        <v/>
      </c>
      <c r="F485" t="str">
        <f t="shared" ca="1" si="66"/>
        <v>数値リテラル(2進数)</v>
      </c>
      <c r="G485">
        <f ca="1">IF($F485="","",COUNTIF($F$3:$F485,$F485))</f>
        <v>1</v>
      </c>
      <c r="H485">
        <f ca="1">IF(OR(G485&gt;1,G485=""),"",COUNTIF($G$3:$G485,1))</f>
        <v>468</v>
      </c>
      <c r="I485" t="str">
        <f t="shared" ca="1" si="67"/>
        <v>数値リテラル(2進数)</v>
      </c>
      <c r="K485">
        <f t="shared" si="71"/>
        <v>482</v>
      </c>
      <c r="L485" t="str">
        <f t="shared" ca="1" si="63"/>
        <v>少数 正数 切り捨て（第二位）</v>
      </c>
      <c r="M485" s="2" t="str">
        <f t="shared" ca="1" si="64"/>
        <v/>
      </c>
      <c r="N485" s="2" t="str">
        <f t="shared" ca="1" si="65"/>
        <v>○</v>
      </c>
      <c r="O485" s="2" t="str">
        <f t="shared" ca="1" si="68"/>
        <v/>
      </c>
      <c r="P485" s="2" t="str">
        <f t="shared" ca="1" si="69"/>
        <v/>
      </c>
    </row>
    <row r="486" spans="1:16">
      <c r="A486">
        <f t="shared" si="70"/>
        <v>483</v>
      </c>
      <c r="B486" t="str">
        <f ca="1">IFERROR(VLOOKUP($A486,'vbs,vba'!$G:$H,2,FALSE),"")</f>
        <v/>
      </c>
      <c r="C486" t="str">
        <f ca="1">IFERROR(VLOOKUP($A486,python!$I:$J,2,FALSE),"")</f>
        <v>数値⇒文字列 変換</v>
      </c>
      <c r="D486" t="str">
        <f ca="1">IFERROR(VLOOKUP($A486,bat!$F:$G,2,FALSE),"")</f>
        <v/>
      </c>
      <c r="E486" t="str">
        <f ca="1">IFERROR(VLOOKUP($A486,shell!$F:$G,2,FALSE),"")</f>
        <v/>
      </c>
      <c r="F486" t="str">
        <f t="shared" ca="1" si="66"/>
        <v>数値⇒文字列 変換</v>
      </c>
      <c r="G486">
        <f ca="1">IF($F486="","",COUNTIF($F$3:$F486,$F486))</f>
        <v>1</v>
      </c>
      <c r="H486">
        <f ca="1">IF(OR(G486&gt;1,G486=""),"",COUNTIF($G$3:$G486,1))</f>
        <v>469</v>
      </c>
      <c r="I486" t="str">
        <f t="shared" ca="1" si="67"/>
        <v>数値⇒文字列 変換</v>
      </c>
      <c r="K486">
        <f t="shared" si="71"/>
        <v>483</v>
      </c>
      <c r="L486" t="str">
        <f t="shared" ca="1" si="63"/>
        <v>少数 負数 切り捨て（整数）</v>
      </c>
      <c r="M486" s="2" t="str">
        <f t="shared" ca="1" si="64"/>
        <v/>
      </c>
      <c r="N486" s="2" t="str">
        <f t="shared" ca="1" si="65"/>
        <v>○</v>
      </c>
      <c r="O486" s="2" t="str">
        <f t="shared" ca="1" si="68"/>
        <v/>
      </c>
      <c r="P486" s="2" t="str">
        <f t="shared" ca="1" si="69"/>
        <v/>
      </c>
    </row>
    <row r="487" spans="1:16">
      <c r="A487">
        <f t="shared" si="70"/>
        <v>484</v>
      </c>
      <c r="B487" t="str">
        <f ca="1">IFERROR(VLOOKUP($A487,'vbs,vba'!$G:$H,2,FALSE),"")</f>
        <v/>
      </c>
      <c r="C487" t="str">
        <f ca="1">IFERROR(VLOOKUP($A487,python!$I:$J,2,FALSE),"")</f>
        <v>文字列⇒数値 変換</v>
      </c>
      <c r="D487" t="str">
        <f ca="1">IFERROR(VLOOKUP($A487,bat!$F:$G,2,FALSE),"")</f>
        <v/>
      </c>
      <c r="E487" t="str">
        <f ca="1">IFERROR(VLOOKUP($A487,shell!$F:$G,2,FALSE),"")</f>
        <v/>
      </c>
      <c r="F487" t="str">
        <f t="shared" ca="1" si="66"/>
        <v>文字列⇒数値 変換</v>
      </c>
      <c r="G487">
        <f ca="1">IF($F487="","",COUNTIF($F$3:$F487,$F487))</f>
        <v>1</v>
      </c>
      <c r="H487">
        <f ca="1">IF(OR(G487&gt;1,G487=""),"",COUNTIF($G$3:$G487,1))</f>
        <v>470</v>
      </c>
      <c r="I487" t="str">
        <f t="shared" ca="1" si="67"/>
        <v>文字列⇒数値 変換</v>
      </c>
      <c r="K487">
        <f t="shared" si="71"/>
        <v>484</v>
      </c>
      <c r="L487" t="str">
        <f t="shared" ca="1" si="63"/>
        <v>少数 負数 切り捨て（第一位）</v>
      </c>
      <c r="M487" s="2" t="str">
        <f t="shared" ca="1" si="64"/>
        <v/>
      </c>
      <c r="N487" s="2" t="str">
        <f t="shared" ca="1" si="65"/>
        <v>○</v>
      </c>
      <c r="O487" s="2" t="str">
        <f t="shared" ca="1" si="68"/>
        <v/>
      </c>
      <c r="P487" s="2" t="str">
        <f t="shared" ca="1" si="69"/>
        <v/>
      </c>
    </row>
    <row r="488" spans="1:16">
      <c r="A488">
        <f t="shared" si="70"/>
        <v>485</v>
      </c>
      <c r="B488" t="str">
        <f ca="1">IFERROR(VLOOKUP($A488,'vbs,vba'!$G:$H,2,FALSE),"")</f>
        <v/>
      </c>
      <c r="C488" t="str">
        <f ca="1">IFERROR(VLOOKUP($A488,python!$I:$J,2,FALSE),"")</f>
        <v>改行</v>
      </c>
      <c r="D488" t="str">
        <f ca="1">IFERROR(VLOOKUP($A488,bat!$F:$G,2,FALSE),"")</f>
        <v/>
      </c>
      <c r="E488" t="str">
        <f ca="1">IFERROR(VLOOKUP($A488,shell!$F:$G,2,FALSE),"")</f>
        <v/>
      </c>
      <c r="F488" t="str">
        <f t="shared" ca="1" si="66"/>
        <v>改行</v>
      </c>
      <c r="G488">
        <f ca="1">IF($F488="","",COUNTIF($F$3:$F488,$F488))</f>
        <v>1</v>
      </c>
      <c r="H488">
        <f ca="1">IF(OR(G488&gt;1,G488=""),"",COUNTIF($G$3:$G488,1))</f>
        <v>471</v>
      </c>
      <c r="I488" t="str">
        <f t="shared" ca="1" si="67"/>
        <v>改行</v>
      </c>
      <c r="K488">
        <f t="shared" si="71"/>
        <v>485</v>
      </c>
      <c r="L488" t="str">
        <f t="shared" ca="1" si="63"/>
        <v>少数 負数 切り捨て（第二位）</v>
      </c>
      <c r="M488" s="2" t="str">
        <f t="shared" ca="1" si="64"/>
        <v/>
      </c>
      <c r="N488" s="2" t="str">
        <f t="shared" ca="1" si="65"/>
        <v>○</v>
      </c>
      <c r="O488" s="2" t="str">
        <f t="shared" ca="1" si="68"/>
        <v/>
      </c>
      <c r="P488" s="2" t="str">
        <f t="shared" ca="1" si="69"/>
        <v/>
      </c>
    </row>
    <row r="489" spans="1:16">
      <c r="A489">
        <f t="shared" si="70"/>
        <v>486</v>
      </c>
      <c r="B489" t="str">
        <f ca="1">IFERROR(VLOOKUP($A489,'vbs,vba'!$G:$H,2,FALSE),"")</f>
        <v/>
      </c>
      <c r="C489" t="str">
        <f ca="1">IFERROR(VLOOKUP($A489,python!$I:$J,2,FALSE),"")</f>
        <v>import math</v>
      </c>
      <c r="D489" t="str">
        <f ca="1">IFERROR(VLOOKUP($A489,bat!$F:$G,2,FALSE),"")</f>
        <v/>
      </c>
      <c r="E489" t="str">
        <f ca="1">IFERROR(VLOOKUP($A489,shell!$F:$G,2,FALSE),"")</f>
        <v/>
      </c>
      <c r="F489" t="str">
        <f t="shared" ca="1" si="66"/>
        <v>import math</v>
      </c>
      <c r="G489">
        <f ca="1">IF($F489="","",COUNTIF($F$3:$F489,$F489))</f>
        <v>1</v>
      </c>
      <c r="H489">
        <f ca="1">IF(OR(G489&gt;1,G489=""),"",COUNTIF($G$3:$G489,1))</f>
        <v>472</v>
      </c>
      <c r="I489" t="str">
        <f t="shared" ca="1" si="67"/>
        <v>import math</v>
      </c>
      <c r="K489">
        <f t="shared" si="71"/>
        <v>486</v>
      </c>
      <c r="L489" t="str">
        <f t="shared" ca="1" si="63"/>
        <v>少数 正数 切り上げ（整数）</v>
      </c>
      <c r="M489" s="2" t="str">
        <f t="shared" ca="1" si="64"/>
        <v/>
      </c>
      <c r="N489" s="2" t="str">
        <f t="shared" ca="1" si="65"/>
        <v>○</v>
      </c>
      <c r="O489" s="2" t="str">
        <f t="shared" ca="1" si="68"/>
        <v/>
      </c>
      <c r="P489" s="2" t="str">
        <f t="shared" ca="1" si="69"/>
        <v/>
      </c>
    </row>
    <row r="490" spans="1:16">
      <c r="A490">
        <f t="shared" si="70"/>
        <v>487</v>
      </c>
      <c r="B490" t="str">
        <f ca="1">IFERROR(VLOOKUP($A490,'vbs,vba'!$G:$H,2,FALSE),"")</f>
        <v/>
      </c>
      <c r="C490" t="str">
        <f ca="1">IFERROR(VLOOKUP($A490,python!$I:$J,2,FALSE),"")</f>
        <v>少数 四捨五入用関数定義</v>
      </c>
      <c r="D490" t="str">
        <f ca="1">IFERROR(VLOOKUP($A490,bat!$F:$G,2,FALSE),"")</f>
        <v/>
      </c>
      <c r="E490" t="str">
        <f ca="1">IFERROR(VLOOKUP($A490,shell!$F:$G,2,FALSE),"")</f>
        <v/>
      </c>
      <c r="F490" t="str">
        <f t="shared" ca="1" si="66"/>
        <v>少数 四捨五入用関数定義</v>
      </c>
      <c r="G490">
        <f ca="1">IF($F490="","",COUNTIF($F$3:$F490,$F490))</f>
        <v>1</v>
      </c>
      <c r="H490">
        <f ca="1">IF(OR(G490&gt;1,G490=""),"",COUNTIF($G$3:$G490,1))</f>
        <v>473</v>
      </c>
      <c r="I490" t="str">
        <f t="shared" ca="1" si="67"/>
        <v>少数 四捨五入用関数定義</v>
      </c>
      <c r="K490">
        <f t="shared" si="71"/>
        <v>487</v>
      </c>
      <c r="L490" t="str">
        <f t="shared" ca="1" si="63"/>
        <v>少数 正数 切り上げ（第一位）</v>
      </c>
      <c r="M490" s="2" t="str">
        <f t="shared" ca="1" si="64"/>
        <v>○</v>
      </c>
      <c r="N490" s="2" t="str">
        <f t="shared" ca="1" si="65"/>
        <v>○</v>
      </c>
      <c r="O490" s="2" t="str">
        <f t="shared" ca="1" si="68"/>
        <v/>
      </c>
      <c r="P490" s="2" t="str">
        <f t="shared" ca="1" si="69"/>
        <v/>
      </c>
    </row>
    <row r="491" spans="1:16">
      <c r="A491">
        <f t="shared" si="70"/>
        <v>488</v>
      </c>
      <c r="B491" t="str">
        <f ca="1">IFERROR(VLOOKUP($A491,'vbs,vba'!$G:$H,2,FALSE),"")</f>
        <v/>
      </c>
      <c r="C491" t="str">
        <f ca="1">IFERROR(VLOOKUP($A491,python!$I:$J,2,FALSE),"")</f>
        <v>少数 正数 四捨五入（整数）</v>
      </c>
      <c r="D491" t="str">
        <f ca="1">IFERROR(VLOOKUP($A491,bat!$F:$G,2,FALSE),"")</f>
        <v/>
      </c>
      <c r="E491" t="str">
        <f ca="1">IFERROR(VLOOKUP($A491,shell!$F:$G,2,FALSE),"")</f>
        <v/>
      </c>
      <c r="F491" t="str">
        <f t="shared" ca="1" si="66"/>
        <v>少数 正数 四捨五入（整数）</v>
      </c>
      <c r="G491">
        <f ca="1">IF($F491="","",COUNTIF($F$3:$F491,$F491))</f>
        <v>1</v>
      </c>
      <c r="H491">
        <f ca="1">IF(OR(G491&gt;1,G491=""),"",COUNTIF($G$3:$G491,1))</f>
        <v>474</v>
      </c>
      <c r="I491" t="str">
        <f t="shared" ca="1" si="67"/>
        <v>少数 正数 四捨五入（整数）</v>
      </c>
      <c r="K491">
        <f t="shared" si="71"/>
        <v>488</v>
      </c>
      <c r="L491" t="str">
        <f t="shared" ca="1" si="63"/>
        <v>少数 正数 切り上げ（第二位）</v>
      </c>
      <c r="M491" s="2" t="str">
        <f t="shared" ca="1" si="64"/>
        <v>○</v>
      </c>
      <c r="N491" s="2" t="str">
        <f t="shared" ca="1" si="65"/>
        <v>○</v>
      </c>
      <c r="O491" s="2" t="str">
        <f t="shared" ca="1" si="68"/>
        <v/>
      </c>
      <c r="P491" s="2" t="str">
        <f t="shared" ca="1" si="69"/>
        <v/>
      </c>
    </row>
    <row r="492" spans="1:16">
      <c r="A492">
        <f t="shared" si="70"/>
        <v>489</v>
      </c>
      <c r="B492" t="str">
        <f ca="1">IFERROR(VLOOKUP($A492,'vbs,vba'!$G:$H,2,FALSE),"")</f>
        <v/>
      </c>
      <c r="C492" t="str">
        <f ca="1">IFERROR(VLOOKUP($A492,python!$I:$J,2,FALSE),"")</f>
        <v>少数 正数 四捨五入（第一位）</v>
      </c>
      <c r="D492" t="str">
        <f ca="1">IFERROR(VLOOKUP($A492,bat!$F:$G,2,FALSE),"")</f>
        <v/>
      </c>
      <c r="E492" t="str">
        <f ca="1">IFERROR(VLOOKUP($A492,shell!$F:$G,2,FALSE),"")</f>
        <v/>
      </c>
      <c r="F492" t="str">
        <f t="shared" ca="1" si="66"/>
        <v>少数 正数 四捨五入（第一位）</v>
      </c>
      <c r="G492">
        <f ca="1">IF($F492="","",COUNTIF($F$3:$F492,$F492))</f>
        <v>1</v>
      </c>
      <c r="H492">
        <f ca="1">IF(OR(G492&gt;1,G492=""),"",COUNTIF($G$3:$G492,1))</f>
        <v>475</v>
      </c>
      <c r="I492" t="str">
        <f t="shared" ca="1" si="67"/>
        <v>少数 正数 四捨五入（第一位）</v>
      </c>
      <c r="K492">
        <f t="shared" si="71"/>
        <v>489</v>
      </c>
      <c r="L492" t="str">
        <f t="shared" ca="1" si="63"/>
        <v>少数 負数 切り上げ（整数）</v>
      </c>
      <c r="M492" s="2" t="str">
        <f t="shared" ca="1" si="64"/>
        <v/>
      </c>
      <c r="N492" s="2" t="str">
        <f t="shared" ca="1" si="65"/>
        <v>○</v>
      </c>
      <c r="O492" s="2" t="str">
        <f t="shared" ca="1" si="68"/>
        <v/>
      </c>
      <c r="P492" s="2" t="str">
        <f t="shared" ca="1" si="69"/>
        <v/>
      </c>
    </row>
    <row r="493" spans="1:16">
      <c r="A493">
        <f t="shared" si="70"/>
        <v>490</v>
      </c>
      <c r="B493" t="str">
        <f ca="1">IFERROR(VLOOKUP($A493,'vbs,vba'!$G:$H,2,FALSE),"")</f>
        <v/>
      </c>
      <c r="C493" t="str">
        <f ca="1">IFERROR(VLOOKUP($A493,python!$I:$J,2,FALSE),"")</f>
        <v>少数 正数 四捨五入（第二位）</v>
      </c>
      <c r="D493" t="str">
        <f ca="1">IFERROR(VLOOKUP($A493,bat!$F:$G,2,FALSE),"")</f>
        <v/>
      </c>
      <c r="E493" t="str">
        <f ca="1">IFERROR(VLOOKUP($A493,shell!$F:$G,2,FALSE),"")</f>
        <v/>
      </c>
      <c r="F493" t="str">
        <f t="shared" ca="1" si="66"/>
        <v>少数 正数 四捨五入（第二位）</v>
      </c>
      <c r="G493">
        <f ca="1">IF($F493="","",COUNTIF($F$3:$F493,$F493))</f>
        <v>1</v>
      </c>
      <c r="H493">
        <f ca="1">IF(OR(G493&gt;1,G493=""),"",COUNTIF($G$3:$G493,1))</f>
        <v>476</v>
      </c>
      <c r="I493" t="str">
        <f t="shared" ca="1" si="67"/>
        <v>少数 正数 四捨五入（第二位）</v>
      </c>
      <c r="K493">
        <f t="shared" si="71"/>
        <v>490</v>
      </c>
      <c r="L493" t="str">
        <f t="shared" ca="1" si="63"/>
        <v>少数 負数 切り上げ（第一位）</v>
      </c>
      <c r="M493" s="2" t="str">
        <f t="shared" ca="1" si="64"/>
        <v>○</v>
      </c>
      <c r="N493" s="2" t="str">
        <f t="shared" ca="1" si="65"/>
        <v>○</v>
      </c>
      <c r="O493" s="2" t="str">
        <f t="shared" ca="1" si="68"/>
        <v/>
      </c>
      <c r="P493" s="2" t="str">
        <f t="shared" ca="1" si="69"/>
        <v/>
      </c>
    </row>
    <row r="494" spans="1:16">
      <c r="A494">
        <f t="shared" si="70"/>
        <v>491</v>
      </c>
      <c r="B494" t="str">
        <f ca="1">IFERROR(VLOOKUP($A494,'vbs,vba'!$G:$H,2,FALSE),"")</f>
        <v/>
      </c>
      <c r="C494" t="str">
        <f ca="1">IFERROR(VLOOKUP($A494,python!$I:$J,2,FALSE),"")</f>
        <v>少数 負数 四捨五入（整数）</v>
      </c>
      <c r="D494" t="str">
        <f ca="1">IFERROR(VLOOKUP($A494,bat!$F:$G,2,FALSE),"")</f>
        <v/>
      </c>
      <c r="E494" t="str">
        <f ca="1">IFERROR(VLOOKUP($A494,shell!$F:$G,2,FALSE),"")</f>
        <v/>
      </c>
      <c r="F494" t="str">
        <f t="shared" ca="1" si="66"/>
        <v>少数 負数 四捨五入（整数）</v>
      </c>
      <c r="G494">
        <f ca="1">IF($F494="","",COUNTIF($F$3:$F494,$F494))</f>
        <v>1</v>
      </c>
      <c r="H494">
        <f ca="1">IF(OR(G494&gt;1,G494=""),"",COUNTIF($G$3:$G494,1))</f>
        <v>477</v>
      </c>
      <c r="I494" t="str">
        <f t="shared" ca="1" si="67"/>
        <v>少数 負数 四捨五入（整数）</v>
      </c>
      <c r="K494">
        <f t="shared" si="71"/>
        <v>491</v>
      </c>
      <c r="L494" t="str">
        <f t="shared" ca="1" si="63"/>
        <v>少数 負数 切り上げ（第二位）</v>
      </c>
      <c r="M494" s="2" t="str">
        <f t="shared" ca="1" si="64"/>
        <v>○</v>
      </c>
      <c r="N494" s="2" t="str">
        <f t="shared" ca="1" si="65"/>
        <v>○</v>
      </c>
      <c r="O494" s="2" t="str">
        <f t="shared" ca="1" si="68"/>
        <v/>
      </c>
      <c r="P494" s="2" t="str">
        <f t="shared" ca="1" si="69"/>
        <v/>
      </c>
    </row>
    <row r="495" spans="1:16">
      <c r="A495">
        <f t="shared" si="70"/>
        <v>492</v>
      </c>
      <c r="B495" t="str">
        <f ca="1">IFERROR(VLOOKUP($A495,'vbs,vba'!$G:$H,2,FALSE),"")</f>
        <v/>
      </c>
      <c r="C495" t="str">
        <f ca="1">IFERROR(VLOOKUP($A495,python!$I:$J,2,FALSE),"")</f>
        <v>少数 負数 四捨五入（第一位）</v>
      </c>
      <c r="D495" t="str">
        <f ca="1">IFERROR(VLOOKUP($A495,bat!$F:$G,2,FALSE),"")</f>
        <v/>
      </c>
      <c r="E495" t="str">
        <f ca="1">IFERROR(VLOOKUP($A495,shell!$F:$G,2,FALSE),"")</f>
        <v/>
      </c>
      <c r="F495" t="str">
        <f t="shared" ca="1" si="66"/>
        <v>少数 負数 四捨五入（第一位）</v>
      </c>
      <c r="G495">
        <f ca="1">IF($F495="","",COUNTIF($F$3:$F495,$F495))</f>
        <v>1</v>
      </c>
      <c r="H495">
        <f ca="1">IF(OR(G495&gt;1,G495=""),"",COUNTIF($G$3:$G495,1))</f>
        <v>478</v>
      </c>
      <c r="I495" t="str">
        <f t="shared" ca="1" si="67"/>
        <v>少数 負数 四捨五入（第一位）</v>
      </c>
      <c r="K495">
        <f t="shared" si="71"/>
        <v>492</v>
      </c>
      <c r="L495" t="str">
        <f t="shared" ca="1" si="63"/>
        <v>import</v>
      </c>
      <c r="M495" s="2" t="str">
        <f t="shared" ca="1" si="64"/>
        <v/>
      </c>
      <c r="N495" s="2" t="str">
        <f t="shared" ca="1" si="65"/>
        <v>○</v>
      </c>
      <c r="O495" s="2" t="str">
        <f t="shared" ca="1" si="68"/>
        <v/>
      </c>
      <c r="P495" s="2" t="str">
        <f t="shared" ca="1" si="69"/>
        <v/>
      </c>
    </row>
    <row r="496" spans="1:16">
      <c r="A496">
        <f t="shared" si="70"/>
        <v>493</v>
      </c>
      <c r="B496" t="str">
        <f ca="1">IFERROR(VLOOKUP($A496,'vbs,vba'!$G:$H,2,FALSE),"")</f>
        <v/>
      </c>
      <c r="C496" t="str">
        <f ca="1">IFERROR(VLOOKUP($A496,python!$I:$J,2,FALSE),"")</f>
        <v>少数 負数 四捨五入（第二位）</v>
      </c>
      <c r="D496" t="str">
        <f ca="1">IFERROR(VLOOKUP($A496,bat!$F:$G,2,FALSE),"")</f>
        <v/>
      </c>
      <c r="E496" t="str">
        <f ca="1">IFERROR(VLOOKUP($A496,shell!$F:$G,2,FALSE),"")</f>
        <v/>
      </c>
      <c r="F496" t="str">
        <f t="shared" ca="1" si="66"/>
        <v>少数 負数 四捨五入（第二位）</v>
      </c>
      <c r="G496">
        <f ca="1">IF($F496="","",COUNTIF($F$3:$F496,$F496))</f>
        <v>1</v>
      </c>
      <c r="H496">
        <f ca="1">IF(OR(G496&gt;1,G496=""),"",COUNTIF($G$3:$G496,1))</f>
        <v>479</v>
      </c>
      <c r="I496" t="str">
        <f t="shared" ca="1" si="67"/>
        <v>少数 負数 四捨五入（第二位）</v>
      </c>
      <c r="K496">
        <f t="shared" si="71"/>
        <v>493</v>
      </c>
      <c r="L496" t="str">
        <f t="shared" ca="1" si="63"/>
        <v>構造体定義（メンバ＝基本型）</v>
      </c>
      <c r="M496" s="2" t="str">
        <f t="shared" ca="1" si="64"/>
        <v/>
      </c>
      <c r="N496" s="2" t="str">
        <f t="shared" ca="1" si="65"/>
        <v>○</v>
      </c>
      <c r="O496" s="2" t="str">
        <f t="shared" ca="1" si="68"/>
        <v/>
      </c>
      <c r="P496" s="2" t="str">
        <f t="shared" ca="1" si="69"/>
        <v/>
      </c>
    </row>
    <row r="497" spans="1:16">
      <c r="A497">
        <f t="shared" si="70"/>
        <v>494</v>
      </c>
      <c r="B497" t="str">
        <f ca="1">IFERROR(VLOOKUP($A497,'vbs,vba'!$G:$H,2,FALSE),"")</f>
        <v/>
      </c>
      <c r="C497" t="str">
        <f ca="1">IFERROR(VLOOKUP($A497,python!$I:$J,2,FALSE),"")</f>
        <v>少数 正数 切り捨て（整数）</v>
      </c>
      <c r="D497" t="str">
        <f ca="1">IFERROR(VLOOKUP($A497,bat!$F:$G,2,FALSE),"")</f>
        <v/>
      </c>
      <c r="E497" t="str">
        <f ca="1">IFERROR(VLOOKUP($A497,shell!$F:$G,2,FALSE),"")</f>
        <v/>
      </c>
      <c r="F497" t="str">
        <f t="shared" ca="1" si="66"/>
        <v>少数 正数 切り捨て（整数）</v>
      </c>
      <c r="G497">
        <f ca="1">IF($F497="","",COUNTIF($F$3:$F497,$F497))</f>
        <v>1</v>
      </c>
      <c r="H497">
        <f ca="1">IF(OR(G497&gt;1,G497=""),"",COUNTIF($G$3:$G497,1))</f>
        <v>480</v>
      </c>
      <c r="I497" t="str">
        <f t="shared" ca="1" si="67"/>
        <v>少数 正数 切り捨て（整数）</v>
      </c>
      <c r="K497">
        <f t="shared" si="71"/>
        <v>494</v>
      </c>
      <c r="L497" t="str">
        <f t="shared" ca="1" si="63"/>
        <v>構造体定義（メンバ＝他構造体）</v>
      </c>
      <c r="M497" s="2" t="str">
        <f ca="1">IF($L497="","",IF(COUNTIF(B$3:B$1004,$L497)&gt;0,"○",""))</f>
        <v/>
      </c>
      <c r="N497" s="2" t="str">
        <f t="shared" ca="1" si="65"/>
        <v>○</v>
      </c>
      <c r="O497" s="2" t="str">
        <f t="shared" ca="1" si="68"/>
        <v/>
      </c>
      <c r="P497" s="2" t="str">
        <f t="shared" ca="1" si="69"/>
        <v/>
      </c>
    </row>
    <row r="498" spans="1:16">
      <c r="A498">
        <f t="shared" si="70"/>
        <v>495</v>
      </c>
      <c r="B498" t="str">
        <f ca="1">IFERROR(VLOOKUP($A498,'vbs,vba'!$G:$H,2,FALSE),"")</f>
        <v/>
      </c>
      <c r="C498" t="str">
        <f ca="1">IFERROR(VLOOKUP($A498,python!$I:$J,2,FALSE),"")</f>
        <v>少数 正数 切り捨て（第一位）</v>
      </c>
      <c r="D498" t="str">
        <f ca="1">IFERROR(VLOOKUP($A498,bat!$F:$G,2,FALSE),"")</f>
        <v/>
      </c>
      <c r="E498" t="str">
        <f ca="1">IFERROR(VLOOKUP($A498,shell!$F:$G,2,FALSE),"")</f>
        <v/>
      </c>
      <c r="F498" t="str">
        <f t="shared" ca="1" si="66"/>
        <v>少数 正数 切り捨て（第一位）</v>
      </c>
      <c r="G498">
        <f ca="1">IF($F498="","",COUNTIF($F$3:$F498,$F498))</f>
        <v>1</v>
      </c>
      <c r="H498">
        <f ca="1">IF(OR(G498&gt;1,G498=""),"",COUNTIF($G$3:$G498,1))</f>
        <v>481</v>
      </c>
      <c r="I498" t="str">
        <f t="shared" ca="1" si="67"/>
        <v>少数 正数 切り捨て（第一位）</v>
      </c>
      <c r="K498">
        <f t="shared" si="71"/>
        <v>495</v>
      </c>
      <c r="L498" t="str">
        <f t="shared" ca="1" si="63"/>
        <v>構造体定義（メンバ＝他構造体リスト）</v>
      </c>
      <c r="M498" s="2" t="str">
        <f t="shared" ref="M498:M561" ca="1" si="72">IF($L498="","",IF(COUNTIF(B$3:B$1004,$L498)&gt;0,"○",""))</f>
        <v/>
      </c>
      <c r="N498" s="2" t="str">
        <f t="shared" ca="1" si="65"/>
        <v>○</v>
      </c>
      <c r="O498" s="2" t="str">
        <f t="shared" ca="1" si="68"/>
        <v/>
      </c>
      <c r="P498" s="2" t="str">
        <f t="shared" ca="1" si="69"/>
        <v/>
      </c>
    </row>
    <row r="499" spans="1:16">
      <c r="A499">
        <f t="shared" si="70"/>
        <v>496</v>
      </c>
      <c r="B499" t="str">
        <f ca="1">IFERROR(VLOOKUP($A499,'vbs,vba'!$G:$H,2,FALSE),"")</f>
        <v/>
      </c>
      <c r="C499" t="str">
        <f ca="1">IFERROR(VLOOKUP($A499,python!$I:$J,2,FALSE),"")</f>
        <v>少数 正数 切り捨て（第二位）</v>
      </c>
      <c r="D499" t="str">
        <f ca="1">IFERROR(VLOOKUP($A499,bat!$F:$G,2,FALSE),"")</f>
        <v/>
      </c>
      <c r="E499" t="str">
        <f ca="1">IFERROR(VLOOKUP($A499,shell!$F:$G,2,FALSE),"")</f>
        <v/>
      </c>
      <c r="F499" t="str">
        <f t="shared" ca="1" si="66"/>
        <v>少数 正数 切り捨て（第二位）</v>
      </c>
      <c r="G499">
        <f ca="1">IF($F499="","",COUNTIF($F$3:$F499,$F499))</f>
        <v>1</v>
      </c>
      <c r="H499">
        <f ca="1">IF(OR(G499&gt;1,G499=""),"",COUNTIF($G$3:$G499,1))</f>
        <v>482</v>
      </c>
      <c r="I499" t="str">
        <f t="shared" ca="1" si="67"/>
        <v>少数 正数 切り捨て（第二位）</v>
      </c>
      <c r="K499">
        <f t="shared" si="71"/>
        <v>496</v>
      </c>
      <c r="L499" t="str">
        <f t="shared" ca="1" si="63"/>
        <v>構造体定義（メンバ＝自構造体リスト）</v>
      </c>
      <c r="M499" s="2" t="str">
        <f t="shared" ca="1" si="72"/>
        <v/>
      </c>
      <c r="N499" s="2" t="str">
        <f t="shared" ca="1" si="65"/>
        <v>○</v>
      </c>
      <c r="O499" s="2" t="str">
        <f t="shared" ca="1" si="68"/>
        <v/>
      </c>
      <c r="P499" s="2" t="str">
        <f t="shared" ca="1" si="69"/>
        <v/>
      </c>
    </row>
    <row r="500" spans="1:16">
      <c r="A500">
        <f t="shared" si="70"/>
        <v>497</v>
      </c>
      <c r="B500" t="str">
        <f ca="1">IFERROR(VLOOKUP($A500,'vbs,vba'!$G:$H,2,FALSE),"")</f>
        <v/>
      </c>
      <c r="C500" t="str">
        <f ca="1">IFERROR(VLOOKUP($A500,python!$I:$J,2,FALSE),"")</f>
        <v>少数 負数 切り捨て（整数）</v>
      </c>
      <c r="D500" t="str">
        <f ca="1">IFERROR(VLOOKUP($A500,bat!$F:$G,2,FALSE),"")</f>
        <v/>
      </c>
      <c r="E500" t="str">
        <f ca="1">IFERROR(VLOOKUP($A500,shell!$F:$G,2,FALSE),"")</f>
        <v/>
      </c>
      <c r="F500" t="str">
        <f t="shared" ca="1" si="66"/>
        <v>少数 負数 切り捨て（整数）</v>
      </c>
      <c r="G500">
        <f ca="1">IF($F500="","",COUNTIF($F$3:$F500,$F500))</f>
        <v>1</v>
      </c>
      <c r="H500">
        <f ca="1">IF(OR(G500&gt;1,G500=""),"",COUNTIF($G$3:$G500,1))</f>
        <v>483</v>
      </c>
      <c r="I500" t="str">
        <f t="shared" ca="1" si="67"/>
        <v>少数 負数 切り捨て（整数）</v>
      </c>
      <c r="K500">
        <f t="shared" si="71"/>
        <v>497</v>
      </c>
      <c r="L500" t="str">
        <f t="shared" ca="1" si="63"/>
        <v>インスタンス化(初期化子なし)</v>
      </c>
      <c r="M500" s="2" t="str">
        <f t="shared" ca="1" si="72"/>
        <v/>
      </c>
      <c r="N500" s="2" t="str">
        <f t="shared" ca="1" si="65"/>
        <v>○</v>
      </c>
      <c r="O500" s="2" t="str">
        <f t="shared" ca="1" si="68"/>
        <v/>
      </c>
      <c r="P500" s="2" t="str">
        <f t="shared" ca="1" si="69"/>
        <v/>
      </c>
    </row>
    <row r="501" spans="1:16">
      <c r="A501">
        <f t="shared" si="70"/>
        <v>498</v>
      </c>
      <c r="B501" t="str">
        <f ca="1">IFERROR(VLOOKUP($A501,'vbs,vba'!$G:$H,2,FALSE),"")</f>
        <v/>
      </c>
      <c r="C501" t="str">
        <f ca="1">IFERROR(VLOOKUP($A501,python!$I:$J,2,FALSE),"")</f>
        <v>少数 負数 切り捨て（第一位）</v>
      </c>
      <c r="D501" t="str">
        <f ca="1">IFERROR(VLOOKUP($A501,bat!$F:$G,2,FALSE),"")</f>
        <v/>
      </c>
      <c r="E501" t="str">
        <f ca="1">IFERROR(VLOOKUP($A501,shell!$F:$G,2,FALSE),"")</f>
        <v/>
      </c>
      <c r="F501" t="str">
        <f t="shared" ca="1" si="66"/>
        <v>少数 負数 切り捨て（第一位）</v>
      </c>
      <c r="G501">
        <f ca="1">IF($F501="","",COUNTIF($F$3:$F501,$F501))</f>
        <v>1</v>
      </c>
      <c r="H501">
        <f ca="1">IF(OR(G501&gt;1,G501=""),"",COUNTIF($G$3:$G501,1))</f>
        <v>484</v>
      </c>
      <c r="I501" t="str">
        <f t="shared" ca="1" si="67"/>
        <v>少数 負数 切り捨て（第一位）</v>
      </c>
      <c r="K501">
        <f t="shared" si="71"/>
        <v>498</v>
      </c>
      <c r="L501" t="str">
        <f t="shared" ca="1" si="63"/>
        <v>インスタンス化(初期化子あり１)</v>
      </c>
      <c r="M501" s="2" t="str">
        <f t="shared" ca="1" si="72"/>
        <v/>
      </c>
      <c r="N501" s="2" t="str">
        <f t="shared" ca="1" si="65"/>
        <v>○</v>
      </c>
      <c r="O501" s="2" t="str">
        <f t="shared" ca="1" si="68"/>
        <v/>
      </c>
      <c r="P501" s="2" t="str">
        <f t="shared" ca="1" si="69"/>
        <v/>
      </c>
    </row>
    <row r="502" spans="1:16">
      <c r="A502">
        <f t="shared" si="70"/>
        <v>499</v>
      </c>
      <c r="B502" t="str">
        <f ca="1">IFERROR(VLOOKUP($A502,'vbs,vba'!$G:$H,2,FALSE),"")</f>
        <v/>
      </c>
      <c r="C502" t="str">
        <f ca="1">IFERROR(VLOOKUP($A502,python!$I:$J,2,FALSE),"")</f>
        <v>少数 負数 切り捨て（第二位）</v>
      </c>
      <c r="D502" t="str">
        <f ca="1">IFERROR(VLOOKUP($A502,bat!$F:$G,2,FALSE),"")</f>
        <v/>
      </c>
      <c r="E502" t="str">
        <f ca="1">IFERROR(VLOOKUP($A502,shell!$F:$G,2,FALSE),"")</f>
        <v/>
      </c>
      <c r="F502" t="str">
        <f t="shared" ca="1" si="66"/>
        <v>少数 負数 切り捨て（第二位）</v>
      </c>
      <c r="G502">
        <f ca="1">IF($F502="","",COUNTIF($F$3:$F502,$F502))</f>
        <v>1</v>
      </c>
      <c r="H502">
        <f ca="1">IF(OR(G502&gt;1,G502=""),"",COUNTIF($G$3:$G502,1))</f>
        <v>485</v>
      </c>
      <c r="I502" t="str">
        <f t="shared" ca="1" si="67"/>
        <v>少数 負数 切り捨て（第二位）</v>
      </c>
      <c r="K502">
        <f t="shared" si="71"/>
        <v>499</v>
      </c>
      <c r="L502" t="str">
        <f t="shared" ca="1" si="63"/>
        <v>インスタンス化(初期化子あり２)</v>
      </c>
      <c r="M502" s="2" t="str">
        <f t="shared" ca="1" si="72"/>
        <v/>
      </c>
      <c r="N502" s="2" t="str">
        <f t="shared" ca="1" si="65"/>
        <v>○</v>
      </c>
      <c r="O502" s="2" t="str">
        <f t="shared" ca="1" si="68"/>
        <v/>
      </c>
      <c r="P502" s="2" t="str">
        <f t="shared" ca="1" si="69"/>
        <v/>
      </c>
    </row>
    <row r="503" spans="1:16">
      <c r="A503">
        <f t="shared" si="70"/>
        <v>500</v>
      </c>
      <c r="B503" t="str">
        <f ca="1">IFERROR(VLOOKUP($A503,'vbs,vba'!$G:$H,2,FALSE),"")</f>
        <v/>
      </c>
      <c r="C503" t="str">
        <f ca="1">IFERROR(VLOOKUP($A503,python!$I:$J,2,FALSE),"")</f>
        <v>少数 正数 切り上げ（整数）</v>
      </c>
      <c r="D503" t="str">
        <f ca="1">IFERROR(VLOOKUP($A503,bat!$F:$G,2,FALSE),"")</f>
        <v/>
      </c>
      <c r="E503" t="str">
        <f ca="1">IFERROR(VLOOKUP($A503,shell!$F:$G,2,FALSE),"")</f>
        <v/>
      </c>
      <c r="F503" t="str">
        <f t="shared" ca="1" si="66"/>
        <v>少数 正数 切り上げ（整数）</v>
      </c>
      <c r="G503">
        <f ca="1">IF($F503="","",COUNTIF($F$3:$F503,$F503))</f>
        <v>1</v>
      </c>
      <c r="H503">
        <f ca="1">IF(OR(G503&gt;1,G503=""),"",COUNTIF($G$3:$G503,1))</f>
        <v>486</v>
      </c>
      <c r="I503" t="str">
        <f t="shared" ca="1" si="67"/>
        <v>少数 正数 切り上げ（整数）</v>
      </c>
      <c r="K503">
        <f t="shared" si="71"/>
        <v>500</v>
      </c>
      <c r="L503" t="str">
        <f t="shared" ca="1" si="63"/>
        <v>参照＆更新</v>
      </c>
      <c r="M503" s="2" t="str">
        <f t="shared" ca="1" si="72"/>
        <v/>
      </c>
      <c r="N503" s="2" t="str">
        <f t="shared" ca="1" si="65"/>
        <v>○</v>
      </c>
      <c r="O503" s="2" t="str">
        <f t="shared" ca="1" si="68"/>
        <v/>
      </c>
      <c r="P503" s="2" t="str">
        <f t="shared" ca="1" si="69"/>
        <v/>
      </c>
    </row>
    <row r="504" spans="1:16">
      <c r="A504">
        <f t="shared" si="70"/>
        <v>501</v>
      </c>
      <c r="B504" t="str">
        <f ca="1">IFERROR(VLOOKUP($A504,'vbs,vba'!$G:$H,2,FALSE),"")</f>
        <v/>
      </c>
      <c r="C504" t="str">
        <f ca="1">IFERROR(VLOOKUP($A504,python!$I:$J,2,FALSE),"")</f>
        <v>少数 正数 切り上げ（第一位）</v>
      </c>
      <c r="D504" t="str">
        <f ca="1">IFERROR(VLOOKUP($A504,bat!$F:$G,2,FALSE),"")</f>
        <v/>
      </c>
      <c r="E504" t="str">
        <f ca="1">IFERROR(VLOOKUP($A504,shell!$F:$G,2,FALSE),"")</f>
        <v/>
      </c>
      <c r="F504" t="str">
        <f t="shared" ca="1" si="66"/>
        <v>少数 正数 切り上げ（第一位）</v>
      </c>
      <c r="G504">
        <f ca="1">IF($F504="","",COUNTIF($F$3:$F504,$F504))</f>
        <v>1</v>
      </c>
      <c r="H504">
        <f ca="1">IF(OR(G504&gt;1,G504=""),"",COUNTIF($G$3:$G504,1))</f>
        <v>487</v>
      </c>
      <c r="I504" t="str">
        <f t="shared" ca="1" si="67"/>
        <v>少数 正数 切り上げ（第一位）</v>
      </c>
      <c r="K504">
        <f t="shared" si="71"/>
        <v>501</v>
      </c>
      <c r="L504" t="str">
        <f t="shared" ca="1" si="63"/>
        <v>トライ</v>
      </c>
      <c r="M504" s="2" t="str">
        <f t="shared" ca="1" si="72"/>
        <v/>
      </c>
      <c r="N504" s="2" t="str">
        <f t="shared" ca="1" si="65"/>
        <v>○</v>
      </c>
      <c r="O504" s="2" t="str">
        <f t="shared" ca="1" si="68"/>
        <v/>
      </c>
      <c r="P504" s="2" t="str">
        <f t="shared" ca="1" si="69"/>
        <v/>
      </c>
    </row>
    <row r="505" spans="1:16">
      <c r="A505">
        <f t="shared" si="70"/>
        <v>502</v>
      </c>
      <c r="B505" t="str">
        <f ca="1">IFERROR(VLOOKUP($A505,'vbs,vba'!$G:$H,2,FALSE),"")</f>
        <v/>
      </c>
      <c r="C505" t="str">
        <f ca="1">IFERROR(VLOOKUP($A505,python!$I:$J,2,FALSE),"")</f>
        <v>少数 正数 切り上げ（第二位）</v>
      </c>
      <c r="D505" t="str">
        <f ca="1">IFERROR(VLOOKUP($A505,bat!$F:$G,2,FALSE),"")</f>
        <v/>
      </c>
      <c r="E505" t="str">
        <f ca="1">IFERROR(VLOOKUP($A505,shell!$F:$G,2,FALSE),"")</f>
        <v/>
      </c>
      <c r="F505" t="str">
        <f t="shared" ca="1" si="66"/>
        <v>少数 正数 切り上げ（第二位）</v>
      </c>
      <c r="G505">
        <f ca="1">IF($F505="","",COUNTIF($F$3:$F505,$F505))</f>
        <v>1</v>
      </c>
      <c r="H505">
        <f ca="1">IF(OR(G505&gt;1,G505=""),"",COUNTIF($G$3:$G505,1))</f>
        <v>488</v>
      </c>
      <c r="I505" t="str">
        <f t="shared" ca="1" si="67"/>
        <v>少数 正数 切り上げ（第二位）</v>
      </c>
      <c r="K505">
        <f t="shared" si="71"/>
        <v>502</v>
      </c>
      <c r="L505" t="str">
        <f t="shared" ca="1" si="63"/>
        <v>キャッチ（全エラー）</v>
      </c>
      <c r="M505" s="2" t="str">
        <f t="shared" ca="1" si="72"/>
        <v/>
      </c>
      <c r="N505" s="2" t="str">
        <f t="shared" ca="1" si="65"/>
        <v>○</v>
      </c>
      <c r="O505" s="2" t="str">
        <f t="shared" ca="1" si="68"/>
        <v/>
      </c>
      <c r="P505" s="2" t="str">
        <f t="shared" ca="1" si="69"/>
        <v/>
      </c>
    </row>
    <row r="506" spans="1:16">
      <c r="A506">
        <f t="shared" si="70"/>
        <v>503</v>
      </c>
      <c r="B506" t="str">
        <f ca="1">IFERROR(VLOOKUP($A506,'vbs,vba'!$G:$H,2,FALSE),"")</f>
        <v/>
      </c>
      <c r="C506" t="str">
        <f ca="1">IFERROR(VLOOKUP($A506,python!$I:$J,2,FALSE),"")</f>
        <v>少数 負数 切り上げ（整数）</v>
      </c>
      <c r="D506" t="str">
        <f ca="1">IFERROR(VLOOKUP($A506,bat!$F:$G,2,FALSE),"")</f>
        <v/>
      </c>
      <c r="E506" t="str">
        <f ca="1">IFERROR(VLOOKUP($A506,shell!$F:$G,2,FALSE),"")</f>
        <v/>
      </c>
      <c r="F506" t="str">
        <f t="shared" ca="1" si="66"/>
        <v>少数 負数 切り上げ（整数）</v>
      </c>
      <c r="G506">
        <f ca="1">IF($F506="","",COUNTIF($F$3:$F506,$F506))</f>
        <v>1</v>
      </c>
      <c r="H506">
        <f ca="1">IF(OR(G506&gt;1,G506=""),"",COUNTIF($G$3:$G506,1))</f>
        <v>489</v>
      </c>
      <c r="I506" t="str">
        <f t="shared" ca="1" si="67"/>
        <v>少数 負数 切り上げ（整数）</v>
      </c>
      <c r="K506">
        <f t="shared" si="71"/>
        <v>503</v>
      </c>
      <c r="L506" t="str">
        <f t="shared" ca="1" si="63"/>
        <v>キャッチ（特定エラー）</v>
      </c>
      <c r="M506" s="2" t="str">
        <f t="shared" ca="1" si="72"/>
        <v/>
      </c>
      <c r="N506" s="2" t="str">
        <f t="shared" ca="1" si="65"/>
        <v>○</v>
      </c>
      <c r="O506" s="2" t="str">
        <f t="shared" ca="1" si="68"/>
        <v/>
      </c>
      <c r="P506" s="2" t="str">
        <f t="shared" ca="1" si="69"/>
        <v/>
      </c>
    </row>
    <row r="507" spans="1:16">
      <c r="A507">
        <f t="shared" si="70"/>
        <v>504</v>
      </c>
      <c r="B507" t="str">
        <f ca="1">IFERROR(VLOOKUP($A507,'vbs,vba'!$G:$H,2,FALSE),"")</f>
        <v/>
      </c>
      <c r="C507" t="str">
        <f ca="1">IFERROR(VLOOKUP($A507,python!$I:$J,2,FALSE),"")</f>
        <v>少数 負数 切り上げ（第一位）</v>
      </c>
      <c r="D507" t="str">
        <f ca="1">IFERROR(VLOOKUP($A507,bat!$F:$G,2,FALSE),"")</f>
        <v/>
      </c>
      <c r="E507" t="str">
        <f ca="1">IFERROR(VLOOKUP($A507,shell!$F:$G,2,FALSE),"")</f>
        <v/>
      </c>
      <c r="F507" t="str">
        <f t="shared" ca="1" si="66"/>
        <v>少数 負数 切り上げ（第一位）</v>
      </c>
      <c r="G507">
        <f ca="1">IF($F507="","",COUNTIF($F$3:$F507,$F507))</f>
        <v>1</v>
      </c>
      <c r="H507">
        <f ca="1">IF(OR(G507&gt;1,G507=""),"",COUNTIF($G$3:$G507,1))</f>
        <v>490</v>
      </c>
      <c r="I507" t="str">
        <f t="shared" ca="1" si="67"/>
        <v>少数 負数 切り上げ（第一位）</v>
      </c>
      <c r="K507">
        <f t="shared" si="71"/>
        <v>504</v>
      </c>
      <c r="L507" t="str">
        <f t="shared" ca="1" si="63"/>
        <v>キャッチ（複数エラー）</v>
      </c>
      <c r="M507" s="2" t="str">
        <f t="shared" ca="1" si="72"/>
        <v/>
      </c>
      <c r="N507" s="2" t="str">
        <f t="shared" ca="1" si="65"/>
        <v>○</v>
      </c>
      <c r="O507" s="2" t="str">
        <f t="shared" ca="1" si="68"/>
        <v/>
      </c>
      <c r="P507" s="2" t="str">
        <f t="shared" ca="1" si="69"/>
        <v/>
      </c>
    </row>
    <row r="508" spans="1:16">
      <c r="A508">
        <f t="shared" si="70"/>
        <v>505</v>
      </c>
      <c r="B508" t="str">
        <f ca="1">IFERROR(VLOOKUP($A508,'vbs,vba'!$G:$H,2,FALSE),"")</f>
        <v/>
      </c>
      <c r="C508" t="str">
        <f ca="1">IFERROR(VLOOKUP($A508,python!$I:$J,2,FALSE),"")</f>
        <v>少数 負数 切り上げ（第二位）</v>
      </c>
      <c r="D508" t="str">
        <f ca="1">IFERROR(VLOOKUP($A508,bat!$F:$G,2,FALSE),"")</f>
        <v/>
      </c>
      <c r="E508" t="str">
        <f ca="1">IFERROR(VLOOKUP($A508,shell!$F:$G,2,FALSE),"")</f>
        <v/>
      </c>
      <c r="F508" t="str">
        <f t="shared" ca="1" si="66"/>
        <v>少数 負数 切り上げ（第二位）</v>
      </c>
      <c r="G508">
        <f ca="1">IF($F508="","",COUNTIF($F$3:$F508,$F508))</f>
        <v>1</v>
      </c>
      <c r="H508">
        <f ca="1">IF(OR(G508&gt;1,G508=""),"",COUNTIF($G$3:$G508,1))</f>
        <v>491</v>
      </c>
      <c r="I508" t="str">
        <f t="shared" ca="1" si="67"/>
        <v>少数 負数 切り上げ（第二位）</v>
      </c>
      <c r="K508">
        <f t="shared" si="71"/>
        <v>505</v>
      </c>
      <c r="L508" t="str">
        <f t="shared" ca="1" si="63"/>
        <v>正常時の処理</v>
      </c>
      <c r="M508" s="2" t="str">
        <f t="shared" ca="1" si="72"/>
        <v/>
      </c>
      <c r="N508" s="2" t="str">
        <f t="shared" ca="1" si="65"/>
        <v>○</v>
      </c>
      <c r="O508" s="2" t="str">
        <f t="shared" ca="1" si="68"/>
        <v/>
      </c>
      <c r="P508" s="2" t="str">
        <f t="shared" ca="1" si="69"/>
        <v/>
      </c>
    </row>
    <row r="509" spans="1:16">
      <c r="A509">
        <f t="shared" si="70"/>
        <v>506</v>
      </c>
      <c r="B509" t="str">
        <f ca="1">IFERROR(VLOOKUP($A509,'vbs,vba'!$G:$H,2,FALSE),"")</f>
        <v/>
      </c>
      <c r="C509" t="str">
        <f ca="1">IFERROR(VLOOKUP($A509,python!$I:$J,2,FALSE),"")</f>
        <v>import</v>
      </c>
      <c r="D509" t="str">
        <f ca="1">IFERROR(VLOOKUP($A509,bat!$F:$G,2,FALSE),"")</f>
        <v/>
      </c>
      <c r="E509" t="str">
        <f ca="1">IFERROR(VLOOKUP($A509,shell!$F:$G,2,FALSE),"")</f>
        <v/>
      </c>
      <c r="F509" t="str">
        <f t="shared" ca="1" si="66"/>
        <v>import</v>
      </c>
      <c r="G509">
        <f ca="1">IF($F509="","",COUNTIF($F$3:$F509,$F509))</f>
        <v>1</v>
      </c>
      <c r="H509">
        <f ca="1">IF(OR(G509&gt;1,G509=""),"",COUNTIF($G$3:$G509,1))</f>
        <v>492</v>
      </c>
      <c r="I509" t="str">
        <f t="shared" ca="1" si="67"/>
        <v>import</v>
      </c>
      <c r="K509">
        <f t="shared" si="71"/>
        <v>506</v>
      </c>
      <c r="L509" t="str">
        <f t="shared" ca="1" si="63"/>
        <v>終了時に常に行う処理</v>
      </c>
      <c r="M509" s="2" t="str">
        <f t="shared" ca="1" si="72"/>
        <v/>
      </c>
      <c r="N509" s="2" t="str">
        <f t="shared" ca="1" si="65"/>
        <v>○</v>
      </c>
      <c r="O509" s="2" t="str">
        <f t="shared" ca="1" si="68"/>
        <v/>
      </c>
      <c r="P509" s="2" t="str">
        <f t="shared" ca="1" si="69"/>
        <v/>
      </c>
    </row>
    <row r="510" spans="1:16">
      <c r="A510">
        <f t="shared" si="70"/>
        <v>507</v>
      </c>
      <c r="B510" t="str">
        <f ca="1">IFERROR(VLOOKUP($A510,'vbs,vba'!$G:$H,2,FALSE),"")</f>
        <v/>
      </c>
      <c r="C510" t="str">
        <f ca="1">IFERROR(VLOOKUP($A510,python!$I:$J,2,FALSE),"")</f>
        <v>構造体定義（メンバ＝基本型）</v>
      </c>
      <c r="D510" t="str">
        <f ca="1">IFERROR(VLOOKUP($A510,bat!$F:$G,2,FALSE),"")</f>
        <v/>
      </c>
      <c r="E510" t="str">
        <f ca="1">IFERROR(VLOOKUP($A510,shell!$F:$G,2,FALSE),"")</f>
        <v/>
      </c>
      <c r="F510" t="str">
        <f t="shared" ca="1" si="66"/>
        <v>構造体定義（メンバ＝基本型）</v>
      </c>
      <c r="G510">
        <f ca="1">IF($F510="","",COUNTIF($F$3:$F510,$F510))</f>
        <v>1</v>
      </c>
      <c r="H510">
        <f ca="1">IF(OR(G510&gt;1,G510=""),"",COUNTIF($G$3:$G510,1))</f>
        <v>493</v>
      </c>
      <c r="I510" t="str">
        <f t="shared" ca="1" si="67"/>
        <v>構造体定義（メンバ＝基本型）</v>
      </c>
      <c r="K510">
        <f t="shared" si="71"/>
        <v>507</v>
      </c>
      <c r="L510" t="str">
        <f t="shared" ca="1" si="63"/>
        <v>例外を無視</v>
      </c>
      <c r="M510" s="2" t="str">
        <f t="shared" ca="1" si="72"/>
        <v/>
      </c>
      <c r="N510" s="2" t="str">
        <f t="shared" ca="1" si="65"/>
        <v>○</v>
      </c>
      <c r="O510" s="2" t="str">
        <f t="shared" ca="1" si="68"/>
        <v/>
      </c>
      <c r="P510" s="2" t="str">
        <f t="shared" ca="1" si="69"/>
        <v/>
      </c>
    </row>
    <row r="511" spans="1:16">
      <c r="A511">
        <f t="shared" si="70"/>
        <v>508</v>
      </c>
      <c r="B511" t="str">
        <f ca="1">IFERROR(VLOOKUP($A511,'vbs,vba'!$G:$H,2,FALSE),"")</f>
        <v/>
      </c>
      <c r="C511" t="str">
        <f ca="1">IFERROR(VLOOKUP($A511,python!$I:$J,2,FALSE),"")</f>
        <v>構造体定義（メンバ＝他構造体）</v>
      </c>
      <c r="D511" t="str">
        <f ca="1">IFERROR(VLOOKUP($A511,bat!$F:$G,2,FALSE),"")</f>
        <v/>
      </c>
      <c r="E511" t="str">
        <f ca="1">IFERROR(VLOOKUP($A511,shell!$F:$G,2,FALSE),"")</f>
        <v/>
      </c>
      <c r="F511" t="str">
        <f t="shared" ca="1" si="66"/>
        <v>構造体定義（メンバ＝他構造体）</v>
      </c>
      <c r="G511">
        <f ca="1">IF($F511="","",COUNTIF($F$3:$F511,$F511))</f>
        <v>1</v>
      </c>
      <c r="H511">
        <f ca="1">IF(OR(G511&gt;1,G511=""),"",COUNTIF($G$3:$G511,1))</f>
        <v>494</v>
      </c>
      <c r="I511" t="str">
        <f t="shared" ca="1" si="67"/>
        <v>構造体定義（メンバ＝他構造体）</v>
      </c>
      <c r="K511">
        <f t="shared" si="71"/>
        <v>508</v>
      </c>
      <c r="L511" t="str">
        <f t="shared" ca="1" si="63"/>
        <v>ＴＸＴ 定義</v>
      </c>
      <c r="M511" s="2" t="str">
        <f t="shared" ca="1" si="72"/>
        <v/>
      </c>
      <c r="N511" s="2" t="str">
        <f t="shared" ca="1" si="65"/>
        <v>○</v>
      </c>
      <c r="O511" s="2" t="str">
        <f t="shared" ca="1" si="68"/>
        <v/>
      </c>
      <c r="P511" s="2" t="str">
        <f t="shared" ca="1" si="69"/>
        <v/>
      </c>
    </row>
    <row r="512" spans="1:16">
      <c r="A512">
        <f t="shared" si="70"/>
        <v>509</v>
      </c>
      <c r="B512" t="str">
        <f ca="1">IFERROR(VLOOKUP($A512,'vbs,vba'!$G:$H,2,FALSE),"")</f>
        <v/>
      </c>
      <c r="C512" t="str">
        <f ca="1">IFERROR(VLOOKUP($A512,python!$I:$J,2,FALSE),"")</f>
        <v>構造体定義（メンバ＝他構造体リスト）</v>
      </c>
      <c r="D512" t="str">
        <f ca="1">IFERROR(VLOOKUP($A512,bat!$F:$G,2,FALSE),"")</f>
        <v/>
      </c>
      <c r="E512" t="str">
        <f ca="1">IFERROR(VLOOKUP($A512,shell!$F:$G,2,FALSE),"")</f>
        <v/>
      </c>
      <c r="F512" t="str">
        <f t="shared" ca="1" si="66"/>
        <v>構造体定義（メンバ＝他構造体リスト）</v>
      </c>
      <c r="G512">
        <f ca="1">IF($F512="","",COUNTIF($F$3:$F512,$F512))</f>
        <v>1</v>
      </c>
      <c r="H512">
        <f ca="1">IF(OR(G512&gt;1,G512=""),"",COUNTIF($G$3:$G512,1))</f>
        <v>495</v>
      </c>
      <c r="I512" t="str">
        <f t="shared" ca="1" si="67"/>
        <v>構造体定義（メンバ＝他構造体リスト）</v>
      </c>
      <c r="K512">
        <f t="shared" si="71"/>
        <v>509</v>
      </c>
      <c r="L512" t="str">
        <f t="shared" ca="1" si="63"/>
        <v>ＴＸＴ オープン</v>
      </c>
      <c r="M512" s="2" t="str">
        <f t="shared" ca="1" si="72"/>
        <v/>
      </c>
      <c r="N512" s="2" t="str">
        <f t="shared" ca="1" si="65"/>
        <v>○</v>
      </c>
      <c r="O512" s="2" t="str">
        <f t="shared" ca="1" si="68"/>
        <v/>
      </c>
      <c r="P512" s="2" t="str">
        <f t="shared" ca="1" si="69"/>
        <v/>
      </c>
    </row>
    <row r="513" spans="1:16">
      <c r="A513">
        <f t="shared" si="70"/>
        <v>510</v>
      </c>
      <c r="B513" t="str">
        <f ca="1">IFERROR(VLOOKUP($A513,'vbs,vba'!$G:$H,2,FALSE),"")</f>
        <v/>
      </c>
      <c r="C513" t="str">
        <f ca="1">IFERROR(VLOOKUP($A513,python!$I:$J,2,FALSE),"")</f>
        <v>構造体定義（メンバ＝自構造体リスト）</v>
      </c>
      <c r="D513" t="str">
        <f ca="1">IFERROR(VLOOKUP($A513,bat!$F:$G,2,FALSE),"")</f>
        <v/>
      </c>
      <c r="E513" t="str">
        <f ca="1">IFERROR(VLOOKUP($A513,shell!$F:$G,2,FALSE),"")</f>
        <v/>
      </c>
      <c r="F513" t="str">
        <f t="shared" ca="1" si="66"/>
        <v>構造体定義（メンバ＝自構造体リスト）</v>
      </c>
      <c r="G513">
        <f ca="1">IF($F513="","",COUNTIF($F$3:$F513,$F513))</f>
        <v>1</v>
      </c>
      <c r="H513">
        <f ca="1">IF(OR(G513&gt;1,G513=""),"",COUNTIF($G$3:$G513,1))</f>
        <v>496</v>
      </c>
      <c r="I513" t="str">
        <f t="shared" ca="1" si="67"/>
        <v>構造体定義（メンバ＝自構造体リスト）</v>
      </c>
      <c r="K513">
        <f t="shared" si="71"/>
        <v>510</v>
      </c>
      <c r="L513" t="str">
        <f t="shared" ca="1" si="63"/>
        <v>ＴＸＴ クローズ</v>
      </c>
      <c r="M513" s="2" t="str">
        <f t="shared" ca="1" si="72"/>
        <v/>
      </c>
      <c r="N513" s="2" t="str">
        <f t="shared" ca="1" si="65"/>
        <v>○</v>
      </c>
      <c r="O513" s="2" t="str">
        <f t="shared" ca="1" si="68"/>
        <v/>
      </c>
      <c r="P513" s="2" t="str">
        <f t="shared" ca="1" si="69"/>
        <v/>
      </c>
    </row>
    <row r="514" spans="1:16">
      <c r="A514">
        <f t="shared" si="70"/>
        <v>511</v>
      </c>
      <c r="B514" t="str">
        <f ca="1">IFERROR(VLOOKUP($A514,'vbs,vba'!$G:$H,2,FALSE),"")</f>
        <v/>
      </c>
      <c r="C514" t="str">
        <f ca="1">IFERROR(VLOOKUP($A514,python!$I:$J,2,FALSE),"")</f>
        <v>インスタンス化(初期化子なし)</v>
      </c>
      <c r="D514" t="str">
        <f ca="1">IFERROR(VLOOKUP($A514,bat!$F:$G,2,FALSE),"")</f>
        <v/>
      </c>
      <c r="E514" t="str">
        <f ca="1">IFERROR(VLOOKUP($A514,shell!$F:$G,2,FALSE),"")</f>
        <v/>
      </c>
      <c r="F514" t="str">
        <f t="shared" ca="1" si="66"/>
        <v>インスタンス化(初期化子なし)</v>
      </c>
      <c r="G514">
        <f ca="1">IF($F514="","",COUNTIF($F$3:$F514,$F514))</f>
        <v>1</v>
      </c>
      <c r="H514">
        <f ca="1">IF(OR(G514&gt;1,G514=""),"",COUNTIF($G$3:$G514,1))</f>
        <v>497</v>
      </c>
      <c r="I514" t="str">
        <f t="shared" ca="1" si="67"/>
        <v>インスタンス化(初期化子なし)</v>
      </c>
      <c r="K514">
        <f t="shared" si="71"/>
        <v>511</v>
      </c>
      <c r="L514" t="str">
        <f t="shared" ca="1" si="63"/>
        <v>ＴＸＴ オープン（クローズ不要）</v>
      </c>
      <c r="M514" s="2" t="str">
        <f t="shared" ca="1" si="72"/>
        <v/>
      </c>
      <c r="N514" s="2" t="str">
        <f t="shared" ca="1" si="65"/>
        <v>○</v>
      </c>
      <c r="O514" s="2" t="str">
        <f t="shared" ca="1" si="68"/>
        <v/>
      </c>
      <c r="P514" s="2" t="str">
        <f t="shared" ca="1" si="69"/>
        <v/>
      </c>
    </row>
    <row r="515" spans="1:16">
      <c r="A515">
        <f t="shared" si="70"/>
        <v>512</v>
      </c>
      <c r="B515" t="str">
        <f ca="1">IFERROR(VLOOKUP($A515,'vbs,vba'!$G:$H,2,FALSE),"")</f>
        <v/>
      </c>
      <c r="C515" t="str">
        <f ca="1">IFERROR(VLOOKUP($A515,python!$I:$J,2,FALSE),"")</f>
        <v>インスタンス化(初期化子あり１)</v>
      </c>
      <c r="D515" t="str">
        <f ca="1">IFERROR(VLOOKUP($A515,bat!$F:$G,2,FALSE),"")</f>
        <v/>
      </c>
      <c r="E515" t="str">
        <f ca="1">IFERROR(VLOOKUP($A515,shell!$F:$G,2,FALSE),"")</f>
        <v/>
      </c>
      <c r="F515" t="str">
        <f t="shared" ca="1" si="66"/>
        <v>インスタンス化(初期化子あり１)</v>
      </c>
      <c r="G515">
        <f ca="1">IF($F515="","",COUNTIF($F$3:$F515,$F515))</f>
        <v>1</v>
      </c>
      <c r="H515">
        <f ca="1">IF(OR(G515&gt;1,G515=""),"",COUNTIF($G$3:$G515,1))</f>
        <v>498</v>
      </c>
      <c r="I515" t="str">
        <f t="shared" ca="1" si="67"/>
        <v>インスタンス化(初期化子あり１)</v>
      </c>
      <c r="K515">
        <f t="shared" si="71"/>
        <v>512</v>
      </c>
      <c r="L515" t="str">
        <f t="shared" ca="1" si="63"/>
        <v>ＴＸＴ 読込（一行ずつ）</v>
      </c>
      <c r="M515" s="2" t="str">
        <f t="shared" ca="1" si="72"/>
        <v/>
      </c>
      <c r="N515" s="2" t="str">
        <f t="shared" ca="1" si="65"/>
        <v>○</v>
      </c>
      <c r="O515" s="2" t="str">
        <f t="shared" ca="1" si="68"/>
        <v/>
      </c>
      <c r="P515" s="2" t="str">
        <f t="shared" ca="1" si="69"/>
        <v/>
      </c>
    </row>
    <row r="516" spans="1:16">
      <c r="A516">
        <f t="shared" si="70"/>
        <v>513</v>
      </c>
      <c r="B516" t="str">
        <f ca="1">IFERROR(VLOOKUP($A516,'vbs,vba'!$G:$H,2,FALSE),"")</f>
        <v/>
      </c>
      <c r="C516" t="str">
        <f ca="1">IFERROR(VLOOKUP($A516,python!$I:$J,2,FALSE),"")</f>
        <v>インスタンス化(初期化子あり２)</v>
      </c>
      <c r="D516" t="str">
        <f ca="1">IFERROR(VLOOKUP($A516,bat!$F:$G,2,FALSE),"")</f>
        <v/>
      </c>
      <c r="E516" t="str">
        <f ca="1">IFERROR(VLOOKUP($A516,shell!$F:$G,2,FALSE),"")</f>
        <v/>
      </c>
      <c r="F516" t="str">
        <f t="shared" ca="1" si="66"/>
        <v>インスタンス化(初期化子あり２)</v>
      </c>
      <c r="G516">
        <f ca="1">IF($F516="","",COUNTIF($F$3:$F516,$F516))</f>
        <v>1</v>
      </c>
      <c r="H516">
        <f ca="1">IF(OR(G516&gt;1,G516=""),"",COUNTIF($G$3:$G516,1))</f>
        <v>499</v>
      </c>
      <c r="I516" t="str">
        <f t="shared" ca="1" si="67"/>
        <v>インスタンス化(初期化子あり２)</v>
      </c>
      <c r="K516">
        <f t="shared" si="71"/>
        <v>513</v>
      </c>
      <c r="L516" t="str">
        <f t="shared" ref="L516:L579" ca="1" si="73">IFERROR(VLOOKUP($K516,$H:$I,2,FALSE),"")</f>
        <v>ＴＸＴ 読込（一括）</v>
      </c>
      <c r="M516" s="2" t="str">
        <f t="shared" ca="1" si="72"/>
        <v/>
      </c>
      <c r="N516" s="2" t="str">
        <f t="shared" ref="N516:N579" ca="1" si="74">IF($L516="","",IF(COUNTIF(C$3:C$1004,$L516)&gt;0,"○",""))</f>
        <v>○</v>
      </c>
      <c r="O516" s="2" t="str">
        <f t="shared" ca="1" si="68"/>
        <v/>
      </c>
      <c r="P516" s="2" t="str">
        <f t="shared" ca="1" si="69"/>
        <v/>
      </c>
    </row>
    <row r="517" spans="1:16">
      <c r="A517">
        <f t="shared" si="70"/>
        <v>514</v>
      </c>
      <c r="B517" t="str">
        <f ca="1">IFERROR(VLOOKUP($A517,'vbs,vba'!$G:$H,2,FALSE),"")</f>
        <v/>
      </c>
      <c r="C517" t="str">
        <f ca="1">IFERROR(VLOOKUP($A517,python!$I:$J,2,FALSE),"")</f>
        <v>参照＆更新</v>
      </c>
      <c r="D517" t="str">
        <f ca="1">IFERROR(VLOOKUP($A517,bat!$F:$G,2,FALSE),"")</f>
        <v/>
      </c>
      <c r="E517" t="str">
        <f ca="1">IFERROR(VLOOKUP($A517,shell!$F:$G,2,FALSE),"")</f>
        <v/>
      </c>
      <c r="F517" t="str">
        <f t="shared" ref="F517:F580" ca="1" si="75">B517&amp;C517&amp;D517&amp;E517</f>
        <v>参照＆更新</v>
      </c>
      <c r="G517">
        <f ca="1">IF($F517="","",COUNTIF($F$3:$F517,$F517))</f>
        <v>1</v>
      </c>
      <c r="H517">
        <f ca="1">IF(OR(G517&gt;1,G517=""),"",COUNTIF($G$3:$G517,1))</f>
        <v>500</v>
      </c>
      <c r="I517" t="str">
        <f t="shared" ref="I517:I580" ca="1" si="76">F517</f>
        <v>参照＆更新</v>
      </c>
      <c r="K517">
        <f t="shared" si="71"/>
        <v>514</v>
      </c>
      <c r="L517" t="str">
        <f t="shared" ca="1" si="73"/>
        <v>ＴＸＴ 書込</v>
      </c>
      <c r="M517" s="2" t="str">
        <f t="shared" ca="1" si="72"/>
        <v/>
      </c>
      <c r="N517" s="2" t="str">
        <f t="shared" ca="1" si="74"/>
        <v>○</v>
      </c>
      <c r="O517" s="2" t="str">
        <f t="shared" ref="O517:O580" ca="1" si="77">IF($L517="","",IF(COUNTIF(D$3:D$1004,$L517)&gt;0,"○",""))</f>
        <v/>
      </c>
      <c r="P517" s="2" t="str">
        <f t="shared" ref="P517:P580" ca="1" si="78">IF($L517="","",IF(COUNTIF(E$3:E$1004,$L517)&gt;0,"○",""))</f>
        <v/>
      </c>
    </row>
    <row r="518" spans="1:16">
      <c r="A518">
        <f t="shared" ref="A518:A581" si="79">A517+1</f>
        <v>515</v>
      </c>
      <c r="B518" t="str">
        <f ca="1">IFERROR(VLOOKUP($A518,'vbs,vba'!$G:$H,2,FALSE),"")</f>
        <v/>
      </c>
      <c r="C518" t="str">
        <f ca="1">IFERROR(VLOOKUP($A518,python!$I:$J,2,FALSE),"")</f>
        <v>トライ</v>
      </c>
      <c r="D518" t="str">
        <f ca="1">IFERROR(VLOOKUP($A518,bat!$F:$G,2,FALSE),"")</f>
        <v/>
      </c>
      <c r="E518" t="str">
        <f ca="1">IFERROR(VLOOKUP($A518,shell!$F:$G,2,FALSE),"")</f>
        <v/>
      </c>
      <c r="F518" t="str">
        <f t="shared" ca="1" si="75"/>
        <v>トライ</v>
      </c>
      <c r="G518">
        <f ca="1">IF($F518="","",COUNTIF($F$3:$F518,$F518))</f>
        <v>1</v>
      </c>
      <c r="H518">
        <f ca="1">IF(OR(G518&gt;1,G518=""),"",COUNTIF($G$3:$G518,1))</f>
        <v>501</v>
      </c>
      <c r="I518" t="str">
        <f t="shared" ca="1" si="76"/>
        <v>トライ</v>
      </c>
      <c r="K518">
        <f t="shared" ref="K518:K581" si="80">K517+1</f>
        <v>515</v>
      </c>
      <c r="L518" t="str">
        <f t="shared" ca="1" si="73"/>
        <v>アクセス権限付与</v>
      </c>
      <c r="M518" s="2" t="str">
        <f t="shared" ca="1" si="72"/>
        <v/>
      </c>
      <c r="N518" s="2" t="str">
        <f t="shared" ca="1" si="74"/>
        <v>○</v>
      </c>
      <c r="O518" s="2" t="str">
        <f t="shared" ca="1" si="77"/>
        <v/>
      </c>
      <c r="P518" s="2" t="str">
        <f t="shared" ca="1" si="78"/>
        <v/>
      </c>
    </row>
    <row r="519" spans="1:16">
      <c r="A519">
        <f t="shared" si="79"/>
        <v>516</v>
      </c>
      <c r="B519" t="str">
        <f ca="1">IFERROR(VLOOKUP($A519,'vbs,vba'!$G:$H,2,FALSE),"")</f>
        <v/>
      </c>
      <c r="C519" t="str">
        <f ca="1">IFERROR(VLOOKUP($A519,python!$I:$J,2,FALSE),"")</f>
        <v>キャッチ（全エラー）</v>
      </c>
      <c r="D519" t="str">
        <f ca="1">IFERROR(VLOOKUP($A519,bat!$F:$G,2,FALSE),"")</f>
        <v/>
      </c>
      <c r="E519" t="str">
        <f ca="1">IFERROR(VLOOKUP($A519,shell!$F:$G,2,FALSE),"")</f>
        <v/>
      </c>
      <c r="F519" t="str">
        <f t="shared" ca="1" si="75"/>
        <v>キャッチ（全エラー）</v>
      </c>
      <c r="G519">
        <f ca="1">IF($F519="","",COUNTIF($F$3:$F519,$F519))</f>
        <v>1</v>
      </c>
      <c r="H519">
        <f ca="1">IF(OR(G519&gt;1,G519=""),"",COUNTIF($G$3:$G519,1))</f>
        <v>502</v>
      </c>
      <c r="I519" t="str">
        <f t="shared" ca="1" si="76"/>
        <v>キャッチ（全エラー）</v>
      </c>
      <c r="K519">
        <f t="shared" si="80"/>
        <v>516</v>
      </c>
      <c r="L519" t="str">
        <f t="shared" ca="1" si="73"/>
        <v>yaml読み込み オープン</v>
      </c>
      <c r="M519" s="2" t="str">
        <f t="shared" ca="1" si="72"/>
        <v/>
      </c>
      <c r="N519" s="2" t="str">
        <f t="shared" ca="1" si="74"/>
        <v>○</v>
      </c>
      <c r="O519" s="2" t="str">
        <f t="shared" ca="1" si="77"/>
        <v/>
      </c>
      <c r="P519" s="2" t="str">
        <f t="shared" ca="1" si="78"/>
        <v/>
      </c>
    </row>
    <row r="520" spans="1:16">
      <c r="A520">
        <f t="shared" si="79"/>
        <v>517</v>
      </c>
      <c r="B520" t="str">
        <f ca="1">IFERROR(VLOOKUP($A520,'vbs,vba'!$G:$H,2,FALSE),"")</f>
        <v/>
      </c>
      <c r="C520" t="str">
        <f ca="1">IFERROR(VLOOKUP($A520,python!$I:$J,2,FALSE),"")</f>
        <v>キャッチ（全エラー）</v>
      </c>
      <c r="D520" t="str">
        <f ca="1">IFERROR(VLOOKUP($A520,bat!$F:$G,2,FALSE),"")</f>
        <v/>
      </c>
      <c r="E520" t="str">
        <f ca="1">IFERROR(VLOOKUP($A520,shell!$F:$G,2,FALSE),"")</f>
        <v/>
      </c>
      <c r="F520" t="str">
        <f t="shared" ca="1" si="75"/>
        <v>キャッチ（全エラー）</v>
      </c>
      <c r="G520">
        <f ca="1">IF($F520="","",COUNTIF($F$3:$F520,$F520))</f>
        <v>2</v>
      </c>
      <c r="H520" t="str">
        <f ca="1">IF(OR(G520&gt;1,G520=""),"",COUNTIF($G$3:$G520,1))</f>
        <v/>
      </c>
      <c r="I520" t="str">
        <f t="shared" ca="1" si="76"/>
        <v>キャッチ（全エラー）</v>
      </c>
      <c r="K520">
        <f t="shared" si="80"/>
        <v>517</v>
      </c>
      <c r="L520" t="str">
        <f t="shared" ca="1" si="73"/>
        <v>yaml読み込み アクセス</v>
      </c>
      <c r="M520" s="2" t="str">
        <f t="shared" ca="1" si="72"/>
        <v/>
      </c>
      <c r="N520" s="2" t="str">
        <f t="shared" ca="1" si="74"/>
        <v>○</v>
      </c>
      <c r="O520" s="2" t="str">
        <f t="shared" ca="1" si="77"/>
        <v/>
      </c>
      <c r="P520" s="2" t="str">
        <f t="shared" ca="1" si="78"/>
        <v/>
      </c>
    </row>
    <row r="521" spans="1:16">
      <c r="A521">
        <f t="shared" si="79"/>
        <v>518</v>
      </c>
      <c r="B521" t="str">
        <f ca="1">IFERROR(VLOOKUP($A521,'vbs,vba'!$G:$H,2,FALSE),"")</f>
        <v/>
      </c>
      <c r="C521" t="str">
        <f ca="1">IFERROR(VLOOKUP($A521,python!$I:$J,2,FALSE),"")</f>
        <v>キャッチ（特定エラー）</v>
      </c>
      <c r="D521" t="str">
        <f ca="1">IFERROR(VLOOKUP($A521,bat!$F:$G,2,FALSE),"")</f>
        <v/>
      </c>
      <c r="E521" t="str">
        <f ca="1">IFERROR(VLOOKUP($A521,shell!$F:$G,2,FALSE),"")</f>
        <v/>
      </c>
      <c r="F521" t="str">
        <f t="shared" ca="1" si="75"/>
        <v>キャッチ（特定エラー）</v>
      </c>
      <c r="G521">
        <f ca="1">IF($F521="","",COUNTIF($F$3:$F521,$F521))</f>
        <v>1</v>
      </c>
      <c r="H521">
        <f ca="1">IF(OR(G521&gt;1,G521=""),"",COUNTIF($G$3:$G521,1))</f>
        <v>503</v>
      </c>
      <c r="I521" t="str">
        <f t="shared" ca="1" si="76"/>
        <v>キャッチ（特定エラー）</v>
      </c>
      <c r="K521">
        <f t="shared" si="80"/>
        <v>518</v>
      </c>
      <c r="L521" t="str">
        <f t="shared" ca="1" si="73"/>
        <v>日時取得(現在)</v>
      </c>
      <c r="M521" s="2" t="str">
        <f t="shared" ca="1" si="72"/>
        <v/>
      </c>
      <c r="N521" s="2" t="str">
        <f t="shared" ca="1" si="74"/>
        <v>○</v>
      </c>
      <c r="O521" s="2" t="str">
        <f t="shared" ca="1" si="77"/>
        <v/>
      </c>
      <c r="P521" s="2" t="str">
        <f t="shared" ca="1" si="78"/>
        <v/>
      </c>
    </row>
    <row r="522" spans="1:16">
      <c r="A522">
        <f t="shared" si="79"/>
        <v>519</v>
      </c>
      <c r="B522" t="str">
        <f ca="1">IFERROR(VLOOKUP($A522,'vbs,vba'!$G:$H,2,FALSE),"")</f>
        <v/>
      </c>
      <c r="C522" t="str">
        <f ca="1">IFERROR(VLOOKUP($A522,python!$I:$J,2,FALSE),"")</f>
        <v>キャッチ（複数エラー）</v>
      </c>
      <c r="D522" t="str">
        <f ca="1">IFERROR(VLOOKUP($A522,bat!$F:$G,2,FALSE),"")</f>
        <v/>
      </c>
      <c r="E522" t="str">
        <f ca="1">IFERROR(VLOOKUP($A522,shell!$F:$G,2,FALSE),"")</f>
        <v/>
      </c>
      <c r="F522" t="str">
        <f t="shared" ca="1" si="75"/>
        <v>キャッチ（複数エラー）</v>
      </c>
      <c r="G522">
        <f ca="1">IF($F522="","",COUNTIF($F$3:$F522,$F522))</f>
        <v>1</v>
      </c>
      <c r="H522">
        <f ca="1">IF(OR(G522&gt;1,G522=""),"",COUNTIF($G$3:$G522,1))</f>
        <v>504</v>
      </c>
      <c r="I522" t="str">
        <f t="shared" ca="1" si="76"/>
        <v>キャッチ（複数エラー）</v>
      </c>
      <c r="K522">
        <f t="shared" si="80"/>
        <v>519</v>
      </c>
      <c r="L522" t="str">
        <f t="shared" ca="1" si="73"/>
        <v>日時設定</v>
      </c>
      <c r="M522" s="2" t="str">
        <f t="shared" ca="1" si="72"/>
        <v/>
      </c>
      <c r="N522" s="2" t="str">
        <f t="shared" ca="1" si="74"/>
        <v>○</v>
      </c>
      <c r="O522" s="2" t="str">
        <f t="shared" ca="1" si="77"/>
        <v/>
      </c>
      <c r="P522" s="2" t="str">
        <f t="shared" ca="1" si="78"/>
        <v/>
      </c>
    </row>
    <row r="523" spans="1:16">
      <c r="A523">
        <f t="shared" si="79"/>
        <v>520</v>
      </c>
      <c r="B523" t="str">
        <f ca="1">IFERROR(VLOOKUP($A523,'vbs,vba'!$G:$H,2,FALSE),"")</f>
        <v/>
      </c>
      <c r="C523" t="str">
        <f ca="1">IFERROR(VLOOKUP($A523,python!$I:$J,2,FALSE),"")</f>
        <v>正常時の処理</v>
      </c>
      <c r="D523" t="str">
        <f ca="1">IFERROR(VLOOKUP($A523,bat!$F:$G,2,FALSE),"")</f>
        <v/>
      </c>
      <c r="E523" t="str">
        <f ca="1">IFERROR(VLOOKUP($A523,shell!$F:$G,2,FALSE),"")</f>
        <v/>
      </c>
      <c r="F523" t="str">
        <f t="shared" ca="1" si="75"/>
        <v>正常時の処理</v>
      </c>
      <c r="G523">
        <f ca="1">IF($F523="","",COUNTIF($F$3:$F523,$F523))</f>
        <v>1</v>
      </c>
      <c r="H523">
        <f ca="1">IF(OR(G523&gt;1,G523=""),"",COUNTIF($G$3:$G523,1))</f>
        <v>505</v>
      </c>
      <c r="I523" t="str">
        <f t="shared" ca="1" si="76"/>
        <v>正常時の処理</v>
      </c>
      <c r="K523">
        <f t="shared" si="80"/>
        <v>520</v>
      </c>
      <c r="L523" t="str">
        <f t="shared" ca="1" si="73"/>
        <v>日時抽出(年)</v>
      </c>
      <c r="M523" s="2" t="str">
        <f t="shared" ca="1" si="72"/>
        <v/>
      </c>
      <c r="N523" s="2" t="str">
        <f t="shared" ca="1" si="74"/>
        <v>○</v>
      </c>
      <c r="O523" s="2" t="str">
        <f t="shared" ca="1" si="77"/>
        <v/>
      </c>
      <c r="P523" s="2" t="str">
        <f t="shared" ca="1" si="78"/>
        <v/>
      </c>
    </row>
    <row r="524" spans="1:16">
      <c r="A524">
        <f t="shared" si="79"/>
        <v>521</v>
      </c>
      <c r="B524" t="str">
        <f ca="1">IFERROR(VLOOKUP($A524,'vbs,vba'!$G:$H,2,FALSE),"")</f>
        <v/>
      </c>
      <c r="C524" t="str">
        <f ca="1">IFERROR(VLOOKUP($A524,python!$I:$J,2,FALSE),"")</f>
        <v>終了時に常に行う処理</v>
      </c>
      <c r="D524" t="str">
        <f ca="1">IFERROR(VLOOKUP($A524,bat!$F:$G,2,FALSE),"")</f>
        <v/>
      </c>
      <c r="E524" t="str">
        <f ca="1">IFERROR(VLOOKUP($A524,shell!$F:$G,2,FALSE),"")</f>
        <v/>
      </c>
      <c r="F524" t="str">
        <f t="shared" ca="1" si="75"/>
        <v>終了時に常に行う処理</v>
      </c>
      <c r="G524">
        <f ca="1">IF($F524="","",COUNTIF($F$3:$F524,$F524))</f>
        <v>1</v>
      </c>
      <c r="H524">
        <f ca="1">IF(OR(G524&gt;1,G524=""),"",COUNTIF($G$3:$G524,1))</f>
        <v>506</v>
      </c>
      <c r="I524" t="str">
        <f t="shared" ca="1" si="76"/>
        <v>終了時に常に行う処理</v>
      </c>
      <c r="K524">
        <f t="shared" si="80"/>
        <v>521</v>
      </c>
      <c r="L524" t="str">
        <f t="shared" ca="1" si="73"/>
        <v>日時設定(月)</v>
      </c>
      <c r="M524" s="2" t="str">
        <f t="shared" ca="1" si="72"/>
        <v/>
      </c>
      <c r="N524" s="2" t="str">
        <f t="shared" ca="1" si="74"/>
        <v>○</v>
      </c>
      <c r="O524" s="2" t="str">
        <f t="shared" ca="1" si="77"/>
        <v/>
      </c>
      <c r="P524" s="2" t="str">
        <f t="shared" ca="1" si="78"/>
        <v/>
      </c>
    </row>
    <row r="525" spans="1:16">
      <c r="A525">
        <f t="shared" si="79"/>
        <v>522</v>
      </c>
      <c r="B525" t="str">
        <f ca="1">IFERROR(VLOOKUP($A525,'vbs,vba'!$G:$H,2,FALSE),"")</f>
        <v/>
      </c>
      <c r="C525" t="str">
        <f ca="1">IFERROR(VLOOKUP($A525,python!$I:$J,2,FALSE),"")</f>
        <v>例外を無視</v>
      </c>
      <c r="D525" t="str">
        <f ca="1">IFERROR(VLOOKUP($A525,bat!$F:$G,2,FALSE),"")</f>
        <v/>
      </c>
      <c r="E525" t="str">
        <f ca="1">IFERROR(VLOOKUP($A525,shell!$F:$G,2,FALSE),"")</f>
        <v/>
      </c>
      <c r="F525" t="str">
        <f t="shared" ca="1" si="75"/>
        <v>例外を無視</v>
      </c>
      <c r="G525">
        <f ca="1">IF($F525="","",COUNTIF($F$3:$F525,$F525))</f>
        <v>1</v>
      </c>
      <c r="H525">
        <f ca="1">IF(OR(G525&gt;1,G525=""),"",COUNTIF($G$3:$G525,1))</f>
        <v>507</v>
      </c>
      <c r="I525" t="str">
        <f t="shared" ca="1" si="76"/>
        <v>例外を無視</v>
      </c>
      <c r="K525">
        <f t="shared" si="80"/>
        <v>522</v>
      </c>
      <c r="L525" t="str">
        <f t="shared" ca="1" si="73"/>
        <v>日時設定(日)</v>
      </c>
      <c r="M525" s="2" t="str">
        <f t="shared" ca="1" si="72"/>
        <v/>
      </c>
      <c r="N525" s="2" t="str">
        <f t="shared" ca="1" si="74"/>
        <v>○</v>
      </c>
      <c r="O525" s="2" t="str">
        <f t="shared" ca="1" si="77"/>
        <v/>
      </c>
      <c r="P525" s="2" t="str">
        <f t="shared" ca="1" si="78"/>
        <v/>
      </c>
    </row>
    <row r="526" spans="1:16">
      <c r="A526">
        <f t="shared" si="79"/>
        <v>523</v>
      </c>
      <c r="B526" t="str">
        <f ca="1">IFERROR(VLOOKUP($A526,'vbs,vba'!$G:$H,2,FALSE),"")</f>
        <v/>
      </c>
      <c r="C526" t="str">
        <f ca="1">IFERROR(VLOOKUP($A526,python!$I:$J,2,FALSE),"")</f>
        <v>ＴＸＴ 定義</v>
      </c>
      <c r="D526" t="str">
        <f ca="1">IFERROR(VLOOKUP($A526,bat!$F:$G,2,FALSE),"")</f>
        <v/>
      </c>
      <c r="E526" t="str">
        <f ca="1">IFERROR(VLOOKUP($A526,shell!$F:$G,2,FALSE),"")</f>
        <v/>
      </c>
      <c r="F526" t="str">
        <f t="shared" ca="1" si="75"/>
        <v>ＴＸＴ 定義</v>
      </c>
      <c r="G526">
        <f ca="1">IF($F526="","",COUNTIF($F$3:$F526,$F526))</f>
        <v>1</v>
      </c>
      <c r="H526">
        <f ca="1">IF(OR(G526&gt;1,G526=""),"",COUNTIF($G$3:$G526,1))</f>
        <v>508</v>
      </c>
      <c r="I526" t="str">
        <f t="shared" ca="1" si="76"/>
        <v>ＴＸＴ 定義</v>
      </c>
      <c r="K526">
        <f t="shared" si="80"/>
        <v>523</v>
      </c>
      <c r="L526" t="str">
        <f t="shared" ca="1" si="73"/>
        <v>日時設定(時)</v>
      </c>
      <c r="M526" s="2" t="str">
        <f t="shared" ca="1" si="72"/>
        <v/>
      </c>
      <c r="N526" s="2" t="str">
        <f t="shared" ca="1" si="74"/>
        <v>○</v>
      </c>
      <c r="O526" s="2" t="str">
        <f t="shared" ca="1" si="77"/>
        <v/>
      </c>
      <c r="P526" s="2" t="str">
        <f t="shared" ca="1" si="78"/>
        <v/>
      </c>
    </row>
    <row r="527" spans="1:16">
      <c r="A527">
        <f t="shared" si="79"/>
        <v>524</v>
      </c>
      <c r="B527" t="str">
        <f ca="1">IFERROR(VLOOKUP($A527,'vbs,vba'!$G:$H,2,FALSE),"")</f>
        <v/>
      </c>
      <c r="C527" t="str">
        <f ca="1">IFERROR(VLOOKUP($A527,python!$I:$J,2,FALSE),"")</f>
        <v>ＴＸＴ オープン</v>
      </c>
      <c r="D527" t="str">
        <f ca="1">IFERROR(VLOOKUP($A527,bat!$F:$G,2,FALSE),"")</f>
        <v/>
      </c>
      <c r="E527" t="str">
        <f ca="1">IFERROR(VLOOKUP($A527,shell!$F:$G,2,FALSE),"")</f>
        <v/>
      </c>
      <c r="F527" t="str">
        <f t="shared" ca="1" si="75"/>
        <v>ＴＸＴ オープン</v>
      </c>
      <c r="G527">
        <f ca="1">IF($F527="","",COUNTIF($F$3:$F527,$F527))</f>
        <v>1</v>
      </c>
      <c r="H527">
        <f ca="1">IF(OR(G527&gt;1,G527=""),"",COUNTIF($G$3:$G527,1))</f>
        <v>509</v>
      </c>
      <c r="I527" t="str">
        <f t="shared" ca="1" si="76"/>
        <v>ＴＸＴ オープン</v>
      </c>
      <c r="K527">
        <f t="shared" si="80"/>
        <v>524</v>
      </c>
      <c r="L527" t="str">
        <f t="shared" ca="1" si="73"/>
        <v>日時設定(分)</v>
      </c>
      <c r="M527" s="2" t="str">
        <f t="shared" ca="1" si="72"/>
        <v/>
      </c>
      <c r="N527" s="2" t="str">
        <f t="shared" ca="1" si="74"/>
        <v>○</v>
      </c>
      <c r="O527" s="2" t="str">
        <f t="shared" ca="1" si="77"/>
        <v/>
      </c>
      <c r="P527" s="2" t="str">
        <f t="shared" ca="1" si="78"/>
        <v/>
      </c>
    </row>
    <row r="528" spans="1:16">
      <c r="A528">
        <f t="shared" si="79"/>
        <v>525</v>
      </c>
      <c r="B528" t="str">
        <f ca="1">IFERROR(VLOOKUP($A528,'vbs,vba'!$G:$H,2,FALSE),"")</f>
        <v/>
      </c>
      <c r="C528" t="str">
        <f ca="1">IFERROR(VLOOKUP($A528,python!$I:$J,2,FALSE),"")</f>
        <v>ＴＸＴ クローズ</v>
      </c>
      <c r="D528" t="str">
        <f ca="1">IFERROR(VLOOKUP($A528,bat!$F:$G,2,FALSE),"")</f>
        <v/>
      </c>
      <c r="E528" t="str">
        <f ca="1">IFERROR(VLOOKUP($A528,shell!$F:$G,2,FALSE),"")</f>
        <v/>
      </c>
      <c r="F528" t="str">
        <f t="shared" ca="1" si="75"/>
        <v>ＴＸＴ クローズ</v>
      </c>
      <c r="G528">
        <f ca="1">IF($F528="","",COUNTIF($F$3:$F528,$F528))</f>
        <v>1</v>
      </c>
      <c r="H528">
        <f ca="1">IF(OR(G528&gt;1,G528=""),"",COUNTIF($G$3:$G528,1))</f>
        <v>510</v>
      </c>
      <c r="I528" t="str">
        <f t="shared" ca="1" si="76"/>
        <v>ＴＸＴ クローズ</v>
      </c>
      <c r="K528">
        <f t="shared" si="80"/>
        <v>525</v>
      </c>
      <c r="L528" t="str">
        <f t="shared" ca="1" si="73"/>
        <v>日時設定(秒)</v>
      </c>
      <c r="M528" s="2" t="str">
        <f t="shared" ca="1" si="72"/>
        <v/>
      </c>
      <c r="N528" s="2" t="str">
        <f t="shared" ca="1" si="74"/>
        <v>○</v>
      </c>
      <c r="O528" s="2" t="str">
        <f t="shared" ca="1" si="77"/>
        <v/>
      </c>
      <c r="P528" s="2" t="str">
        <f t="shared" ca="1" si="78"/>
        <v/>
      </c>
    </row>
    <row r="529" spans="1:16">
      <c r="A529">
        <f t="shared" si="79"/>
        <v>526</v>
      </c>
      <c r="B529" t="str">
        <f ca="1">IFERROR(VLOOKUP($A529,'vbs,vba'!$G:$H,2,FALSE),"")</f>
        <v/>
      </c>
      <c r="C529" t="str">
        <f ca="1">IFERROR(VLOOKUP($A529,python!$I:$J,2,FALSE),"")</f>
        <v>ＴＸＴ オープン（クローズ不要）</v>
      </c>
      <c r="D529" t="str">
        <f ca="1">IFERROR(VLOOKUP($A529,bat!$F:$G,2,FALSE),"")</f>
        <v/>
      </c>
      <c r="E529" t="str">
        <f ca="1">IFERROR(VLOOKUP($A529,shell!$F:$G,2,FALSE),"")</f>
        <v/>
      </c>
      <c r="F529" t="str">
        <f t="shared" ca="1" si="75"/>
        <v>ＴＸＴ オープン（クローズ不要）</v>
      </c>
      <c r="G529">
        <f ca="1">IF($F529="","",COUNTIF($F$3:$F529,$F529))</f>
        <v>1</v>
      </c>
      <c r="H529">
        <f ca="1">IF(OR(G529&gt;1,G529=""),"",COUNTIF($G$3:$G529,1))</f>
        <v>511</v>
      </c>
      <c r="I529" t="str">
        <f t="shared" ca="1" si="76"/>
        <v>ＴＸＴ オープン（クローズ不要）</v>
      </c>
      <c r="K529">
        <f t="shared" si="80"/>
        <v>526</v>
      </c>
      <c r="L529" t="str">
        <f t="shared" ca="1" si="73"/>
        <v>年月日時刻出力</v>
      </c>
      <c r="M529" s="2" t="str">
        <f t="shared" ca="1" si="72"/>
        <v/>
      </c>
      <c r="N529" s="2" t="str">
        <f t="shared" ca="1" si="74"/>
        <v>○</v>
      </c>
      <c r="O529" s="2" t="str">
        <f t="shared" ca="1" si="77"/>
        <v/>
      </c>
      <c r="P529" s="2" t="str">
        <f t="shared" ca="1" si="78"/>
        <v/>
      </c>
    </row>
    <row r="530" spans="1:16">
      <c r="A530">
        <f t="shared" si="79"/>
        <v>527</v>
      </c>
      <c r="B530" t="str">
        <f ca="1">IFERROR(VLOOKUP($A530,'vbs,vba'!$G:$H,2,FALSE),"")</f>
        <v/>
      </c>
      <c r="C530" t="str">
        <f ca="1">IFERROR(VLOOKUP($A530,python!$I:$J,2,FALSE),"")</f>
        <v>ＴＸＴ 読込（一行ずつ）</v>
      </c>
      <c r="D530" t="str">
        <f ca="1">IFERROR(VLOOKUP($A530,bat!$F:$G,2,FALSE),"")</f>
        <v/>
      </c>
      <c r="E530" t="str">
        <f ca="1">IFERROR(VLOOKUP($A530,shell!$F:$G,2,FALSE),"")</f>
        <v/>
      </c>
      <c r="F530" t="str">
        <f t="shared" ca="1" si="75"/>
        <v>ＴＸＴ 読込（一行ずつ）</v>
      </c>
      <c r="G530">
        <f ca="1">IF($F530="","",COUNTIF($F$3:$F530,$F530))</f>
        <v>1</v>
      </c>
      <c r="H530">
        <f ca="1">IF(OR(G530&gt;1,G530=""),"",COUNTIF($G$3:$G530,1))</f>
        <v>512</v>
      </c>
      <c r="I530" t="str">
        <f t="shared" ca="1" si="76"/>
        <v>ＴＸＴ 読込（一行ずつ）</v>
      </c>
      <c r="K530">
        <f t="shared" si="80"/>
        <v>527</v>
      </c>
      <c r="L530" t="str">
        <f t="shared" ca="1" si="73"/>
        <v>経過時間(日)</v>
      </c>
      <c r="M530" s="2" t="str">
        <f t="shared" ca="1" si="72"/>
        <v/>
      </c>
      <c r="N530" s="2" t="str">
        <f t="shared" ca="1" si="74"/>
        <v>○</v>
      </c>
      <c r="O530" s="2" t="str">
        <f t="shared" ca="1" si="77"/>
        <v/>
      </c>
      <c r="P530" s="2" t="str">
        <f t="shared" ca="1" si="78"/>
        <v/>
      </c>
    </row>
    <row r="531" spans="1:16">
      <c r="A531">
        <f t="shared" si="79"/>
        <v>528</v>
      </c>
      <c r="B531" t="str">
        <f ca="1">IFERROR(VLOOKUP($A531,'vbs,vba'!$G:$H,2,FALSE),"")</f>
        <v/>
      </c>
      <c r="C531" t="str">
        <f ca="1">IFERROR(VLOOKUP($A531,python!$I:$J,2,FALSE),"")</f>
        <v>ＴＸＴ 読込（一行ずつ）</v>
      </c>
      <c r="D531" t="str">
        <f ca="1">IFERROR(VLOOKUP($A531,bat!$F:$G,2,FALSE),"")</f>
        <v/>
      </c>
      <c r="E531" t="str">
        <f ca="1">IFERROR(VLOOKUP($A531,shell!$F:$G,2,FALSE),"")</f>
        <v/>
      </c>
      <c r="F531" t="str">
        <f t="shared" ca="1" si="75"/>
        <v>ＴＸＴ 読込（一行ずつ）</v>
      </c>
      <c r="G531">
        <f ca="1">IF($F531="","",COUNTIF($F$3:$F531,$F531))</f>
        <v>2</v>
      </c>
      <c r="H531" t="str">
        <f ca="1">IF(OR(G531&gt;1,G531=""),"",COUNTIF($G$3:$G531,1))</f>
        <v/>
      </c>
      <c r="I531" t="str">
        <f t="shared" ca="1" si="76"/>
        <v>ＴＸＴ 読込（一行ずつ）</v>
      </c>
      <c r="K531">
        <f t="shared" si="80"/>
        <v>528</v>
      </c>
      <c r="L531" t="str">
        <f t="shared" ca="1" si="73"/>
        <v>経過時間(時)</v>
      </c>
      <c r="M531" s="2" t="str">
        <f t="shared" ca="1" si="72"/>
        <v/>
      </c>
      <c r="N531" s="2" t="str">
        <f t="shared" ca="1" si="74"/>
        <v>○</v>
      </c>
      <c r="O531" s="2" t="str">
        <f t="shared" ca="1" si="77"/>
        <v/>
      </c>
      <c r="P531" s="2" t="str">
        <f t="shared" ca="1" si="78"/>
        <v/>
      </c>
    </row>
    <row r="532" spans="1:16">
      <c r="A532">
        <f t="shared" si="79"/>
        <v>529</v>
      </c>
      <c r="B532" t="str">
        <f ca="1">IFERROR(VLOOKUP($A532,'vbs,vba'!$G:$H,2,FALSE),"")</f>
        <v/>
      </c>
      <c r="C532" t="str">
        <f ca="1">IFERROR(VLOOKUP($A532,python!$I:$J,2,FALSE),"")</f>
        <v>ＴＸＴ 読込（一括）</v>
      </c>
      <c r="D532" t="str">
        <f ca="1">IFERROR(VLOOKUP($A532,bat!$F:$G,2,FALSE),"")</f>
        <v/>
      </c>
      <c r="E532" t="str">
        <f ca="1">IFERROR(VLOOKUP($A532,shell!$F:$G,2,FALSE),"")</f>
        <v/>
      </c>
      <c r="F532" t="str">
        <f t="shared" ca="1" si="75"/>
        <v>ＴＸＴ 読込（一括）</v>
      </c>
      <c r="G532">
        <f ca="1">IF($F532="","",COUNTIF($F$3:$F532,$F532))</f>
        <v>1</v>
      </c>
      <c r="H532">
        <f ca="1">IF(OR(G532&gt;1,G532=""),"",COUNTIF($G$3:$G532,1))</f>
        <v>513</v>
      </c>
      <c r="I532" t="str">
        <f t="shared" ca="1" si="76"/>
        <v>ＴＸＴ 読込（一括）</v>
      </c>
      <c r="K532">
        <f t="shared" si="80"/>
        <v>529</v>
      </c>
      <c r="L532" t="str">
        <f t="shared" ca="1" si="73"/>
        <v>経過時間(秒)</v>
      </c>
      <c r="M532" s="2" t="str">
        <f t="shared" ca="1" si="72"/>
        <v/>
      </c>
      <c r="N532" s="2" t="str">
        <f t="shared" ca="1" si="74"/>
        <v>○</v>
      </c>
      <c r="O532" s="2" t="str">
        <f t="shared" ca="1" si="77"/>
        <v/>
      </c>
      <c r="P532" s="2" t="str">
        <f t="shared" ca="1" si="78"/>
        <v/>
      </c>
    </row>
    <row r="533" spans="1:16">
      <c r="A533">
        <f t="shared" si="79"/>
        <v>530</v>
      </c>
      <c r="B533" t="str">
        <f ca="1">IFERROR(VLOOKUP($A533,'vbs,vba'!$G:$H,2,FALSE),"")</f>
        <v/>
      </c>
      <c r="C533" t="str">
        <f ca="1">IFERROR(VLOOKUP($A533,python!$I:$J,2,FALSE),"")</f>
        <v>ＴＸＴ 読込（一括）</v>
      </c>
      <c r="D533" t="str">
        <f ca="1">IFERROR(VLOOKUP($A533,bat!$F:$G,2,FALSE),"")</f>
        <v/>
      </c>
      <c r="E533" t="str">
        <f ca="1">IFERROR(VLOOKUP($A533,shell!$F:$G,2,FALSE),"")</f>
        <v/>
      </c>
      <c r="F533" t="str">
        <f t="shared" ca="1" si="75"/>
        <v>ＴＸＴ 読込（一括）</v>
      </c>
      <c r="G533">
        <f ca="1">IF($F533="","",COUNTIF($F$3:$F533,$F533))</f>
        <v>2</v>
      </c>
      <c r="H533" t="str">
        <f ca="1">IF(OR(G533&gt;1,G533=""),"",COUNTIF($G$3:$G533,1))</f>
        <v/>
      </c>
      <c r="I533" t="str">
        <f t="shared" ca="1" si="76"/>
        <v>ＴＸＴ 読込（一括）</v>
      </c>
      <c r="K533">
        <f t="shared" si="80"/>
        <v>530</v>
      </c>
      <c r="L533" t="str">
        <f t="shared" ca="1" si="73"/>
        <v>経過時間(ミリ秒)</v>
      </c>
      <c r="M533" s="2" t="str">
        <f t="shared" ca="1" si="72"/>
        <v/>
      </c>
      <c r="N533" s="2" t="str">
        <f t="shared" ca="1" si="74"/>
        <v>○</v>
      </c>
      <c r="O533" s="2" t="str">
        <f t="shared" ca="1" si="77"/>
        <v/>
      </c>
      <c r="P533" s="2" t="str">
        <f t="shared" ca="1" si="78"/>
        <v/>
      </c>
    </row>
    <row r="534" spans="1:16">
      <c r="A534">
        <f t="shared" si="79"/>
        <v>531</v>
      </c>
      <c r="B534" t="str">
        <f ca="1">IFERROR(VLOOKUP($A534,'vbs,vba'!$G:$H,2,FALSE),"")</f>
        <v/>
      </c>
      <c r="C534" t="str">
        <f ca="1">IFERROR(VLOOKUP($A534,python!$I:$J,2,FALSE),"")</f>
        <v>ＴＸＴ 書込</v>
      </c>
      <c r="D534" t="str">
        <f ca="1">IFERROR(VLOOKUP($A534,bat!$F:$G,2,FALSE),"")</f>
        <v/>
      </c>
      <c r="E534" t="str">
        <f ca="1">IFERROR(VLOOKUP($A534,shell!$F:$G,2,FALSE),"")</f>
        <v/>
      </c>
      <c r="F534" t="str">
        <f t="shared" ca="1" si="75"/>
        <v>ＴＸＴ 書込</v>
      </c>
      <c r="G534">
        <f ca="1">IF($F534="","",COUNTIF($F$3:$F534,$F534))</f>
        <v>1</v>
      </c>
      <c r="H534">
        <f ca="1">IF(OR(G534&gt;1,G534=""),"",COUNTIF($G$3:$G534,1))</f>
        <v>514</v>
      </c>
      <c r="I534" t="str">
        <f t="shared" ca="1" si="76"/>
        <v>ＴＸＴ 書込</v>
      </c>
      <c r="K534">
        <f t="shared" si="80"/>
        <v>531</v>
      </c>
      <c r="L534" t="str">
        <f t="shared" ca="1" si="73"/>
        <v>経過時間(マイクロ秒)</v>
      </c>
      <c r="M534" s="2" t="str">
        <f t="shared" ca="1" si="72"/>
        <v/>
      </c>
      <c r="N534" s="2" t="str">
        <f t="shared" ca="1" si="74"/>
        <v>○</v>
      </c>
      <c r="O534" s="2" t="str">
        <f t="shared" ca="1" si="77"/>
        <v/>
      </c>
      <c r="P534" s="2" t="str">
        <f t="shared" ca="1" si="78"/>
        <v/>
      </c>
    </row>
    <row r="535" spans="1:16">
      <c r="A535">
        <f t="shared" si="79"/>
        <v>532</v>
      </c>
      <c r="B535" t="str">
        <f ca="1">IFERROR(VLOOKUP($A535,'vbs,vba'!$G:$H,2,FALSE),"")</f>
        <v/>
      </c>
      <c r="C535" t="str">
        <f ca="1">IFERROR(VLOOKUP($A535,python!$I:$J,2,FALSE),"")</f>
        <v>ＸＬＳ オープン/クローズ</v>
      </c>
      <c r="D535" t="str">
        <f ca="1">IFERROR(VLOOKUP($A535,bat!$F:$G,2,FALSE),"")</f>
        <v/>
      </c>
      <c r="E535" t="str">
        <f ca="1">IFERROR(VLOOKUP($A535,shell!$F:$G,2,FALSE),"")</f>
        <v/>
      </c>
      <c r="F535" t="str">
        <f t="shared" ca="1" si="75"/>
        <v>ＸＬＳ オープン/クローズ</v>
      </c>
      <c r="G535">
        <f ca="1">IF($F535="","",COUNTIF($F$3:$F535,$F535))</f>
        <v>2</v>
      </c>
      <c r="H535" t="str">
        <f ca="1">IF(OR(G535&gt;1,G535=""),"",COUNTIF($G$3:$G535,1))</f>
        <v/>
      </c>
      <c r="I535" t="str">
        <f t="shared" ca="1" si="76"/>
        <v>ＸＬＳ オープン/クローズ</v>
      </c>
      <c r="K535">
        <f t="shared" si="80"/>
        <v>532</v>
      </c>
      <c r="L535" t="str">
        <f t="shared" ca="1" si="73"/>
        <v>経過時間(総時間)</v>
      </c>
      <c r="M535" s="2" t="str">
        <f t="shared" ca="1" si="72"/>
        <v/>
      </c>
      <c r="N535" s="2" t="str">
        <f t="shared" ca="1" si="74"/>
        <v>○</v>
      </c>
      <c r="O535" s="2" t="str">
        <f t="shared" ca="1" si="77"/>
        <v/>
      </c>
      <c r="P535" s="2" t="str">
        <f t="shared" ca="1" si="78"/>
        <v/>
      </c>
    </row>
    <row r="536" spans="1:16">
      <c r="A536">
        <f t="shared" si="79"/>
        <v>533</v>
      </c>
      <c r="B536" t="str">
        <f ca="1">IFERROR(VLOOKUP($A536,'vbs,vba'!$G:$H,2,FALSE),"")</f>
        <v/>
      </c>
      <c r="C536" t="str">
        <f ca="1">IFERROR(VLOOKUP($A536,python!$I:$J,2,FALSE),"")</f>
        <v>アクセス権限付与</v>
      </c>
      <c r="D536" t="str">
        <f ca="1">IFERROR(VLOOKUP($A536,bat!$F:$G,2,FALSE),"")</f>
        <v/>
      </c>
      <c r="E536" t="str">
        <f ca="1">IFERROR(VLOOKUP($A536,shell!$F:$G,2,FALSE),"")</f>
        <v/>
      </c>
      <c r="F536" t="str">
        <f t="shared" ca="1" si="75"/>
        <v>アクセス権限付与</v>
      </c>
      <c r="G536">
        <f ca="1">IF($F536="","",COUNTIF($F$3:$F536,$F536))</f>
        <v>1</v>
      </c>
      <c r="H536">
        <f ca="1">IF(OR(G536&gt;1,G536=""),"",COUNTIF($G$3:$G536,1))</f>
        <v>515</v>
      </c>
      <c r="I536" t="str">
        <f t="shared" ca="1" si="76"/>
        <v>アクセス権限付与</v>
      </c>
      <c r="K536">
        <f t="shared" si="80"/>
        <v>533</v>
      </c>
      <c r="L536" t="str">
        <f t="shared" ca="1" si="73"/>
        <v>スリープ処理</v>
      </c>
      <c r="M536" s="2" t="str">
        <f t="shared" ca="1" si="72"/>
        <v/>
      </c>
      <c r="N536" s="2" t="str">
        <f t="shared" ca="1" si="74"/>
        <v>○</v>
      </c>
      <c r="O536" s="2" t="str">
        <f t="shared" ca="1" si="77"/>
        <v/>
      </c>
      <c r="P536" s="2" t="str">
        <f t="shared" ca="1" si="78"/>
        <v/>
      </c>
    </row>
    <row r="537" spans="1:16">
      <c r="A537">
        <f t="shared" si="79"/>
        <v>534</v>
      </c>
      <c r="B537" t="str">
        <f ca="1">IFERROR(VLOOKUP($A537,'vbs,vba'!$G:$H,2,FALSE),"")</f>
        <v/>
      </c>
      <c r="C537" t="str">
        <f ca="1">IFERROR(VLOOKUP($A537,python!$I:$J,2,FALSE),"")</f>
        <v>yaml読み込み オープン</v>
      </c>
      <c r="D537" t="str">
        <f ca="1">IFERROR(VLOOKUP($A537,bat!$F:$G,2,FALSE),"")</f>
        <v/>
      </c>
      <c r="E537" t="str">
        <f ca="1">IFERROR(VLOOKUP($A537,shell!$F:$G,2,FALSE),"")</f>
        <v/>
      </c>
      <c r="F537" t="str">
        <f t="shared" ca="1" si="75"/>
        <v>yaml読み込み オープン</v>
      </c>
      <c r="G537">
        <f ca="1">IF($F537="","",COUNTIF($F$3:$F537,$F537))</f>
        <v>1</v>
      </c>
      <c r="H537">
        <f ca="1">IF(OR(G537&gt;1,G537=""),"",COUNTIF($G$3:$G537,1))</f>
        <v>516</v>
      </c>
      <c r="I537" t="str">
        <f t="shared" ca="1" si="76"/>
        <v>yaml読み込み オープン</v>
      </c>
      <c r="K537">
        <f t="shared" si="80"/>
        <v>534</v>
      </c>
      <c r="L537" t="str">
        <f t="shared" ca="1" si="73"/>
        <v>リスト 初期化</v>
      </c>
      <c r="M537" s="2" t="str">
        <f t="shared" ca="1" si="72"/>
        <v/>
      </c>
      <c r="N537" s="2" t="str">
        <f t="shared" ca="1" si="74"/>
        <v>○</v>
      </c>
      <c r="O537" s="2" t="str">
        <f t="shared" ca="1" si="77"/>
        <v/>
      </c>
      <c r="P537" s="2" t="str">
        <f t="shared" ca="1" si="78"/>
        <v/>
      </c>
    </row>
    <row r="538" spans="1:16">
      <c r="A538">
        <f t="shared" si="79"/>
        <v>535</v>
      </c>
      <c r="B538" t="str">
        <f ca="1">IFERROR(VLOOKUP($A538,'vbs,vba'!$G:$H,2,FALSE),"")</f>
        <v/>
      </c>
      <c r="C538" t="str">
        <f ca="1">IFERROR(VLOOKUP($A538,python!$I:$J,2,FALSE),"")</f>
        <v>yaml読み込み アクセス</v>
      </c>
      <c r="D538" t="str">
        <f ca="1">IFERROR(VLOOKUP($A538,bat!$F:$G,2,FALSE),"")</f>
        <v/>
      </c>
      <c r="E538" t="str">
        <f ca="1">IFERROR(VLOOKUP($A538,shell!$F:$G,2,FALSE),"")</f>
        <v/>
      </c>
      <c r="F538" t="str">
        <f t="shared" ca="1" si="75"/>
        <v>yaml読み込み アクセス</v>
      </c>
      <c r="G538">
        <f ca="1">IF($F538="","",COUNTIF($F$3:$F538,$F538))</f>
        <v>1</v>
      </c>
      <c r="H538">
        <f ca="1">IF(OR(G538&gt;1,G538=""),"",COUNTIF($G$3:$G538,1))</f>
        <v>517</v>
      </c>
      <c r="I538" t="str">
        <f t="shared" ca="1" si="76"/>
        <v>yaml読み込み アクセス</v>
      </c>
      <c r="K538">
        <f t="shared" si="80"/>
        <v>535</v>
      </c>
      <c r="L538" t="str">
        <f t="shared" ca="1" si="73"/>
        <v>リスト 参照</v>
      </c>
      <c r="M538" s="2" t="str">
        <f t="shared" ca="1" si="72"/>
        <v/>
      </c>
      <c r="N538" s="2" t="str">
        <f t="shared" ca="1" si="74"/>
        <v>○</v>
      </c>
      <c r="O538" s="2" t="str">
        <f t="shared" ca="1" si="77"/>
        <v/>
      </c>
      <c r="P538" s="2" t="str">
        <f t="shared" ca="1" si="78"/>
        <v/>
      </c>
    </row>
    <row r="539" spans="1:16">
      <c r="A539">
        <f t="shared" si="79"/>
        <v>536</v>
      </c>
      <c r="B539" t="str">
        <f ca="1">IFERROR(VLOOKUP($A539,'vbs,vba'!$G:$H,2,FALSE),"")</f>
        <v/>
      </c>
      <c r="C539" t="str">
        <f ca="1">IFERROR(VLOOKUP($A539,python!$I:$J,2,FALSE),"")</f>
        <v>日時取得(現在)</v>
      </c>
      <c r="D539" t="str">
        <f ca="1">IFERROR(VLOOKUP($A539,bat!$F:$G,2,FALSE),"")</f>
        <v/>
      </c>
      <c r="E539" t="str">
        <f ca="1">IFERROR(VLOOKUP($A539,shell!$F:$G,2,FALSE),"")</f>
        <v/>
      </c>
      <c r="F539" t="str">
        <f t="shared" ca="1" si="75"/>
        <v>日時取得(現在)</v>
      </c>
      <c r="G539">
        <f ca="1">IF($F539="","",COUNTIF($F$3:$F539,$F539))</f>
        <v>1</v>
      </c>
      <c r="H539">
        <f ca="1">IF(OR(G539&gt;1,G539=""),"",COUNTIF($G$3:$G539,1))</f>
        <v>518</v>
      </c>
      <c r="I539" t="str">
        <f t="shared" ca="1" si="76"/>
        <v>日時取得(現在)</v>
      </c>
      <c r="K539">
        <f t="shared" si="80"/>
        <v>536</v>
      </c>
      <c r="L539" t="str">
        <f t="shared" ca="1" si="73"/>
        <v>リスト 参照（スライス）</v>
      </c>
      <c r="M539" s="2" t="str">
        <f t="shared" ca="1" si="72"/>
        <v/>
      </c>
      <c r="N539" s="2" t="str">
        <f t="shared" ca="1" si="74"/>
        <v>○</v>
      </c>
      <c r="O539" s="2" t="str">
        <f t="shared" ca="1" si="77"/>
        <v/>
      </c>
      <c r="P539" s="2" t="str">
        <f t="shared" ca="1" si="78"/>
        <v/>
      </c>
    </row>
    <row r="540" spans="1:16">
      <c r="A540">
        <f t="shared" si="79"/>
        <v>537</v>
      </c>
      <c r="B540" t="str">
        <f ca="1">IFERROR(VLOOKUP($A540,'vbs,vba'!$G:$H,2,FALSE),"")</f>
        <v/>
      </c>
      <c r="C540" t="str">
        <f ca="1">IFERROR(VLOOKUP($A540,python!$I:$J,2,FALSE),"")</f>
        <v>日時設定</v>
      </c>
      <c r="D540" t="str">
        <f ca="1">IFERROR(VLOOKUP($A540,bat!$F:$G,2,FALSE),"")</f>
        <v/>
      </c>
      <c r="E540" t="str">
        <f ca="1">IFERROR(VLOOKUP($A540,shell!$F:$G,2,FALSE),"")</f>
        <v/>
      </c>
      <c r="F540" t="str">
        <f t="shared" ca="1" si="75"/>
        <v>日時設定</v>
      </c>
      <c r="G540">
        <f ca="1">IF($F540="","",COUNTIF($F$3:$F540,$F540))</f>
        <v>1</v>
      </c>
      <c r="H540">
        <f ca="1">IF(OR(G540&gt;1,G540=""),"",COUNTIF($G$3:$G540,1))</f>
        <v>519</v>
      </c>
      <c r="I540" t="str">
        <f t="shared" ca="1" si="76"/>
        <v>日時設定</v>
      </c>
      <c r="K540">
        <f t="shared" si="80"/>
        <v>537</v>
      </c>
      <c r="L540" t="str">
        <f t="shared" ca="1" si="73"/>
        <v>リスト 空チェック</v>
      </c>
      <c r="M540" s="2" t="str">
        <f t="shared" ca="1" si="72"/>
        <v/>
      </c>
      <c r="N540" s="2" t="str">
        <f t="shared" ca="1" si="74"/>
        <v>○</v>
      </c>
      <c r="O540" s="2" t="str">
        <f t="shared" ca="1" si="77"/>
        <v/>
      </c>
      <c r="P540" s="2" t="str">
        <f t="shared" ca="1" si="78"/>
        <v/>
      </c>
    </row>
    <row r="541" spans="1:16">
      <c r="A541">
        <f t="shared" si="79"/>
        <v>538</v>
      </c>
      <c r="B541" t="str">
        <f ca="1">IFERROR(VLOOKUP($A541,'vbs,vba'!$G:$H,2,FALSE),"")</f>
        <v/>
      </c>
      <c r="C541" t="str">
        <f ca="1">IFERROR(VLOOKUP($A541,python!$I:$J,2,FALSE),"")</f>
        <v>日時抽出(年)</v>
      </c>
      <c r="D541" t="str">
        <f ca="1">IFERROR(VLOOKUP($A541,bat!$F:$G,2,FALSE),"")</f>
        <v/>
      </c>
      <c r="E541" t="str">
        <f ca="1">IFERROR(VLOOKUP($A541,shell!$F:$G,2,FALSE),"")</f>
        <v/>
      </c>
      <c r="F541" t="str">
        <f t="shared" ca="1" si="75"/>
        <v>日時抽出(年)</v>
      </c>
      <c r="G541">
        <f ca="1">IF($F541="","",COUNTIF($F$3:$F541,$F541))</f>
        <v>1</v>
      </c>
      <c r="H541">
        <f ca="1">IF(OR(G541&gt;1,G541=""),"",COUNTIF($G$3:$G541,1))</f>
        <v>520</v>
      </c>
      <c r="I541" t="str">
        <f t="shared" ca="1" si="76"/>
        <v>日時抽出(年)</v>
      </c>
      <c r="K541">
        <f t="shared" si="80"/>
        <v>538</v>
      </c>
      <c r="L541" t="str">
        <f t="shared" ca="1" si="73"/>
        <v>リスト 存在チェック</v>
      </c>
      <c r="M541" s="2" t="str">
        <f t="shared" ca="1" si="72"/>
        <v/>
      </c>
      <c r="N541" s="2" t="str">
        <f t="shared" ca="1" si="74"/>
        <v>○</v>
      </c>
      <c r="O541" s="2" t="str">
        <f t="shared" ca="1" si="77"/>
        <v/>
      </c>
      <c r="P541" s="2" t="str">
        <f t="shared" ca="1" si="78"/>
        <v/>
      </c>
    </row>
    <row r="542" spans="1:16">
      <c r="A542">
        <f t="shared" si="79"/>
        <v>539</v>
      </c>
      <c r="B542" t="str">
        <f ca="1">IFERROR(VLOOKUP($A542,'vbs,vba'!$G:$H,2,FALSE),"")</f>
        <v/>
      </c>
      <c r="C542" t="str">
        <f ca="1">IFERROR(VLOOKUP($A542,python!$I:$J,2,FALSE),"")</f>
        <v>日時設定(月)</v>
      </c>
      <c r="D542" t="str">
        <f ca="1">IFERROR(VLOOKUP($A542,bat!$F:$G,2,FALSE),"")</f>
        <v/>
      </c>
      <c r="E542" t="str">
        <f ca="1">IFERROR(VLOOKUP($A542,shell!$F:$G,2,FALSE),"")</f>
        <v/>
      </c>
      <c r="F542" t="str">
        <f t="shared" ca="1" si="75"/>
        <v>日時設定(月)</v>
      </c>
      <c r="G542">
        <f ca="1">IF($F542="","",COUNTIF($F$3:$F542,$F542))</f>
        <v>1</v>
      </c>
      <c r="H542">
        <f ca="1">IF(OR(G542&gt;1,G542=""),"",COUNTIF($G$3:$G542,1))</f>
        <v>521</v>
      </c>
      <c r="I542" t="str">
        <f t="shared" ca="1" si="76"/>
        <v>日時設定(月)</v>
      </c>
      <c r="K542">
        <f t="shared" si="80"/>
        <v>539</v>
      </c>
      <c r="L542" t="str">
        <f t="shared" ca="1" si="73"/>
        <v>リスト 削除</v>
      </c>
      <c r="M542" s="2" t="str">
        <f t="shared" ca="1" si="72"/>
        <v/>
      </c>
      <c r="N542" s="2" t="str">
        <f t="shared" ca="1" si="74"/>
        <v>○</v>
      </c>
      <c r="O542" s="2" t="str">
        <f t="shared" ca="1" si="77"/>
        <v/>
      </c>
      <c r="P542" s="2" t="str">
        <f t="shared" ca="1" si="78"/>
        <v/>
      </c>
    </row>
    <row r="543" spans="1:16">
      <c r="A543">
        <f t="shared" si="79"/>
        <v>540</v>
      </c>
      <c r="B543" t="str">
        <f ca="1">IFERROR(VLOOKUP($A543,'vbs,vba'!$G:$H,2,FALSE),"")</f>
        <v/>
      </c>
      <c r="C543" t="str">
        <f ca="1">IFERROR(VLOOKUP($A543,python!$I:$J,2,FALSE),"")</f>
        <v>日時設定(日)</v>
      </c>
      <c r="D543" t="str">
        <f ca="1">IFERROR(VLOOKUP($A543,bat!$F:$G,2,FALSE),"")</f>
        <v/>
      </c>
      <c r="E543" t="str">
        <f ca="1">IFERROR(VLOOKUP($A543,shell!$F:$G,2,FALSE),"")</f>
        <v/>
      </c>
      <c r="F543" t="str">
        <f t="shared" ca="1" si="75"/>
        <v>日時設定(日)</v>
      </c>
      <c r="G543">
        <f ca="1">IF($F543="","",COUNTIF($F$3:$F543,$F543))</f>
        <v>1</v>
      </c>
      <c r="H543">
        <f ca="1">IF(OR(G543&gt;1,G543=""),"",COUNTIF($G$3:$G543,1))</f>
        <v>522</v>
      </c>
      <c r="I543" t="str">
        <f t="shared" ca="1" si="76"/>
        <v>日時設定(日)</v>
      </c>
      <c r="K543">
        <f t="shared" si="80"/>
        <v>540</v>
      </c>
      <c r="L543" t="str">
        <f t="shared" ca="1" si="73"/>
        <v>リスト 末尾取り出し</v>
      </c>
      <c r="M543" s="2" t="str">
        <f t="shared" ca="1" si="72"/>
        <v/>
      </c>
      <c r="N543" s="2" t="str">
        <f t="shared" ca="1" si="74"/>
        <v>○</v>
      </c>
      <c r="O543" s="2" t="str">
        <f t="shared" ca="1" si="77"/>
        <v/>
      </c>
      <c r="P543" s="2" t="str">
        <f t="shared" ca="1" si="78"/>
        <v/>
      </c>
    </row>
    <row r="544" spans="1:16">
      <c r="A544">
        <f t="shared" si="79"/>
        <v>541</v>
      </c>
      <c r="B544" t="str">
        <f ca="1">IFERROR(VLOOKUP($A544,'vbs,vba'!$G:$H,2,FALSE),"")</f>
        <v/>
      </c>
      <c r="C544" t="str">
        <f ca="1">IFERROR(VLOOKUP($A544,python!$I:$J,2,FALSE),"")</f>
        <v>日時設定(時)</v>
      </c>
      <c r="D544" t="str">
        <f ca="1">IFERROR(VLOOKUP($A544,bat!$F:$G,2,FALSE),"")</f>
        <v/>
      </c>
      <c r="E544" t="str">
        <f ca="1">IFERROR(VLOOKUP($A544,shell!$F:$G,2,FALSE),"")</f>
        <v/>
      </c>
      <c r="F544" t="str">
        <f t="shared" ca="1" si="75"/>
        <v>日時設定(時)</v>
      </c>
      <c r="G544">
        <f ca="1">IF($F544="","",COUNTIF($F$3:$F544,$F544))</f>
        <v>1</v>
      </c>
      <c r="H544">
        <f ca="1">IF(OR(G544&gt;1,G544=""),"",COUNTIF($G$3:$G544,1))</f>
        <v>523</v>
      </c>
      <c r="I544" t="str">
        <f t="shared" ca="1" si="76"/>
        <v>日時設定(時)</v>
      </c>
      <c r="K544">
        <f t="shared" si="80"/>
        <v>541</v>
      </c>
      <c r="L544" t="str">
        <f t="shared" ca="1" si="73"/>
        <v>リスト 要素番号取得</v>
      </c>
      <c r="M544" s="2" t="str">
        <f t="shared" ca="1" si="72"/>
        <v/>
      </c>
      <c r="N544" s="2" t="str">
        <f t="shared" ca="1" si="74"/>
        <v>○</v>
      </c>
      <c r="O544" s="2" t="str">
        <f t="shared" ca="1" si="77"/>
        <v/>
      </c>
      <c r="P544" s="2" t="str">
        <f t="shared" ca="1" si="78"/>
        <v/>
      </c>
    </row>
    <row r="545" spans="1:16">
      <c r="A545">
        <f t="shared" si="79"/>
        <v>542</v>
      </c>
      <c r="B545" t="str">
        <f ca="1">IFERROR(VLOOKUP($A545,'vbs,vba'!$G:$H,2,FALSE),"")</f>
        <v/>
      </c>
      <c r="C545" t="str">
        <f ca="1">IFERROR(VLOOKUP($A545,python!$I:$J,2,FALSE),"")</f>
        <v>日時設定(分)</v>
      </c>
      <c r="D545" t="str">
        <f ca="1">IFERROR(VLOOKUP($A545,bat!$F:$G,2,FALSE),"")</f>
        <v/>
      </c>
      <c r="E545" t="str">
        <f ca="1">IFERROR(VLOOKUP($A545,shell!$F:$G,2,FALSE),"")</f>
        <v/>
      </c>
      <c r="F545" t="str">
        <f t="shared" ca="1" si="75"/>
        <v>日時設定(分)</v>
      </c>
      <c r="G545">
        <f ca="1">IF($F545="","",COUNTIF($F$3:$F545,$F545))</f>
        <v>1</v>
      </c>
      <c r="H545">
        <f ca="1">IF(OR(G545&gt;1,G545=""),"",COUNTIF($G$3:$G545,1))</f>
        <v>524</v>
      </c>
      <c r="I545" t="str">
        <f t="shared" ca="1" si="76"/>
        <v>日時設定(分)</v>
      </c>
      <c r="K545">
        <f t="shared" si="80"/>
        <v>542</v>
      </c>
      <c r="L545" t="str">
        <f t="shared" ca="1" si="73"/>
        <v>リスト 要素数取得</v>
      </c>
      <c r="M545" s="2" t="str">
        <f t="shared" ca="1" si="72"/>
        <v/>
      </c>
      <c r="N545" s="2" t="str">
        <f t="shared" ca="1" si="74"/>
        <v>○</v>
      </c>
      <c r="O545" s="2" t="str">
        <f t="shared" ca="1" si="77"/>
        <v/>
      </c>
      <c r="P545" s="2" t="str">
        <f t="shared" ca="1" si="78"/>
        <v/>
      </c>
    </row>
    <row r="546" spans="1:16">
      <c r="A546">
        <f t="shared" si="79"/>
        <v>543</v>
      </c>
      <c r="B546" t="str">
        <f ca="1">IFERROR(VLOOKUP($A546,'vbs,vba'!$G:$H,2,FALSE),"")</f>
        <v/>
      </c>
      <c r="C546" t="str">
        <f ca="1">IFERROR(VLOOKUP($A546,python!$I:$J,2,FALSE),"")</f>
        <v>日時設定(秒)</v>
      </c>
      <c r="D546" t="str">
        <f ca="1">IFERROR(VLOOKUP($A546,bat!$F:$G,2,FALSE),"")</f>
        <v/>
      </c>
      <c r="E546" t="str">
        <f ca="1">IFERROR(VLOOKUP($A546,shell!$F:$G,2,FALSE),"")</f>
        <v/>
      </c>
      <c r="F546" t="str">
        <f t="shared" ca="1" si="75"/>
        <v>日時設定(秒)</v>
      </c>
      <c r="G546">
        <f ca="1">IF($F546="","",COUNTIF($F$3:$F546,$F546))</f>
        <v>1</v>
      </c>
      <c r="H546">
        <f ca="1">IF(OR(G546&gt;1,G546=""),"",COUNTIF($G$3:$G546,1))</f>
        <v>525</v>
      </c>
      <c r="I546" t="str">
        <f t="shared" ca="1" si="76"/>
        <v>日時設定(秒)</v>
      </c>
      <c r="K546">
        <f t="shared" si="80"/>
        <v>543</v>
      </c>
      <c r="L546" t="str">
        <f t="shared" ca="1" si="73"/>
        <v>リスト 追加（末尾）</v>
      </c>
      <c r="M546" s="2" t="str">
        <f t="shared" ca="1" si="72"/>
        <v/>
      </c>
      <c r="N546" s="2" t="str">
        <f t="shared" ca="1" si="74"/>
        <v>○</v>
      </c>
      <c r="O546" s="2" t="str">
        <f t="shared" ca="1" si="77"/>
        <v/>
      </c>
      <c r="P546" s="2" t="str">
        <f t="shared" ca="1" si="78"/>
        <v/>
      </c>
    </row>
    <row r="547" spans="1:16">
      <c r="A547">
        <f t="shared" si="79"/>
        <v>544</v>
      </c>
      <c r="B547" t="str">
        <f ca="1">IFERROR(VLOOKUP($A547,'vbs,vba'!$G:$H,2,FALSE),"")</f>
        <v/>
      </c>
      <c r="C547" t="str">
        <f ca="1">IFERROR(VLOOKUP($A547,python!$I:$J,2,FALSE),"")</f>
        <v>年月日時刻出力</v>
      </c>
      <c r="D547" t="str">
        <f ca="1">IFERROR(VLOOKUP($A547,bat!$F:$G,2,FALSE),"")</f>
        <v/>
      </c>
      <c r="E547" t="str">
        <f ca="1">IFERROR(VLOOKUP($A547,shell!$F:$G,2,FALSE),"")</f>
        <v/>
      </c>
      <c r="F547" t="str">
        <f t="shared" ca="1" si="75"/>
        <v>年月日時刻出力</v>
      </c>
      <c r="G547">
        <f ca="1">IF($F547="","",COUNTIF($F$3:$F547,$F547))</f>
        <v>1</v>
      </c>
      <c r="H547">
        <f ca="1">IF(OR(G547&gt;1,G547=""),"",COUNTIF($G$3:$G547,1))</f>
        <v>526</v>
      </c>
      <c r="I547" t="str">
        <f t="shared" ca="1" si="76"/>
        <v>年月日時刻出力</v>
      </c>
      <c r="K547">
        <f t="shared" si="80"/>
        <v>544</v>
      </c>
      <c r="L547" t="str">
        <f t="shared" ca="1" si="73"/>
        <v>リスト 追加（中間）</v>
      </c>
      <c r="M547" s="2" t="str">
        <f t="shared" ca="1" si="72"/>
        <v/>
      </c>
      <c r="N547" s="2" t="str">
        <f t="shared" ca="1" si="74"/>
        <v>○</v>
      </c>
      <c r="O547" s="2" t="str">
        <f t="shared" ca="1" si="77"/>
        <v/>
      </c>
      <c r="P547" s="2" t="str">
        <f t="shared" ca="1" si="78"/>
        <v/>
      </c>
    </row>
    <row r="548" spans="1:16">
      <c r="A548">
        <f t="shared" si="79"/>
        <v>545</v>
      </c>
      <c r="B548" t="str">
        <f ca="1">IFERROR(VLOOKUP($A548,'vbs,vba'!$G:$H,2,FALSE),"")</f>
        <v/>
      </c>
      <c r="C548" t="str">
        <f ca="1">IFERROR(VLOOKUP($A548,python!$I:$J,2,FALSE),"")</f>
        <v>経過時間(日)</v>
      </c>
      <c r="D548" t="str">
        <f ca="1">IFERROR(VLOOKUP($A548,bat!$F:$G,2,FALSE),"")</f>
        <v/>
      </c>
      <c r="E548" t="str">
        <f ca="1">IFERROR(VLOOKUP($A548,shell!$F:$G,2,FALSE),"")</f>
        <v/>
      </c>
      <c r="F548" t="str">
        <f t="shared" ca="1" si="75"/>
        <v>経過時間(日)</v>
      </c>
      <c r="G548">
        <f ca="1">IF($F548="","",COUNTIF($F$3:$F548,$F548))</f>
        <v>1</v>
      </c>
      <c r="H548">
        <f ca="1">IF(OR(G548&gt;1,G548=""),"",COUNTIF($G$3:$G548,1))</f>
        <v>527</v>
      </c>
      <c r="I548" t="str">
        <f t="shared" ca="1" si="76"/>
        <v>経過時間(日)</v>
      </c>
      <c r="K548">
        <f t="shared" si="80"/>
        <v>545</v>
      </c>
      <c r="L548" t="str">
        <f t="shared" ca="1" si="73"/>
        <v>リスト 連結</v>
      </c>
      <c r="M548" s="2" t="str">
        <f t="shared" ca="1" si="72"/>
        <v/>
      </c>
      <c r="N548" s="2" t="str">
        <f t="shared" ca="1" si="74"/>
        <v>○</v>
      </c>
      <c r="O548" s="2" t="str">
        <f t="shared" ca="1" si="77"/>
        <v/>
      </c>
      <c r="P548" s="2" t="str">
        <f t="shared" ca="1" si="78"/>
        <v/>
      </c>
    </row>
    <row r="549" spans="1:16">
      <c r="A549">
        <f t="shared" si="79"/>
        <v>546</v>
      </c>
      <c r="B549" t="str">
        <f ca="1">IFERROR(VLOOKUP($A549,'vbs,vba'!$G:$H,2,FALSE),"")</f>
        <v/>
      </c>
      <c r="C549" t="str">
        <f ca="1">IFERROR(VLOOKUP($A549,python!$I:$J,2,FALSE),"")</f>
        <v>経過時間(時)</v>
      </c>
      <c r="D549" t="str">
        <f ca="1">IFERROR(VLOOKUP($A549,bat!$F:$G,2,FALSE),"")</f>
        <v/>
      </c>
      <c r="E549" t="str">
        <f ca="1">IFERROR(VLOOKUP($A549,shell!$F:$G,2,FALSE),"")</f>
        <v/>
      </c>
      <c r="F549" t="str">
        <f t="shared" ca="1" si="75"/>
        <v>経過時間(時)</v>
      </c>
      <c r="G549">
        <f ca="1">IF($F549="","",COUNTIF($F$3:$F549,$F549))</f>
        <v>1</v>
      </c>
      <c r="H549">
        <f ca="1">IF(OR(G549&gt;1,G549=""),"",COUNTIF($G$3:$G549,1))</f>
        <v>528</v>
      </c>
      <c r="I549" t="str">
        <f t="shared" ca="1" si="76"/>
        <v>経過時間(時)</v>
      </c>
      <c r="K549">
        <f t="shared" si="80"/>
        <v>546</v>
      </c>
      <c r="L549" t="str">
        <f t="shared" ca="1" si="73"/>
        <v>リスト 反転</v>
      </c>
      <c r="M549" s="2" t="str">
        <f t="shared" ca="1" si="72"/>
        <v/>
      </c>
      <c r="N549" s="2" t="str">
        <f t="shared" ca="1" si="74"/>
        <v>○</v>
      </c>
      <c r="O549" s="2" t="str">
        <f t="shared" ca="1" si="77"/>
        <v/>
      </c>
      <c r="P549" s="2" t="str">
        <f t="shared" ca="1" si="78"/>
        <v/>
      </c>
    </row>
    <row r="550" spans="1:16">
      <c r="A550">
        <f t="shared" si="79"/>
        <v>547</v>
      </c>
      <c r="B550" t="str">
        <f ca="1">IFERROR(VLOOKUP($A550,'vbs,vba'!$G:$H,2,FALSE),"")</f>
        <v/>
      </c>
      <c r="C550" t="str">
        <f ca="1">IFERROR(VLOOKUP($A550,python!$I:$J,2,FALSE),"")</f>
        <v>経過時間(秒)</v>
      </c>
      <c r="D550" t="str">
        <f ca="1">IFERROR(VLOOKUP($A550,bat!$F:$G,2,FALSE),"")</f>
        <v/>
      </c>
      <c r="E550" t="str">
        <f ca="1">IFERROR(VLOOKUP($A550,shell!$F:$G,2,FALSE),"")</f>
        <v/>
      </c>
      <c r="F550" t="str">
        <f t="shared" ca="1" si="75"/>
        <v>経過時間(秒)</v>
      </c>
      <c r="G550">
        <f ca="1">IF($F550="","",COUNTIF($F$3:$F550,$F550))</f>
        <v>1</v>
      </c>
      <c r="H550">
        <f ca="1">IF(OR(G550&gt;1,G550=""),"",COUNTIF($G$3:$G550,1))</f>
        <v>529</v>
      </c>
      <c r="I550" t="str">
        <f t="shared" ca="1" si="76"/>
        <v>経過時間(秒)</v>
      </c>
      <c r="K550">
        <f t="shared" si="80"/>
        <v>547</v>
      </c>
      <c r="L550" t="str">
        <f t="shared" ca="1" si="73"/>
        <v>リスト 反転（イテレータ）</v>
      </c>
      <c r="M550" s="2" t="str">
        <f t="shared" ca="1" si="72"/>
        <v/>
      </c>
      <c r="N550" s="2" t="str">
        <f t="shared" ca="1" si="74"/>
        <v>○</v>
      </c>
      <c r="O550" s="2" t="str">
        <f t="shared" ca="1" si="77"/>
        <v/>
      </c>
      <c r="P550" s="2" t="str">
        <f t="shared" ca="1" si="78"/>
        <v/>
      </c>
    </row>
    <row r="551" spans="1:16">
      <c r="A551">
        <f t="shared" si="79"/>
        <v>548</v>
      </c>
      <c r="B551" t="str">
        <f ca="1">IFERROR(VLOOKUP($A551,'vbs,vba'!$G:$H,2,FALSE),"")</f>
        <v/>
      </c>
      <c r="C551" t="str">
        <f ca="1">IFERROR(VLOOKUP($A551,python!$I:$J,2,FALSE),"")</f>
        <v>経過時間(ミリ秒)</v>
      </c>
      <c r="D551" t="str">
        <f ca="1">IFERROR(VLOOKUP($A551,bat!$F:$G,2,FALSE),"")</f>
        <v/>
      </c>
      <c r="E551" t="str">
        <f ca="1">IFERROR(VLOOKUP($A551,shell!$F:$G,2,FALSE),"")</f>
        <v/>
      </c>
      <c r="F551" t="str">
        <f t="shared" ca="1" si="75"/>
        <v>経過時間(ミリ秒)</v>
      </c>
      <c r="G551">
        <f ca="1">IF($F551="","",COUNTIF($F$3:$F551,$F551))</f>
        <v>1</v>
      </c>
      <c r="H551">
        <f ca="1">IF(OR(G551&gt;1,G551=""),"",COUNTIF($G$3:$G551,1))</f>
        <v>530</v>
      </c>
      <c r="I551" t="str">
        <f t="shared" ca="1" si="76"/>
        <v>経過時間(ミリ秒)</v>
      </c>
      <c r="K551">
        <f t="shared" si="80"/>
        <v>548</v>
      </c>
      <c r="L551" t="str">
        <f t="shared" ca="1" si="73"/>
        <v>リスト 非破壊並べ替え</v>
      </c>
      <c r="M551" s="2" t="str">
        <f t="shared" ca="1" si="72"/>
        <v/>
      </c>
      <c r="N551" s="2" t="str">
        <f t="shared" ca="1" si="74"/>
        <v>○</v>
      </c>
      <c r="O551" s="2" t="str">
        <f t="shared" ca="1" si="77"/>
        <v/>
      </c>
      <c r="P551" s="2" t="str">
        <f t="shared" ca="1" si="78"/>
        <v/>
      </c>
    </row>
    <row r="552" spans="1:16">
      <c r="A552">
        <f t="shared" si="79"/>
        <v>549</v>
      </c>
      <c r="B552" t="str">
        <f ca="1">IFERROR(VLOOKUP($A552,'vbs,vba'!$G:$H,2,FALSE),"")</f>
        <v/>
      </c>
      <c r="C552" t="str">
        <f ca="1">IFERROR(VLOOKUP($A552,python!$I:$J,2,FALSE),"")</f>
        <v>経過時間(マイクロ秒)</v>
      </c>
      <c r="D552" t="str">
        <f ca="1">IFERROR(VLOOKUP($A552,bat!$F:$G,2,FALSE),"")</f>
        <v/>
      </c>
      <c r="E552" t="str">
        <f ca="1">IFERROR(VLOOKUP($A552,shell!$F:$G,2,FALSE),"")</f>
        <v/>
      </c>
      <c r="F552" t="str">
        <f t="shared" ca="1" si="75"/>
        <v>経過時間(マイクロ秒)</v>
      </c>
      <c r="G552">
        <f ca="1">IF($F552="","",COUNTIF($F$3:$F552,$F552))</f>
        <v>1</v>
      </c>
      <c r="H552">
        <f ca="1">IF(OR(G552&gt;1,G552=""),"",COUNTIF($G$3:$G552,1))</f>
        <v>531</v>
      </c>
      <c r="I552" t="str">
        <f t="shared" ca="1" si="76"/>
        <v>経過時間(マイクロ秒)</v>
      </c>
      <c r="K552">
        <f t="shared" si="80"/>
        <v>549</v>
      </c>
      <c r="L552" t="str">
        <f t="shared" ca="1" si="73"/>
        <v>リスト 非破壊並べ替え（逆順）</v>
      </c>
      <c r="M552" s="2" t="str">
        <f t="shared" ca="1" si="72"/>
        <v/>
      </c>
      <c r="N552" s="2" t="str">
        <f t="shared" ca="1" si="74"/>
        <v>○</v>
      </c>
      <c r="O552" s="2" t="str">
        <f t="shared" ca="1" si="77"/>
        <v/>
      </c>
      <c r="P552" s="2" t="str">
        <f t="shared" ca="1" si="78"/>
        <v/>
      </c>
    </row>
    <row r="553" spans="1:16">
      <c r="A553">
        <f t="shared" si="79"/>
        <v>550</v>
      </c>
      <c r="B553" t="str">
        <f ca="1">IFERROR(VLOOKUP($A553,'vbs,vba'!$G:$H,2,FALSE),"")</f>
        <v/>
      </c>
      <c r="C553" t="str">
        <f ca="1">IFERROR(VLOOKUP($A553,python!$I:$J,2,FALSE),"")</f>
        <v>経過時間(総時間)</v>
      </c>
      <c r="D553" t="str">
        <f ca="1">IFERROR(VLOOKUP($A553,bat!$F:$G,2,FALSE),"")</f>
        <v/>
      </c>
      <c r="E553" t="str">
        <f ca="1">IFERROR(VLOOKUP($A553,shell!$F:$G,2,FALSE),"")</f>
        <v/>
      </c>
      <c r="F553" t="str">
        <f t="shared" ca="1" si="75"/>
        <v>経過時間(総時間)</v>
      </c>
      <c r="G553">
        <f ca="1">IF($F553="","",COUNTIF($F$3:$F553,$F553))</f>
        <v>1</v>
      </c>
      <c r="H553">
        <f ca="1">IF(OR(G553&gt;1,G553=""),"",COUNTIF($G$3:$G553,1))</f>
        <v>532</v>
      </c>
      <c r="I553" t="str">
        <f t="shared" ca="1" si="76"/>
        <v>経過時間(総時間)</v>
      </c>
      <c r="K553">
        <f t="shared" si="80"/>
        <v>550</v>
      </c>
      <c r="L553" t="str">
        <f t="shared" ca="1" si="73"/>
        <v>リスト 非破壊並べ替え（ソートアルゴリズム指定）</v>
      </c>
      <c r="M553" s="2" t="str">
        <f t="shared" ca="1" si="72"/>
        <v/>
      </c>
      <c r="N553" s="2" t="str">
        <f t="shared" ca="1" si="74"/>
        <v>○</v>
      </c>
      <c r="O553" s="2" t="str">
        <f t="shared" ca="1" si="77"/>
        <v/>
      </c>
      <c r="P553" s="2" t="str">
        <f t="shared" ca="1" si="78"/>
        <v/>
      </c>
    </row>
    <row r="554" spans="1:16">
      <c r="A554">
        <f t="shared" si="79"/>
        <v>551</v>
      </c>
      <c r="B554" t="str">
        <f ca="1">IFERROR(VLOOKUP($A554,'vbs,vba'!$G:$H,2,FALSE),"")</f>
        <v/>
      </c>
      <c r="C554" t="str">
        <f ca="1">IFERROR(VLOOKUP($A554,python!$I:$J,2,FALSE),"")</f>
        <v>日付比較</v>
      </c>
      <c r="D554" t="str">
        <f ca="1">IFERROR(VLOOKUP($A554,bat!$F:$G,2,FALSE),"")</f>
        <v/>
      </c>
      <c r="E554" t="str">
        <f ca="1">IFERROR(VLOOKUP($A554,shell!$F:$G,2,FALSE),"")</f>
        <v/>
      </c>
      <c r="F554" t="str">
        <f t="shared" ca="1" si="75"/>
        <v>日付比較</v>
      </c>
      <c r="G554">
        <f ca="1">IF($F554="","",COUNTIF($F$3:$F554,$F554))</f>
        <v>2</v>
      </c>
      <c r="H554" t="str">
        <f ca="1">IF(OR(G554&gt;1,G554=""),"",COUNTIF($G$3:$G554,1))</f>
        <v/>
      </c>
      <c r="I554" t="str">
        <f t="shared" ca="1" si="76"/>
        <v>日付比較</v>
      </c>
      <c r="K554">
        <f t="shared" si="80"/>
        <v>551</v>
      </c>
      <c r="L554" t="str">
        <f t="shared" ca="1" si="73"/>
        <v>リスト 破壊並べ替え</v>
      </c>
      <c r="M554" s="2" t="str">
        <f t="shared" ca="1" si="72"/>
        <v/>
      </c>
      <c r="N554" s="2" t="str">
        <f t="shared" ca="1" si="74"/>
        <v>○</v>
      </c>
      <c r="O554" s="2" t="str">
        <f t="shared" ca="1" si="77"/>
        <v/>
      </c>
      <c r="P554" s="2" t="str">
        <f t="shared" ca="1" si="78"/>
        <v/>
      </c>
    </row>
    <row r="555" spans="1:16">
      <c r="A555">
        <f t="shared" si="79"/>
        <v>552</v>
      </c>
      <c r="B555" t="str">
        <f ca="1">IFERROR(VLOOKUP($A555,'vbs,vba'!$G:$H,2,FALSE),"")</f>
        <v/>
      </c>
      <c r="C555" t="str">
        <f ca="1">IFERROR(VLOOKUP($A555,python!$I:$J,2,FALSE),"")</f>
        <v>スリープ処理</v>
      </c>
      <c r="D555" t="str">
        <f ca="1">IFERROR(VLOOKUP($A555,bat!$F:$G,2,FALSE),"")</f>
        <v/>
      </c>
      <c r="E555" t="str">
        <f ca="1">IFERROR(VLOOKUP($A555,shell!$F:$G,2,FALSE),"")</f>
        <v/>
      </c>
      <c r="F555" t="str">
        <f t="shared" ca="1" si="75"/>
        <v>スリープ処理</v>
      </c>
      <c r="G555">
        <f ca="1">IF($F555="","",COUNTIF($F$3:$F555,$F555))</f>
        <v>1</v>
      </c>
      <c r="H555">
        <f ca="1">IF(OR(G555&gt;1,G555=""),"",COUNTIF($G$3:$G555,1))</f>
        <v>533</v>
      </c>
      <c r="I555" t="str">
        <f t="shared" ca="1" si="76"/>
        <v>スリープ処理</v>
      </c>
      <c r="K555">
        <f t="shared" si="80"/>
        <v>552</v>
      </c>
      <c r="L555" t="str">
        <f t="shared" ca="1" si="73"/>
        <v>リスト 破壊並べ替え（逆順）</v>
      </c>
      <c r="M555" s="2" t="str">
        <f t="shared" ca="1" si="72"/>
        <v/>
      </c>
      <c r="N555" s="2" t="str">
        <f t="shared" ca="1" si="74"/>
        <v>○</v>
      </c>
      <c r="O555" s="2" t="str">
        <f t="shared" ca="1" si="77"/>
        <v/>
      </c>
      <c r="P555" s="2" t="str">
        <f t="shared" ca="1" si="78"/>
        <v/>
      </c>
    </row>
    <row r="556" spans="1:16">
      <c r="A556">
        <f t="shared" si="79"/>
        <v>553</v>
      </c>
      <c r="B556" t="str">
        <f ca="1">IFERROR(VLOOKUP($A556,'vbs,vba'!$G:$H,2,FALSE),"")</f>
        <v/>
      </c>
      <c r="C556" t="str">
        <f ca="1">IFERROR(VLOOKUP($A556,python!$I:$J,2,FALSE),"")</f>
        <v>リスト 初期化</v>
      </c>
      <c r="D556" t="str">
        <f ca="1">IFERROR(VLOOKUP($A556,bat!$F:$G,2,FALSE),"")</f>
        <v/>
      </c>
      <c r="E556" t="str">
        <f ca="1">IFERROR(VLOOKUP($A556,shell!$F:$G,2,FALSE),"")</f>
        <v/>
      </c>
      <c r="F556" t="str">
        <f t="shared" ca="1" si="75"/>
        <v>リスト 初期化</v>
      </c>
      <c r="G556">
        <f ca="1">IF($F556="","",COUNTIF($F$3:$F556,$F556))</f>
        <v>1</v>
      </c>
      <c r="H556">
        <f ca="1">IF(OR(G556&gt;1,G556=""),"",COUNTIF($G$3:$G556,1))</f>
        <v>534</v>
      </c>
      <c r="I556" t="str">
        <f t="shared" ca="1" si="76"/>
        <v>リスト 初期化</v>
      </c>
      <c r="K556">
        <f t="shared" si="80"/>
        <v>553</v>
      </c>
      <c r="L556" t="str">
        <f t="shared" ca="1" si="73"/>
        <v>リスト 破壊並べ替え（ソートアルゴリズム指定）</v>
      </c>
      <c r="M556" s="2" t="str">
        <f t="shared" ca="1" si="72"/>
        <v/>
      </c>
      <c r="N556" s="2" t="str">
        <f t="shared" ca="1" si="74"/>
        <v>○</v>
      </c>
      <c r="O556" s="2" t="str">
        <f t="shared" ca="1" si="77"/>
        <v/>
      </c>
      <c r="P556" s="2" t="str">
        <f t="shared" ca="1" si="78"/>
        <v/>
      </c>
    </row>
    <row r="557" spans="1:16">
      <c r="A557">
        <f t="shared" si="79"/>
        <v>554</v>
      </c>
      <c r="B557" t="str">
        <f ca="1">IFERROR(VLOOKUP($A557,'vbs,vba'!$G:$H,2,FALSE),"")</f>
        <v/>
      </c>
      <c r="C557" t="str">
        <f ca="1">IFERROR(VLOOKUP($A557,python!$I:$J,2,FALSE),"")</f>
        <v>リスト 参照</v>
      </c>
      <c r="D557" t="str">
        <f ca="1">IFERROR(VLOOKUP($A557,bat!$F:$G,2,FALSE),"")</f>
        <v/>
      </c>
      <c r="E557" t="str">
        <f ca="1">IFERROR(VLOOKUP($A557,shell!$F:$G,2,FALSE),"")</f>
        <v/>
      </c>
      <c r="F557" t="str">
        <f t="shared" ca="1" si="75"/>
        <v>リスト 参照</v>
      </c>
      <c r="G557">
        <f ca="1">IF($F557="","",COUNTIF($F$3:$F557,$F557))</f>
        <v>1</v>
      </c>
      <c r="H557">
        <f ca="1">IF(OR(G557&gt;1,G557=""),"",COUNTIF($G$3:$G557,1))</f>
        <v>535</v>
      </c>
      <c r="I557" t="str">
        <f t="shared" ca="1" si="76"/>
        <v>リスト 参照</v>
      </c>
      <c r="K557">
        <f t="shared" si="80"/>
        <v>554</v>
      </c>
      <c r="L557" t="str">
        <f t="shared" ca="1" si="73"/>
        <v>リスト 繰り返し</v>
      </c>
      <c r="M557" s="2" t="str">
        <f t="shared" ca="1" si="72"/>
        <v/>
      </c>
      <c r="N557" s="2" t="str">
        <f t="shared" ca="1" si="74"/>
        <v>○</v>
      </c>
      <c r="O557" s="2" t="str">
        <f t="shared" ca="1" si="77"/>
        <v/>
      </c>
      <c r="P557" s="2" t="str">
        <f t="shared" ca="1" si="78"/>
        <v/>
      </c>
    </row>
    <row r="558" spans="1:16">
      <c r="A558">
        <f t="shared" si="79"/>
        <v>555</v>
      </c>
      <c r="B558" t="str">
        <f ca="1">IFERROR(VLOOKUP($A558,'vbs,vba'!$G:$H,2,FALSE),"")</f>
        <v/>
      </c>
      <c r="C558" t="str">
        <f ca="1">IFERROR(VLOOKUP($A558,python!$I:$J,2,FALSE),"")</f>
        <v>リスト 参照（スライス）</v>
      </c>
      <c r="D558" t="str">
        <f ca="1">IFERROR(VLOOKUP($A558,bat!$F:$G,2,FALSE),"")</f>
        <v/>
      </c>
      <c r="E558" t="str">
        <f ca="1">IFERROR(VLOOKUP($A558,shell!$F:$G,2,FALSE),"")</f>
        <v/>
      </c>
      <c r="F558" t="str">
        <f t="shared" ca="1" si="75"/>
        <v>リスト 参照（スライス）</v>
      </c>
      <c r="G558">
        <f ca="1">IF($F558="","",COUNTIF($F$3:$F558,$F558))</f>
        <v>1</v>
      </c>
      <c r="H558">
        <f ca="1">IF(OR(G558&gt;1,G558=""),"",COUNTIF($G$3:$G558,1))</f>
        <v>536</v>
      </c>
      <c r="I558" t="str">
        <f t="shared" ca="1" si="76"/>
        <v>リスト 参照（スライス）</v>
      </c>
      <c r="K558">
        <f t="shared" si="80"/>
        <v>555</v>
      </c>
      <c r="L558" t="str">
        <f t="shared" ca="1" si="73"/>
        <v>リスト 繰り返し（enumerate）</v>
      </c>
      <c r="M558" s="2" t="str">
        <f t="shared" ca="1" si="72"/>
        <v/>
      </c>
      <c r="N558" s="2" t="str">
        <f t="shared" ca="1" si="74"/>
        <v>○</v>
      </c>
      <c r="O558" s="2" t="str">
        <f t="shared" ca="1" si="77"/>
        <v/>
      </c>
      <c r="P558" s="2" t="str">
        <f t="shared" ca="1" si="78"/>
        <v/>
      </c>
    </row>
    <row r="559" spans="1:16">
      <c r="A559">
        <f t="shared" si="79"/>
        <v>556</v>
      </c>
      <c r="B559" t="str">
        <f ca="1">IFERROR(VLOOKUP($A559,'vbs,vba'!$G:$H,2,FALSE),"")</f>
        <v/>
      </c>
      <c r="C559" t="str">
        <f ca="1">IFERROR(VLOOKUP($A559,python!$I:$J,2,FALSE),"")</f>
        <v>リスト 空チェック</v>
      </c>
      <c r="D559" t="str">
        <f ca="1">IFERROR(VLOOKUP($A559,bat!$F:$G,2,FALSE),"")</f>
        <v/>
      </c>
      <c r="E559" t="str">
        <f ca="1">IFERROR(VLOOKUP($A559,shell!$F:$G,2,FALSE),"")</f>
        <v/>
      </c>
      <c r="F559" t="str">
        <f t="shared" ca="1" si="75"/>
        <v>リスト 空チェック</v>
      </c>
      <c r="G559">
        <f ca="1">IF($F559="","",COUNTIF($F$3:$F559,$F559))</f>
        <v>1</v>
      </c>
      <c r="H559">
        <f ca="1">IF(OR(G559&gt;1,G559=""),"",COUNTIF($G$3:$G559,1))</f>
        <v>537</v>
      </c>
      <c r="I559" t="str">
        <f t="shared" ca="1" si="76"/>
        <v>リスト 空チェック</v>
      </c>
      <c r="K559">
        <f t="shared" si="80"/>
        <v>556</v>
      </c>
      <c r="L559" t="str">
        <f t="shared" ca="1" si="73"/>
        <v>リスト 内包表記</v>
      </c>
      <c r="M559" s="2" t="str">
        <f t="shared" ca="1" si="72"/>
        <v/>
      </c>
      <c r="N559" s="2" t="str">
        <f t="shared" ca="1" si="74"/>
        <v>○</v>
      </c>
      <c r="O559" s="2" t="str">
        <f t="shared" ca="1" si="77"/>
        <v/>
      </c>
      <c r="P559" s="2" t="str">
        <f t="shared" ca="1" si="78"/>
        <v/>
      </c>
    </row>
    <row r="560" spans="1:16">
      <c r="A560">
        <f t="shared" si="79"/>
        <v>557</v>
      </c>
      <c r="B560" t="str">
        <f ca="1">IFERROR(VLOOKUP($A560,'vbs,vba'!$G:$H,2,FALSE),"")</f>
        <v/>
      </c>
      <c r="C560" t="str">
        <f ca="1">IFERROR(VLOOKUP($A560,python!$I:$J,2,FALSE),"")</f>
        <v>リスト 空チェック</v>
      </c>
      <c r="D560" t="str">
        <f ca="1">IFERROR(VLOOKUP($A560,bat!$F:$G,2,FALSE),"")</f>
        <v/>
      </c>
      <c r="E560" t="str">
        <f ca="1">IFERROR(VLOOKUP($A560,shell!$F:$G,2,FALSE),"")</f>
        <v/>
      </c>
      <c r="F560" t="str">
        <f t="shared" ca="1" si="75"/>
        <v>リスト 空チェック</v>
      </c>
      <c r="G560">
        <f ca="1">IF($F560="","",COUNTIF($F$3:$F560,$F560))</f>
        <v>2</v>
      </c>
      <c r="H560" t="str">
        <f ca="1">IF(OR(G560&gt;1,G560=""),"",COUNTIF($G$3:$G560,1))</f>
        <v/>
      </c>
      <c r="I560" t="str">
        <f t="shared" ca="1" si="76"/>
        <v>リスト 空チェック</v>
      </c>
      <c r="K560">
        <f t="shared" si="80"/>
        <v>557</v>
      </c>
      <c r="L560" t="str">
        <f t="shared" ca="1" si="73"/>
        <v>タプル 初期化</v>
      </c>
      <c r="M560" s="2" t="str">
        <f t="shared" ca="1" si="72"/>
        <v/>
      </c>
      <c r="N560" s="2" t="str">
        <f t="shared" ca="1" si="74"/>
        <v>○</v>
      </c>
      <c r="O560" s="2" t="str">
        <f t="shared" ca="1" si="77"/>
        <v/>
      </c>
      <c r="P560" s="2" t="str">
        <f t="shared" ca="1" si="78"/>
        <v/>
      </c>
    </row>
    <row r="561" spans="1:16">
      <c r="A561">
        <f t="shared" si="79"/>
        <v>558</v>
      </c>
      <c r="B561" t="str">
        <f ca="1">IFERROR(VLOOKUP($A561,'vbs,vba'!$G:$H,2,FALSE),"")</f>
        <v/>
      </c>
      <c r="C561" t="str">
        <f ca="1">IFERROR(VLOOKUP($A561,python!$I:$J,2,FALSE),"")</f>
        <v>リスト 存在チェック</v>
      </c>
      <c r="D561" t="str">
        <f ca="1">IFERROR(VLOOKUP($A561,bat!$F:$G,2,FALSE),"")</f>
        <v/>
      </c>
      <c r="E561" t="str">
        <f ca="1">IFERROR(VLOOKUP($A561,shell!$F:$G,2,FALSE),"")</f>
        <v/>
      </c>
      <c r="F561" t="str">
        <f t="shared" ca="1" si="75"/>
        <v>リスト 存在チェック</v>
      </c>
      <c r="G561">
        <f ca="1">IF($F561="","",COUNTIF($F$3:$F561,$F561))</f>
        <v>1</v>
      </c>
      <c r="H561">
        <f ca="1">IF(OR(G561&gt;1,G561=""),"",COUNTIF($G$3:$G561,1))</f>
        <v>538</v>
      </c>
      <c r="I561" t="str">
        <f t="shared" ca="1" si="76"/>
        <v>リスト 存在チェック</v>
      </c>
      <c r="K561">
        <f t="shared" si="80"/>
        <v>558</v>
      </c>
      <c r="L561" t="str">
        <f t="shared" ca="1" si="73"/>
        <v>タプル 参照</v>
      </c>
      <c r="M561" s="2" t="str">
        <f t="shared" ca="1" si="72"/>
        <v/>
      </c>
      <c r="N561" s="2" t="str">
        <f t="shared" ca="1" si="74"/>
        <v>○</v>
      </c>
      <c r="O561" s="2" t="str">
        <f t="shared" ca="1" si="77"/>
        <v/>
      </c>
      <c r="P561" s="2" t="str">
        <f t="shared" ca="1" si="78"/>
        <v/>
      </c>
    </row>
    <row r="562" spans="1:16">
      <c r="A562">
        <f t="shared" si="79"/>
        <v>559</v>
      </c>
      <c r="B562" t="str">
        <f ca="1">IFERROR(VLOOKUP($A562,'vbs,vba'!$G:$H,2,FALSE),"")</f>
        <v/>
      </c>
      <c r="C562" t="str">
        <f ca="1">IFERROR(VLOOKUP($A562,python!$I:$J,2,FALSE),"")</f>
        <v>リスト 削除</v>
      </c>
      <c r="D562" t="str">
        <f ca="1">IFERROR(VLOOKUP($A562,bat!$F:$G,2,FALSE),"")</f>
        <v/>
      </c>
      <c r="E562" t="str">
        <f ca="1">IFERROR(VLOOKUP($A562,shell!$F:$G,2,FALSE),"")</f>
        <v/>
      </c>
      <c r="F562" t="str">
        <f t="shared" ca="1" si="75"/>
        <v>リスト 削除</v>
      </c>
      <c r="G562">
        <f ca="1">IF($F562="","",COUNTIF($F$3:$F562,$F562))</f>
        <v>1</v>
      </c>
      <c r="H562">
        <f ca="1">IF(OR(G562&gt;1,G562=""),"",COUNTIF($G$3:$G562,1))</f>
        <v>539</v>
      </c>
      <c r="I562" t="str">
        <f t="shared" ca="1" si="76"/>
        <v>リスト 削除</v>
      </c>
      <c r="K562">
        <f t="shared" si="80"/>
        <v>559</v>
      </c>
      <c r="L562" t="str">
        <f t="shared" ca="1" si="73"/>
        <v>タプル 参照（複数要素）</v>
      </c>
      <c r="M562" s="2" t="str">
        <f t="shared" ref="M562:M625" ca="1" si="81">IF($L562="","",IF(COUNTIF(B$3:B$1004,$L562)&gt;0,"○",""))</f>
        <v/>
      </c>
      <c r="N562" s="2" t="str">
        <f t="shared" ca="1" si="74"/>
        <v>○</v>
      </c>
      <c r="O562" s="2" t="str">
        <f t="shared" ca="1" si="77"/>
        <v/>
      </c>
      <c r="P562" s="2" t="str">
        <f t="shared" ca="1" si="78"/>
        <v/>
      </c>
    </row>
    <row r="563" spans="1:16">
      <c r="A563">
        <f t="shared" si="79"/>
        <v>560</v>
      </c>
      <c r="B563" t="str">
        <f ca="1">IFERROR(VLOOKUP($A563,'vbs,vba'!$G:$H,2,FALSE),"")</f>
        <v/>
      </c>
      <c r="C563" t="str">
        <f ca="1">IFERROR(VLOOKUP($A563,python!$I:$J,2,FALSE),"")</f>
        <v>リスト 末尾取り出し</v>
      </c>
      <c r="D563" t="str">
        <f ca="1">IFERROR(VLOOKUP($A563,bat!$F:$G,2,FALSE),"")</f>
        <v/>
      </c>
      <c r="E563" t="str">
        <f ca="1">IFERROR(VLOOKUP($A563,shell!$F:$G,2,FALSE),"")</f>
        <v/>
      </c>
      <c r="F563" t="str">
        <f t="shared" ca="1" si="75"/>
        <v>リスト 末尾取り出し</v>
      </c>
      <c r="G563">
        <f ca="1">IF($F563="","",COUNTIF($F$3:$F563,$F563))</f>
        <v>1</v>
      </c>
      <c r="H563">
        <f ca="1">IF(OR(G563&gt;1,G563=""),"",COUNTIF($G$3:$G563,1))</f>
        <v>540</v>
      </c>
      <c r="I563" t="str">
        <f t="shared" ca="1" si="76"/>
        <v>リスト 末尾取り出し</v>
      </c>
      <c r="K563">
        <f t="shared" si="80"/>
        <v>560</v>
      </c>
      <c r="L563" t="str">
        <f t="shared" ca="1" si="73"/>
        <v>タプル 変数代入（アンパック）</v>
      </c>
      <c r="M563" s="2" t="str">
        <f t="shared" ca="1" si="81"/>
        <v/>
      </c>
      <c r="N563" s="2" t="str">
        <f t="shared" ca="1" si="74"/>
        <v>○</v>
      </c>
      <c r="O563" s="2" t="str">
        <f t="shared" ca="1" si="77"/>
        <v/>
      </c>
      <c r="P563" s="2" t="str">
        <f t="shared" ca="1" si="78"/>
        <v/>
      </c>
    </row>
    <row r="564" spans="1:16">
      <c r="A564">
        <f t="shared" si="79"/>
        <v>561</v>
      </c>
      <c r="B564" t="str">
        <f ca="1">IFERROR(VLOOKUP($A564,'vbs,vba'!$G:$H,2,FALSE),"")</f>
        <v/>
      </c>
      <c r="C564" t="str">
        <f ca="1">IFERROR(VLOOKUP($A564,python!$I:$J,2,FALSE),"")</f>
        <v>リスト 要素番号取得</v>
      </c>
      <c r="D564" t="str">
        <f ca="1">IFERROR(VLOOKUP($A564,bat!$F:$G,2,FALSE),"")</f>
        <v/>
      </c>
      <c r="E564" t="str">
        <f ca="1">IFERROR(VLOOKUP($A564,shell!$F:$G,2,FALSE),"")</f>
        <v/>
      </c>
      <c r="F564" t="str">
        <f t="shared" ca="1" si="75"/>
        <v>リスト 要素番号取得</v>
      </c>
      <c r="G564">
        <f ca="1">IF($F564="","",COUNTIF($F$3:$F564,$F564))</f>
        <v>1</v>
      </c>
      <c r="H564">
        <f ca="1">IF(OR(G564&gt;1,G564=""),"",COUNTIF($G$3:$G564,1))</f>
        <v>541</v>
      </c>
      <c r="I564" t="str">
        <f t="shared" ca="1" si="76"/>
        <v>リスト 要素番号取得</v>
      </c>
      <c r="K564">
        <f t="shared" si="80"/>
        <v>561</v>
      </c>
      <c r="L564" t="str">
        <f t="shared" ca="1" si="73"/>
        <v>タプル 要素数取得</v>
      </c>
      <c r="M564" s="2" t="str">
        <f t="shared" ca="1" si="81"/>
        <v/>
      </c>
      <c r="N564" s="2" t="str">
        <f t="shared" ca="1" si="74"/>
        <v>○</v>
      </c>
      <c r="O564" s="2" t="str">
        <f t="shared" ca="1" si="77"/>
        <v/>
      </c>
      <c r="P564" s="2" t="str">
        <f t="shared" ca="1" si="78"/>
        <v/>
      </c>
    </row>
    <row r="565" spans="1:16">
      <c r="A565">
        <f t="shared" si="79"/>
        <v>562</v>
      </c>
      <c r="B565" t="str">
        <f ca="1">IFERROR(VLOOKUP($A565,'vbs,vba'!$G:$H,2,FALSE),"")</f>
        <v/>
      </c>
      <c r="C565" t="str">
        <f ca="1">IFERROR(VLOOKUP($A565,python!$I:$J,2,FALSE),"")</f>
        <v>リスト 要素数取得</v>
      </c>
      <c r="D565" t="str">
        <f ca="1">IFERROR(VLOOKUP($A565,bat!$F:$G,2,FALSE),"")</f>
        <v/>
      </c>
      <c r="E565" t="str">
        <f ca="1">IFERROR(VLOOKUP($A565,shell!$F:$G,2,FALSE),"")</f>
        <v/>
      </c>
      <c r="F565" t="str">
        <f t="shared" ca="1" si="75"/>
        <v>リスト 要素数取得</v>
      </c>
      <c r="G565">
        <f ca="1">IF($F565="","",COUNTIF($F$3:$F565,$F565))</f>
        <v>1</v>
      </c>
      <c r="H565">
        <f ca="1">IF(OR(G565&gt;1,G565=""),"",COUNTIF($G$3:$G565,1))</f>
        <v>542</v>
      </c>
      <c r="I565" t="str">
        <f t="shared" ca="1" si="76"/>
        <v>リスト 要素数取得</v>
      </c>
      <c r="K565">
        <f t="shared" si="80"/>
        <v>562</v>
      </c>
      <c r="L565" t="str">
        <f t="shared" ca="1" si="73"/>
        <v>タプル 要素番号取得</v>
      </c>
      <c r="M565" s="2" t="str">
        <f t="shared" ca="1" si="81"/>
        <v/>
      </c>
      <c r="N565" s="2" t="str">
        <f t="shared" ca="1" si="74"/>
        <v>○</v>
      </c>
      <c r="O565" s="2" t="str">
        <f t="shared" ca="1" si="77"/>
        <v/>
      </c>
      <c r="P565" s="2" t="str">
        <f t="shared" ca="1" si="78"/>
        <v/>
      </c>
    </row>
    <row r="566" spans="1:16">
      <c r="A566">
        <f t="shared" si="79"/>
        <v>563</v>
      </c>
      <c r="B566" t="str">
        <f ca="1">IFERROR(VLOOKUP($A566,'vbs,vba'!$G:$H,2,FALSE),"")</f>
        <v/>
      </c>
      <c r="C566" t="str">
        <f ca="1">IFERROR(VLOOKUP($A566,python!$I:$J,2,FALSE),"")</f>
        <v>リスト 要素数取得</v>
      </c>
      <c r="D566" t="str">
        <f ca="1">IFERROR(VLOOKUP($A566,bat!$F:$G,2,FALSE),"")</f>
        <v/>
      </c>
      <c r="E566" t="str">
        <f ca="1">IFERROR(VLOOKUP($A566,shell!$F:$G,2,FALSE),"")</f>
        <v/>
      </c>
      <c r="F566" t="str">
        <f t="shared" ca="1" si="75"/>
        <v>リスト 要素数取得</v>
      </c>
      <c r="G566">
        <f ca="1">IF($F566="","",COUNTIF($F$3:$F566,$F566))</f>
        <v>2</v>
      </c>
      <c r="H566" t="str">
        <f ca="1">IF(OR(G566&gt;1,G566=""),"",COUNTIF($G$3:$G566,1))</f>
        <v/>
      </c>
      <c r="I566" t="str">
        <f t="shared" ca="1" si="76"/>
        <v>リスト 要素数取得</v>
      </c>
      <c r="K566">
        <f t="shared" si="80"/>
        <v>563</v>
      </c>
      <c r="L566" t="str">
        <f t="shared" ca="1" si="73"/>
        <v>タプル 削除</v>
      </c>
      <c r="M566" s="2" t="str">
        <f t="shared" ca="1" si="81"/>
        <v/>
      </c>
      <c r="N566" s="2" t="str">
        <f t="shared" ca="1" si="74"/>
        <v>○</v>
      </c>
      <c r="O566" s="2" t="str">
        <f t="shared" ca="1" si="77"/>
        <v/>
      </c>
      <c r="P566" s="2" t="str">
        <f t="shared" ca="1" si="78"/>
        <v/>
      </c>
    </row>
    <row r="567" spans="1:16">
      <c r="A567">
        <f t="shared" si="79"/>
        <v>564</v>
      </c>
      <c r="B567" t="str">
        <f ca="1">IFERROR(VLOOKUP($A567,'vbs,vba'!$G:$H,2,FALSE),"")</f>
        <v/>
      </c>
      <c r="C567" t="str">
        <f ca="1">IFERROR(VLOOKUP($A567,python!$I:$J,2,FALSE),"")</f>
        <v>リスト 追加（末尾）</v>
      </c>
      <c r="D567" t="str">
        <f ca="1">IFERROR(VLOOKUP($A567,bat!$F:$G,2,FALSE),"")</f>
        <v/>
      </c>
      <c r="E567" t="str">
        <f ca="1">IFERROR(VLOOKUP($A567,shell!$F:$G,2,FALSE),"")</f>
        <v/>
      </c>
      <c r="F567" t="str">
        <f t="shared" ca="1" si="75"/>
        <v>リスト 追加（末尾）</v>
      </c>
      <c r="G567">
        <f ca="1">IF($F567="","",COUNTIF($F$3:$F567,$F567))</f>
        <v>1</v>
      </c>
      <c r="H567">
        <f ca="1">IF(OR(G567&gt;1,G567=""),"",COUNTIF($G$3:$G567,1))</f>
        <v>543</v>
      </c>
      <c r="I567" t="str">
        <f t="shared" ca="1" si="76"/>
        <v>リスト 追加（末尾）</v>
      </c>
      <c r="K567">
        <f t="shared" si="80"/>
        <v>564</v>
      </c>
      <c r="L567" t="str">
        <f t="shared" ca="1" si="73"/>
        <v>タプル 末尾取り出し</v>
      </c>
      <c r="M567" s="2" t="str">
        <f t="shared" ca="1" si="81"/>
        <v/>
      </c>
      <c r="N567" s="2" t="str">
        <f t="shared" ca="1" si="74"/>
        <v>○</v>
      </c>
      <c r="O567" s="2" t="str">
        <f t="shared" ca="1" si="77"/>
        <v/>
      </c>
      <c r="P567" s="2" t="str">
        <f t="shared" ca="1" si="78"/>
        <v/>
      </c>
    </row>
    <row r="568" spans="1:16">
      <c r="A568">
        <f t="shared" si="79"/>
        <v>565</v>
      </c>
      <c r="B568" t="str">
        <f ca="1">IFERROR(VLOOKUP($A568,'vbs,vba'!$G:$H,2,FALSE),"")</f>
        <v/>
      </c>
      <c r="C568" t="str">
        <f ca="1">IFERROR(VLOOKUP($A568,python!$I:$J,2,FALSE),"")</f>
        <v>リスト 追加（中間）</v>
      </c>
      <c r="D568" t="str">
        <f ca="1">IFERROR(VLOOKUP($A568,bat!$F:$G,2,FALSE),"")</f>
        <v/>
      </c>
      <c r="E568" t="str">
        <f ca="1">IFERROR(VLOOKUP($A568,shell!$F:$G,2,FALSE),"")</f>
        <v/>
      </c>
      <c r="F568" t="str">
        <f t="shared" ca="1" si="75"/>
        <v>リスト 追加（中間）</v>
      </c>
      <c r="G568">
        <f ca="1">IF($F568="","",COUNTIF($F$3:$F568,$F568))</f>
        <v>1</v>
      </c>
      <c r="H568">
        <f ca="1">IF(OR(G568&gt;1,G568=""),"",COUNTIF($G$3:$G568,1))</f>
        <v>544</v>
      </c>
      <c r="I568" t="str">
        <f t="shared" ca="1" si="76"/>
        <v>リスト 追加（中間）</v>
      </c>
      <c r="K568">
        <f t="shared" si="80"/>
        <v>565</v>
      </c>
      <c r="L568" t="str">
        <f t="shared" ca="1" si="73"/>
        <v>タプル 追加</v>
      </c>
      <c r="M568" s="2" t="str">
        <f t="shared" ca="1" si="81"/>
        <v/>
      </c>
      <c r="N568" s="2" t="str">
        <f t="shared" ca="1" si="74"/>
        <v>○</v>
      </c>
      <c r="O568" s="2" t="str">
        <f t="shared" ca="1" si="77"/>
        <v/>
      </c>
      <c r="P568" s="2" t="str">
        <f t="shared" ca="1" si="78"/>
        <v/>
      </c>
    </row>
    <row r="569" spans="1:16">
      <c r="A569">
        <f t="shared" si="79"/>
        <v>566</v>
      </c>
      <c r="B569" t="str">
        <f ca="1">IFERROR(VLOOKUP($A569,'vbs,vba'!$G:$H,2,FALSE),"")</f>
        <v/>
      </c>
      <c r="C569" t="str">
        <f ca="1">IFERROR(VLOOKUP($A569,python!$I:$J,2,FALSE),"")</f>
        <v>リスト 連結</v>
      </c>
      <c r="D569" t="str">
        <f ca="1">IFERROR(VLOOKUP($A569,bat!$F:$G,2,FALSE),"")</f>
        <v/>
      </c>
      <c r="E569" t="str">
        <f ca="1">IFERROR(VLOOKUP($A569,shell!$F:$G,2,FALSE),"")</f>
        <v/>
      </c>
      <c r="F569" t="str">
        <f t="shared" ca="1" si="75"/>
        <v>リスト 連結</v>
      </c>
      <c r="G569">
        <f ca="1">IF($F569="","",COUNTIF($F$3:$F569,$F569))</f>
        <v>1</v>
      </c>
      <c r="H569">
        <f ca="1">IF(OR(G569&gt;1,G569=""),"",COUNTIF($G$3:$G569,1))</f>
        <v>545</v>
      </c>
      <c r="I569" t="str">
        <f t="shared" ca="1" si="76"/>
        <v>リスト 連結</v>
      </c>
      <c r="K569">
        <f t="shared" si="80"/>
        <v>566</v>
      </c>
      <c r="L569" t="str">
        <f t="shared" ca="1" si="73"/>
        <v>タプル 連結</v>
      </c>
      <c r="M569" s="2" t="str">
        <f t="shared" ca="1" si="81"/>
        <v/>
      </c>
      <c r="N569" s="2" t="str">
        <f t="shared" ca="1" si="74"/>
        <v>○</v>
      </c>
      <c r="O569" s="2" t="str">
        <f t="shared" ca="1" si="77"/>
        <v/>
      </c>
      <c r="P569" s="2" t="str">
        <f t="shared" ca="1" si="78"/>
        <v/>
      </c>
    </row>
    <row r="570" spans="1:16">
      <c r="A570">
        <f t="shared" si="79"/>
        <v>567</v>
      </c>
      <c r="B570" t="str">
        <f ca="1">IFERROR(VLOOKUP($A570,'vbs,vba'!$G:$H,2,FALSE),"")</f>
        <v/>
      </c>
      <c r="C570" t="str">
        <f ca="1">IFERROR(VLOOKUP($A570,python!$I:$J,2,FALSE),"")</f>
        <v>リスト 反転</v>
      </c>
      <c r="D570" t="str">
        <f ca="1">IFERROR(VLOOKUP($A570,bat!$F:$G,2,FALSE),"")</f>
        <v/>
      </c>
      <c r="E570" t="str">
        <f ca="1">IFERROR(VLOOKUP($A570,shell!$F:$G,2,FALSE),"")</f>
        <v/>
      </c>
      <c r="F570" t="str">
        <f t="shared" ca="1" si="75"/>
        <v>リスト 反転</v>
      </c>
      <c r="G570">
        <f ca="1">IF($F570="","",COUNTIF($F$3:$F570,$F570))</f>
        <v>1</v>
      </c>
      <c r="H570">
        <f ca="1">IF(OR(G570&gt;1,G570=""),"",COUNTIF($G$3:$G570,1))</f>
        <v>546</v>
      </c>
      <c r="I570" t="str">
        <f t="shared" ca="1" si="76"/>
        <v>リスト 反転</v>
      </c>
      <c r="K570">
        <f t="shared" si="80"/>
        <v>567</v>
      </c>
      <c r="L570" t="str">
        <f t="shared" ca="1" si="73"/>
        <v>タプル 反転</v>
      </c>
      <c r="M570" s="2" t="str">
        <f t="shared" ca="1" si="81"/>
        <v/>
      </c>
      <c r="N570" s="2" t="str">
        <f t="shared" ca="1" si="74"/>
        <v>○</v>
      </c>
      <c r="O570" s="2" t="str">
        <f t="shared" ca="1" si="77"/>
        <v/>
      </c>
      <c r="P570" s="2" t="str">
        <f t="shared" ca="1" si="78"/>
        <v/>
      </c>
    </row>
    <row r="571" spans="1:16">
      <c r="A571">
        <f t="shared" si="79"/>
        <v>568</v>
      </c>
      <c r="B571" t="str">
        <f ca="1">IFERROR(VLOOKUP($A571,'vbs,vba'!$G:$H,2,FALSE),"")</f>
        <v/>
      </c>
      <c r="C571" t="str">
        <f ca="1">IFERROR(VLOOKUP($A571,python!$I:$J,2,FALSE),"")</f>
        <v>リスト 反転（イテレータ）</v>
      </c>
      <c r="D571" t="str">
        <f ca="1">IFERROR(VLOOKUP($A571,bat!$F:$G,2,FALSE),"")</f>
        <v/>
      </c>
      <c r="E571" t="str">
        <f ca="1">IFERROR(VLOOKUP($A571,shell!$F:$G,2,FALSE),"")</f>
        <v/>
      </c>
      <c r="F571" t="str">
        <f t="shared" ca="1" si="75"/>
        <v>リスト 反転（イテレータ）</v>
      </c>
      <c r="G571">
        <f ca="1">IF($F571="","",COUNTIF($F$3:$F571,$F571))</f>
        <v>1</v>
      </c>
      <c r="H571">
        <f ca="1">IF(OR(G571&gt;1,G571=""),"",COUNTIF($G$3:$G571,1))</f>
        <v>547</v>
      </c>
      <c r="I571" t="str">
        <f t="shared" ca="1" si="76"/>
        <v>リスト 反転（イテレータ）</v>
      </c>
      <c r="K571">
        <f t="shared" si="80"/>
        <v>568</v>
      </c>
      <c r="L571" t="str">
        <f t="shared" ca="1" si="73"/>
        <v>タプル リスト→タプル変換</v>
      </c>
      <c r="M571" s="2" t="str">
        <f t="shared" ca="1" si="81"/>
        <v/>
      </c>
      <c r="N571" s="2" t="str">
        <f t="shared" ca="1" si="74"/>
        <v>○</v>
      </c>
      <c r="O571" s="2" t="str">
        <f t="shared" ca="1" si="77"/>
        <v/>
      </c>
      <c r="P571" s="2" t="str">
        <f t="shared" ca="1" si="78"/>
        <v/>
      </c>
    </row>
    <row r="572" spans="1:16">
      <c r="A572">
        <f t="shared" si="79"/>
        <v>569</v>
      </c>
      <c r="B572" t="str">
        <f ca="1">IFERROR(VLOOKUP($A572,'vbs,vba'!$G:$H,2,FALSE),"")</f>
        <v/>
      </c>
      <c r="C572" t="str">
        <f ca="1">IFERROR(VLOOKUP($A572,python!$I:$J,2,FALSE),"")</f>
        <v>リスト 非破壊並べ替え</v>
      </c>
      <c r="D572" t="str">
        <f ca="1">IFERROR(VLOOKUP($A572,bat!$F:$G,2,FALSE),"")</f>
        <v/>
      </c>
      <c r="E572" t="str">
        <f ca="1">IFERROR(VLOOKUP($A572,shell!$F:$G,2,FALSE),"")</f>
        <v/>
      </c>
      <c r="F572" t="str">
        <f t="shared" ca="1" si="75"/>
        <v>リスト 非破壊並べ替え</v>
      </c>
      <c r="G572">
        <f ca="1">IF($F572="","",COUNTIF($F$3:$F572,$F572))</f>
        <v>1</v>
      </c>
      <c r="H572">
        <f ca="1">IF(OR(G572&gt;1,G572=""),"",COUNTIF($G$3:$G572,1))</f>
        <v>548</v>
      </c>
      <c r="I572" t="str">
        <f t="shared" ca="1" si="76"/>
        <v>リスト 非破壊並べ替え</v>
      </c>
      <c r="K572">
        <f t="shared" si="80"/>
        <v>569</v>
      </c>
      <c r="L572" t="str">
        <f t="shared" ca="1" si="73"/>
        <v>タプル タプル→リスト変換</v>
      </c>
      <c r="M572" s="2" t="str">
        <f t="shared" ca="1" si="81"/>
        <v/>
      </c>
      <c r="N572" s="2" t="str">
        <f t="shared" ca="1" si="74"/>
        <v>○</v>
      </c>
      <c r="O572" s="2" t="str">
        <f t="shared" ca="1" si="77"/>
        <v/>
      </c>
      <c r="P572" s="2" t="str">
        <f t="shared" ca="1" si="78"/>
        <v/>
      </c>
    </row>
    <row r="573" spans="1:16">
      <c r="A573">
        <f t="shared" si="79"/>
        <v>570</v>
      </c>
      <c r="B573" t="str">
        <f ca="1">IFERROR(VLOOKUP($A573,'vbs,vba'!$G:$H,2,FALSE),"")</f>
        <v/>
      </c>
      <c r="C573" t="str">
        <f ca="1">IFERROR(VLOOKUP($A573,python!$I:$J,2,FALSE),"")</f>
        <v>リスト 非破壊並べ替え（逆順）</v>
      </c>
      <c r="D573" t="str">
        <f ca="1">IFERROR(VLOOKUP($A573,bat!$F:$G,2,FALSE),"")</f>
        <v/>
      </c>
      <c r="E573" t="str">
        <f ca="1">IFERROR(VLOOKUP($A573,shell!$F:$G,2,FALSE),"")</f>
        <v/>
      </c>
      <c r="F573" t="str">
        <f t="shared" ca="1" si="75"/>
        <v>リスト 非破壊並べ替え（逆順）</v>
      </c>
      <c r="G573">
        <f ca="1">IF($F573="","",COUNTIF($F$3:$F573,$F573))</f>
        <v>1</v>
      </c>
      <c r="H573">
        <f ca="1">IF(OR(G573&gt;1,G573=""),"",COUNTIF($G$3:$G573,1))</f>
        <v>549</v>
      </c>
      <c r="I573" t="str">
        <f t="shared" ca="1" si="76"/>
        <v>リスト 非破壊並べ替え（逆順）</v>
      </c>
      <c r="K573">
        <f t="shared" si="80"/>
        <v>570</v>
      </c>
      <c r="L573" t="str">
        <f t="shared" ca="1" si="73"/>
        <v>集合 初期化（初期値なし）</v>
      </c>
      <c r="M573" s="2" t="str">
        <f t="shared" ca="1" si="81"/>
        <v/>
      </c>
      <c r="N573" s="2" t="str">
        <f t="shared" ca="1" si="74"/>
        <v>○</v>
      </c>
      <c r="O573" s="2" t="str">
        <f t="shared" ca="1" si="77"/>
        <v/>
      </c>
      <c r="P573" s="2" t="str">
        <f t="shared" ca="1" si="78"/>
        <v/>
      </c>
    </row>
    <row r="574" spans="1:16">
      <c r="A574">
        <f t="shared" si="79"/>
        <v>571</v>
      </c>
      <c r="B574" t="str">
        <f ca="1">IFERROR(VLOOKUP($A574,'vbs,vba'!$G:$H,2,FALSE),"")</f>
        <v/>
      </c>
      <c r="C574" t="str">
        <f ca="1">IFERROR(VLOOKUP($A574,python!$I:$J,2,FALSE),"")</f>
        <v>リスト 非破壊並べ替え（ソートアルゴリズム指定）</v>
      </c>
      <c r="D574" t="str">
        <f ca="1">IFERROR(VLOOKUP($A574,bat!$F:$G,2,FALSE),"")</f>
        <v/>
      </c>
      <c r="E574" t="str">
        <f ca="1">IFERROR(VLOOKUP($A574,shell!$F:$G,2,FALSE),"")</f>
        <v/>
      </c>
      <c r="F574" t="str">
        <f t="shared" ca="1" si="75"/>
        <v>リスト 非破壊並べ替え（ソートアルゴリズム指定）</v>
      </c>
      <c r="G574">
        <f ca="1">IF($F574="","",COUNTIF($F$3:$F574,$F574))</f>
        <v>1</v>
      </c>
      <c r="H574">
        <f ca="1">IF(OR(G574&gt;1,G574=""),"",COUNTIF($G$3:$G574,1))</f>
        <v>550</v>
      </c>
      <c r="I574" t="str">
        <f t="shared" ca="1" si="76"/>
        <v>リスト 非破壊並べ替え（ソートアルゴリズム指定）</v>
      </c>
      <c r="K574">
        <f t="shared" si="80"/>
        <v>571</v>
      </c>
      <c r="L574" t="str">
        <f t="shared" ca="1" si="73"/>
        <v>集合 初期化（初期値あり）</v>
      </c>
      <c r="M574" s="2" t="str">
        <f t="shared" ca="1" si="81"/>
        <v/>
      </c>
      <c r="N574" s="2" t="str">
        <f t="shared" ca="1" si="74"/>
        <v>○</v>
      </c>
      <c r="O574" s="2" t="str">
        <f t="shared" ca="1" si="77"/>
        <v/>
      </c>
      <c r="P574" s="2" t="str">
        <f t="shared" ca="1" si="78"/>
        <v/>
      </c>
    </row>
    <row r="575" spans="1:16">
      <c r="A575">
        <f t="shared" si="79"/>
        <v>572</v>
      </c>
      <c r="B575" t="str">
        <f ca="1">IFERROR(VLOOKUP($A575,'vbs,vba'!$G:$H,2,FALSE),"")</f>
        <v/>
      </c>
      <c r="C575" t="str">
        <f ca="1">IFERROR(VLOOKUP($A575,python!$I:$J,2,FALSE),"")</f>
        <v>リスト 破壊並べ替え</v>
      </c>
      <c r="D575" t="str">
        <f ca="1">IFERROR(VLOOKUP($A575,bat!$F:$G,2,FALSE),"")</f>
        <v/>
      </c>
      <c r="E575" t="str">
        <f ca="1">IFERROR(VLOOKUP($A575,shell!$F:$G,2,FALSE),"")</f>
        <v/>
      </c>
      <c r="F575" t="str">
        <f t="shared" ca="1" si="75"/>
        <v>リスト 破壊並べ替え</v>
      </c>
      <c r="G575">
        <f ca="1">IF($F575="","",COUNTIF($F$3:$F575,$F575))</f>
        <v>1</v>
      </c>
      <c r="H575">
        <f ca="1">IF(OR(G575&gt;1,G575=""),"",COUNTIF($G$3:$G575,1))</f>
        <v>551</v>
      </c>
      <c r="I575" t="str">
        <f t="shared" ca="1" si="76"/>
        <v>リスト 破壊並べ替え</v>
      </c>
      <c r="K575">
        <f t="shared" si="80"/>
        <v>572</v>
      </c>
      <c r="L575" t="str">
        <f t="shared" ca="1" si="73"/>
        <v>集合 参照</v>
      </c>
      <c r="M575" s="2" t="str">
        <f t="shared" ca="1" si="81"/>
        <v/>
      </c>
      <c r="N575" s="2" t="str">
        <f t="shared" ca="1" si="74"/>
        <v>○</v>
      </c>
      <c r="O575" s="2" t="str">
        <f t="shared" ca="1" si="77"/>
        <v/>
      </c>
      <c r="P575" s="2" t="str">
        <f t="shared" ca="1" si="78"/>
        <v/>
      </c>
    </row>
    <row r="576" spans="1:16">
      <c r="A576">
        <f t="shared" si="79"/>
        <v>573</v>
      </c>
      <c r="B576" t="str">
        <f ca="1">IFERROR(VLOOKUP($A576,'vbs,vba'!$G:$H,2,FALSE),"")</f>
        <v/>
      </c>
      <c r="C576" t="str">
        <f ca="1">IFERROR(VLOOKUP($A576,python!$I:$J,2,FALSE),"")</f>
        <v>リスト 破壊並べ替え（逆順）</v>
      </c>
      <c r="D576" t="str">
        <f ca="1">IFERROR(VLOOKUP($A576,bat!$F:$G,2,FALSE),"")</f>
        <v/>
      </c>
      <c r="E576" t="str">
        <f ca="1">IFERROR(VLOOKUP($A576,shell!$F:$G,2,FALSE),"")</f>
        <v/>
      </c>
      <c r="F576" t="str">
        <f t="shared" ca="1" si="75"/>
        <v>リスト 破壊並べ替え（逆順）</v>
      </c>
      <c r="G576">
        <f ca="1">IF($F576="","",COUNTIF($F$3:$F576,$F576))</f>
        <v>1</v>
      </c>
      <c r="H576">
        <f ca="1">IF(OR(G576&gt;1,G576=""),"",COUNTIF($G$3:$G576,1))</f>
        <v>552</v>
      </c>
      <c r="I576" t="str">
        <f t="shared" ca="1" si="76"/>
        <v>リスト 破壊並べ替え（逆順）</v>
      </c>
      <c r="K576">
        <f t="shared" si="80"/>
        <v>573</v>
      </c>
      <c r="L576" t="str">
        <f t="shared" ca="1" si="73"/>
        <v>集合 参照（複数要素）</v>
      </c>
      <c r="M576" s="2" t="str">
        <f t="shared" ca="1" si="81"/>
        <v/>
      </c>
      <c r="N576" s="2" t="str">
        <f t="shared" ca="1" si="74"/>
        <v>○</v>
      </c>
      <c r="O576" s="2" t="str">
        <f t="shared" ca="1" si="77"/>
        <v/>
      </c>
      <c r="P576" s="2" t="str">
        <f t="shared" ca="1" si="78"/>
        <v/>
      </c>
    </row>
    <row r="577" spans="1:16">
      <c r="A577">
        <f t="shared" si="79"/>
        <v>574</v>
      </c>
      <c r="B577" t="str">
        <f ca="1">IFERROR(VLOOKUP($A577,'vbs,vba'!$G:$H,2,FALSE),"")</f>
        <v/>
      </c>
      <c r="C577" t="str">
        <f ca="1">IFERROR(VLOOKUP($A577,python!$I:$J,2,FALSE),"")</f>
        <v>リスト 破壊並べ替え（ソートアルゴリズム指定）</v>
      </c>
      <c r="D577" t="str">
        <f ca="1">IFERROR(VLOOKUP($A577,bat!$F:$G,2,FALSE),"")</f>
        <v/>
      </c>
      <c r="E577" t="str">
        <f ca="1">IFERROR(VLOOKUP($A577,shell!$F:$G,2,FALSE),"")</f>
        <v/>
      </c>
      <c r="F577" t="str">
        <f t="shared" ca="1" si="75"/>
        <v>リスト 破壊並べ替え（ソートアルゴリズム指定）</v>
      </c>
      <c r="G577">
        <f ca="1">IF($F577="","",COUNTIF($F$3:$F577,$F577))</f>
        <v>1</v>
      </c>
      <c r="H577">
        <f ca="1">IF(OR(G577&gt;1,G577=""),"",COUNTIF($G$3:$G577,1))</f>
        <v>553</v>
      </c>
      <c r="I577" t="str">
        <f t="shared" ca="1" si="76"/>
        <v>リスト 破壊並べ替え（ソートアルゴリズム指定）</v>
      </c>
      <c r="K577">
        <f t="shared" si="80"/>
        <v>574</v>
      </c>
      <c r="L577" t="str">
        <f t="shared" ca="1" si="73"/>
        <v>集合 存在確認</v>
      </c>
      <c r="M577" s="2" t="str">
        <f t="shared" ca="1" si="81"/>
        <v/>
      </c>
      <c r="N577" s="2" t="str">
        <f t="shared" ca="1" si="74"/>
        <v>○</v>
      </c>
      <c r="O577" s="2" t="str">
        <f t="shared" ca="1" si="77"/>
        <v/>
      </c>
      <c r="P577" s="2" t="str">
        <f t="shared" ca="1" si="78"/>
        <v/>
      </c>
    </row>
    <row r="578" spans="1:16">
      <c r="A578">
        <f t="shared" si="79"/>
        <v>575</v>
      </c>
      <c r="B578" t="str">
        <f ca="1">IFERROR(VLOOKUP($A578,'vbs,vba'!$G:$H,2,FALSE),"")</f>
        <v/>
      </c>
      <c r="C578" t="str">
        <f ca="1">IFERROR(VLOOKUP($A578,python!$I:$J,2,FALSE),"")</f>
        <v>リスト 繰り返し</v>
      </c>
      <c r="D578" t="str">
        <f ca="1">IFERROR(VLOOKUP($A578,bat!$F:$G,2,FALSE),"")</f>
        <v/>
      </c>
      <c r="E578" t="str">
        <f ca="1">IFERROR(VLOOKUP($A578,shell!$F:$G,2,FALSE),"")</f>
        <v/>
      </c>
      <c r="F578" t="str">
        <f t="shared" ca="1" si="75"/>
        <v>リスト 繰り返し</v>
      </c>
      <c r="G578">
        <f ca="1">IF($F578="","",COUNTIF($F$3:$F578,$F578))</f>
        <v>1</v>
      </c>
      <c r="H578">
        <f ca="1">IF(OR(G578&gt;1,G578=""),"",COUNTIF($G$3:$G578,1))</f>
        <v>554</v>
      </c>
      <c r="I578" t="str">
        <f t="shared" ca="1" si="76"/>
        <v>リスト 繰り返し</v>
      </c>
      <c r="K578">
        <f t="shared" si="80"/>
        <v>575</v>
      </c>
      <c r="L578" t="str">
        <f t="shared" ca="1" si="73"/>
        <v>集合 変数代入（アンパック）</v>
      </c>
      <c r="M578" s="2" t="str">
        <f t="shared" ca="1" si="81"/>
        <v/>
      </c>
      <c r="N578" s="2" t="str">
        <f t="shared" ca="1" si="74"/>
        <v>○</v>
      </c>
      <c r="O578" s="2" t="str">
        <f t="shared" ca="1" si="77"/>
        <v/>
      </c>
      <c r="P578" s="2" t="str">
        <f t="shared" ca="1" si="78"/>
        <v/>
      </c>
    </row>
    <row r="579" spans="1:16">
      <c r="A579">
        <f t="shared" si="79"/>
        <v>576</v>
      </c>
      <c r="B579" t="str">
        <f ca="1">IFERROR(VLOOKUP($A579,'vbs,vba'!$G:$H,2,FALSE),"")</f>
        <v/>
      </c>
      <c r="C579" t="str">
        <f ca="1">IFERROR(VLOOKUP($A579,python!$I:$J,2,FALSE),"")</f>
        <v>リスト 繰り返し（enumerate）</v>
      </c>
      <c r="D579" t="str">
        <f ca="1">IFERROR(VLOOKUP($A579,bat!$F:$G,2,FALSE),"")</f>
        <v/>
      </c>
      <c r="E579" t="str">
        <f ca="1">IFERROR(VLOOKUP($A579,shell!$F:$G,2,FALSE),"")</f>
        <v/>
      </c>
      <c r="F579" t="str">
        <f t="shared" ca="1" si="75"/>
        <v>リスト 繰り返し（enumerate）</v>
      </c>
      <c r="G579">
        <f ca="1">IF($F579="","",COUNTIF($F$3:$F579,$F579))</f>
        <v>1</v>
      </c>
      <c r="H579">
        <f ca="1">IF(OR(G579&gt;1,G579=""),"",COUNTIF($G$3:$G579,1))</f>
        <v>555</v>
      </c>
      <c r="I579" t="str">
        <f t="shared" ca="1" si="76"/>
        <v>リスト 繰り返し（enumerate）</v>
      </c>
      <c r="K579">
        <f t="shared" si="80"/>
        <v>576</v>
      </c>
      <c r="L579" t="str">
        <f t="shared" ca="1" si="73"/>
        <v>集合 要素数取得</v>
      </c>
      <c r="M579" s="2" t="str">
        <f t="shared" ca="1" si="81"/>
        <v/>
      </c>
      <c r="N579" s="2" t="str">
        <f t="shared" ca="1" si="74"/>
        <v>○</v>
      </c>
      <c r="O579" s="2" t="str">
        <f t="shared" ca="1" si="77"/>
        <v/>
      </c>
      <c r="P579" s="2" t="str">
        <f t="shared" ca="1" si="78"/>
        <v/>
      </c>
    </row>
    <row r="580" spans="1:16">
      <c r="A580">
        <f t="shared" si="79"/>
        <v>577</v>
      </c>
      <c r="B580" t="str">
        <f ca="1">IFERROR(VLOOKUP($A580,'vbs,vba'!$G:$H,2,FALSE),"")</f>
        <v/>
      </c>
      <c r="C580" t="str">
        <f ca="1">IFERROR(VLOOKUP($A580,python!$I:$J,2,FALSE),"")</f>
        <v>リスト 内包表記</v>
      </c>
      <c r="D580" t="str">
        <f ca="1">IFERROR(VLOOKUP($A580,bat!$F:$G,2,FALSE),"")</f>
        <v/>
      </c>
      <c r="E580" t="str">
        <f ca="1">IFERROR(VLOOKUP($A580,shell!$F:$G,2,FALSE),"")</f>
        <v/>
      </c>
      <c r="F580" t="str">
        <f t="shared" ca="1" si="75"/>
        <v>リスト 内包表記</v>
      </c>
      <c r="G580">
        <f ca="1">IF($F580="","",COUNTIF($F$3:$F580,$F580))</f>
        <v>1</v>
      </c>
      <c r="H580">
        <f ca="1">IF(OR(G580&gt;1,G580=""),"",COUNTIF($G$3:$G580,1))</f>
        <v>556</v>
      </c>
      <c r="I580" t="str">
        <f t="shared" ca="1" si="76"/>
        <v>リスト 内包表記</v>
      </c>
      <c r="K580">
        <f t="shared" si="80"/>
        <v>577</v>
      </c>
      <c r="L580" t="str">
        <f t="shared" ref="L580:L643" ca="1" si="82">IFERROR(VLOOKUP($K580,$H:$I,2,FALSE),"")</f>
        <v>集合 要素番号取得</v>
      </c>
      <c r="M580" s="2" t="str">
        <f t="shared" ca="1" si="81"/>
        <v/>
      </c>
      <c r="N580" s="2" t="str">
        <f t="shared" ref="N580:N643" ca="1" si="83">IF($L580="","",IF(COUNTIF(C$3:C$1004,$L580)&gt;0,"○",""))</f>
        <v>○</v>
      </c>
      <c r="O580" s="2" t="str">
        <f t="shared" ca="1" si="77"/>
        <v/>
      </c>
      <c r="P580" s="2" t="str">
        <f t="shared" ca="1" si="78"/>
        <v/>
      </c>
    </row>
    <row r="581" spans="1:16">
      <c r="A581">
        <f t="shared" si="79"/>
        <v>578</v>
      </c>
      <c r="B581" t="str">
        <f ca="1">IFERROR(VLOOKUP($A581,'vbs,vba'!$G:$H,2,FALSE),"")</f>
        <v/>
      </c>
      <c r="C581" t="str">
        <f ca="1">IFERROR(VLOOKUP($A581,python!$I:$J,2,FALSE),"")</f>
        <v>タプル 初期化</v>
      </c>
      <c r="D581" t="str">
        <f ca="1">IFERROR(VLOOKUP($A581,bat!$F:$G,2,FALSE),"")</f>
        <v/>
      </c>
      <c r="E581" t="str">
        <f ca="1">IFERROR(VLOOKUP($A581,shell!$F:$G,2,FALSE),"")</f>
        <v/>
      </c>
      <c r="F581" t="str">
        <f t="shared" ref="F581:F644" ca="1" si="84">B581&amp;C581&amp;D581&amp;E581</f>
        <v>タプル 初期化</v>
      </c>
      <c r="G581">
        <f ca="1">IF($F581="","",COUNTIF($F$3:$F581,$F581))</f>
        <v>1</v>
      </c>
      <c r="H581">
        <f ca="1">IF(OR(G581&gt;1,G581=""),"",COUNTIF($G$3:$G581,1))</f>
        <v>557</v>
      </c>
      <c r="I581" t="str">
        <f t="shared" ref="I581:I644" ca="1" si="85">F581</f>
        <v>タプル 初期化</v>
      </c>
      <c r="K581">
        <f t="shared" si="80"/>
        <v>578</v>
      </c>
      <c r="L581" t="str">
        <f t="shared" ca="1" si="82"/>
        <v>集合 削除（未存在時、エラー）</v>
      </c>
      <c r="M581" s="2" t="str">
        <f t="shared" ca="1" si="81"/>
        <v/>
      </c>
      <c r="N581" s="2" t="str">
        <f t="shared" ca="1" si="83"/>
        <v>○</v>
      </c>
      <c r="O581" s="2" t="str">
        <f t="shared" ref="O581:O644" ca="1" si="86">IF($L581="","",IF(COUNTIF(D$3:D$1004,$L581)&gt;0,"○",""))</f>
        <v/>
      </c>
      <c r="P581" s="2" t="str">
        <f t="shared" ref="P581:P644" ca="1" si="87">IF($L581="","",IF(COUNTIF(E$3:E$1004,$L581)&gt;0,"○",""))</f>
        <v/>
      </c>
    </row>
    <row r="582" spans="1:16">
      <c r="A582">
        <f t="shared" ref="A582:A645" si="88">A581+1</f>
        <v>579</v>
      </c>
      <c r="B582" t="str">
        <f ca="1">IFERROR(VLOOKUP($A582,'vbs,vba'!$G:$H,2,FALSE),"")</f>
        <v/>
      </c>
      <c r="C582" t="str">
        <f ca="1">IFERROR(VLOOKUP($A582,python!$I:$J,2,FALSE),"")</f>
        <v>タプル 参照</v>
      </c>
      <c r="D582" t="str">
        <f ca="1">IFERROR(VLOOKUP($A582,bat!$F:$G,2,FALSE),"")</f>
        <v/>
      </c>
      <c r="E582" t="str">
        <f ca="1">IFERROR(VLOOKUP($A582,shell!$F:$G,2,FALSE),"")</f>
        <v/>
      </c>
      <c r="F582" t="str">
        <f t="shared" ca="1" si="84"/>
        <v>タプル 参照</v>
      </c>
      <c r="G582">
        <f ca="1">IF($F582="","",COUNTIF($F$3:$F582,$F582))</f>
        <v>1</v>
      </c>
      <c r="H582">
        <f ca="1">IF(OR(G582&gt;1,G582=""),"",COUNTIF($G$3:$G582,1))</f>
        <v>558</v>
      </c>
      <c r="I582" t="str">
        <f t="shared" ca="1" si="85"/>
        <v>タプル 参照</v>
      </c>
      <c r="K582">
        <f t="shared" ref="K582:K645" si="89">K581+1</f>
        <v>579</v>
      </c>
      <c r="L582" t="str">
        <f t="shared" ca="1" si="82"/>
        <v>集合 削除（未存在時、非エラー）</v>
      </c>
      <c r="M582" s="2" t="str">
        <f t="shared" ca="1" si="81"/>
        <v/>
      </c>
      <c r="N582" s="2" t="str">
        <f t="shared" ca="1" si="83"/>
        <v>○</v>
      </c>
      <c r="O582" s="2" t="str">
        <f t="shared" ca="1" si="86"/>
        <v/>
      </c>
      <c r="P582" s="2" t="str">
        <f t="shared" ca="1" si="87"/>
        <v/>
      </c>
    </row>
    <row r="583" spans="1:16">
      <c r="A583">
        <f t="shared" si="88"/>
        <v>580</v>
      </c>
      <c r="B583" t="str">
        <f ca="1">IFERROR(VLOOKUP($A583,'vbs,vba'!$G:$H,2,FALSE),"")</f>
        <v/>
      </c>
      <c r="C583" t="str">
        <f ca="1">IFERROR(VLOOKUP($A583,python!$I:$J,2,FALSE),"")</f>
        <v>タプル 参照（複数要素）</v>
      </c>
      <c r="D583" t="str">
        <f ca="1">IFERROR(VLOOKUP($A583,bat!$F:$G,2,FALSE),"")</f>
        <v/>
      </c>
      <c r="E583" t="str">
        <f ca="1">IFERROR(VLOOKUP($A583,shell!$F:$G,2,FALSE),"")</f>
        <v/>
      </c>
      <c r="F583" t="str">
        <f t="shared" ca="1" si="84"/>
        <v>タプル 参照（複数要素）</v>
      </c>
      <c r="G583">
        <f ca="1">IF($F583="","",COUNTIF($F$3:$F583,$F583))</f>
        <v>1</v>
      </c>
      <c r="H583">
        <f ca="1">IF(OR(G583&gt;1,G583=""),"",COUNTIF($G$3:$G583,1))</f>
        <v>559</v>
      </c>
      <c r="I583" t="str">
        <f t="shared" ca="1" si="85"/>
        <v>タプル 参照（複数要素）</v>
      </c>
      <c r="K583">
        <f t="shared" si="89"/>
        <v>580</v>
      </c>
      <c r="L583" t="str">
        <f t="shared" ca="1" si="82"/>
        <v>集合 末尾取り出し</v>
      </c>
      <c r="M583" s="2" t="str">
        <f t="shared" ca="1" si="81"/>
        <v/>
      </c>
      <c r="N583" s="2" t="str">
        <f t="shared" ca="1" si="83"/>
        <v>○</v>
      </c>
      <c r="O583" s="2" t="str">
        <f t="shared" ca="1" si="86"/>
        <v/>
      </c>
      <c r="P583" s="2" t="str">
        <f t="shared" ca="1" si="87"/>
        <v/>
      </c>
    </row>
    <row r="584" spans="1:16">
      <c r="A584">
        <f t="shared" si="88"/>
        <v>581</v>
      </c>
      <c r="B584" t="str">
        <f ca="1">IFERROR(VLOOKUP($A584,'vbs,vba'!$G:$H,2,FALSE),"")</f>
        <v/>
      </c>
      <c r="C584" t="str">
        <f ca="1">IFERROR(VLOOKUP($A584,python!$I:$J,2,FALSE),"")</f>
        <v>タプル 変数代入（アンパック）</v>
      </c>
      <c r="D584" t="str">
        <f ca="1">IFERROR(VLOOKUP($A584,bat!$F:$G,2,FALSE),"")</f>
        <v/>
      </c>
      <c r="E584" t="str">
        <f ca="1">IFERROR(VLOOKUP($A584,shell!$F:$G,2,FALSE),"")</f>
        <v/>
      </c>
      <c r="F584" t="str">
        <f t="shared" ca="1" si="84"/>
        <v>タプル 変数代入（アンパック）</v>
      </c>
      <c r="G584">
        <f ca="1">IF($F584="","",COUNTIF($F$3:$F584,$F584))</f>
        <v>1</v>
      </c>
      <c r="H584">
        <f ca="1">IF(OR(G584&gt;1,G584=""),"",COUNTIF($G$3:$G584,1))</f>
        <v>560</v>
      </c>
      <c r="I584" t="str">
        <f t="shared" ca="1" si="85"/>
        <v>タプル 変数代入（アンパック）</v>
      </c>
      <c r="K584">
        <f t="shared" si="89"/>
        <v>581</v>
      </c>
      <c r="L584" t="str">
        <f t="shared" ca="1" si="82"/>
        <v>集合 追加</v>
      </c>
      <c r="M584" s="2" t="str">
        <f t="shared" ca="1" si="81"/>
        <v/>
      </c>
      <c r="N584" s="2" t="str">
        <f t="shared" ca="1" si="83"/>
        <v>○</v>
      </c>
      <c r="O584" s="2" t="str">
        <f t="shared" ca="1" si="86"/>
        <v/>
      </c>
      <c r="P584" s="2" t="str">
        <f t="shared" ca="1" si="87"/>
        <v/>
      </c>
    </row>
    <row r="585" spans="1:16">
      <c r="A585">
        <f t="shared" si="88"/>
        <v>582</v>
      </c>
      <c r="B585" t="str">
        <f ca="1">IFERROR(VLOOKUP($A585,'vbs,vba'!$G:$H,2,FALSE),"")</f>
        <v/>
      </c>
      <c r="C585" t="str">
        <f ca="1">IFERROR(VLOOKUP($A585,python!$I:$J,2,FALSE),"")</f>
        <v>タプル 要素数取得</v>
      </c>
      <c r="D585" t="str">
        <f ca="1">IFERROR(VLOOKUP($A585,bat!$F:$G,2,FALSE),"")</f>
        <v/>
      </c>
      <c r="E585" t="str">
        <f ca="1">IFERROR(VLOOKUP($A585,shell!$F:$G,2,FALSE),"")</f>
        <v/>
      </c>
      <c r="F585" t="str">
        <f t="shared" ca="1" si="84"/>
        <v>タプル 要素数取得</v>
      </c>
      <c r="G585">
        <f ca="1">IF($F585="","",COUNTIF($F$3:$F585,$F585))</f>
        <v>1</v>
      </c>
      <c r="H585">
        <f ca="1">IF(OR(G585&gt;1,G585=""),"",COUNTIF($G$3:$G585,1))</f>
        <v>561</v>
      </c>
      <c r="I585" t="str">
        <f t="shared" ca="1" si="85"/>
        <v>タプル 要素数取得</v>
      </c>
      <c r="K585">
        <f t="shared" si="89"/>
        <v>582</v>
      </c>
      <c r="L585" t="str">
        <f t="shared" ca="1" si="82"/>
        <v>集合 積集合(AND)</v>
      </c>
      <c r="M585" s="2" t="str">
        <f t="shared" ca="1" si="81"/>
        <v/>
      </c>
      <c r="N585" s="2" t="str">
        <f t="shared" ca="1" si="83"/>
        <v>○</v>
      </c>
      <c r="O585" s="2" t="str">
        <f t="shared" ca="1" si="86"/>
        <v/>
      </c>
      <c r="P585" s="2" t="str">
        <f t="shared" ca="1" si="87"/>
        <v/>
      </c>
    </row>
    <row r="586" spans="1:16">
      <c r="A586">
        <f t="shared" si="88"/>
        <v>583</v>
      </c>
      <c r="B586" t="str">
        <f ca="1">IFERROR(VLOOKUP($A586,'vbs,vba'!$G:$H,2,FALSE),"")</f>
        <v/>
      </c>
      <c r="C586" t="str">
        <f ca="1">IFERROR(VLOOKUP($A586,python!$I:$J,2,FALSE),"")</f>
        <v>タプル 要素番号取得</v>
      </c>
      <c r="D586" t="str">
        <f ca="1">IFERROR(VLOOKUP($A586,bat!$F:$G,2,FALSE),"")</f>
        <v/>
      </c>
      <c r="E586" t="str">
        <f ca="1">IFERROR(VLOOKUP($A586,shell!$F:$G,2,FALSE),"")</f>
        <v/>
      </c>
      <c r="F586" t="str">
        <f t="shared" ca="1" si="84"/>
        <v>タプル 要素番号取得</v>
      </c>
      <c r="G586">
        <f ca="1">IF($F586="","",COUNTIF($F$3:$F586,$F586))</f>
        <v>1</v>
      </c>
      <c r="H586">
        <f ca="1">IF(OR(G586&gt;1,G586=""),"",COUNTIF($G$3:$G586,1))</f>
        <v>562</v>
      </c>
      <c r="I586" t="str">
        <f t="shared" ca="1" si="85"/>
        <v>タプル 要素番号取得</v>
      </c>
      <c r="K586">
        <f t="shared" si="89"/>
        <v>583</v>
      </c>
      <c r="L586" t="str">
        <f t="shared" ca="1" si="82"/>
        <v>集合 和集合(OR)</v>
      </c>
      <c r="M586" s="2" t="str">
        <f t="shared" ca="1" si="81"/>
        <v/>
      </c>
      <c r="N586" s="2" t="str">
        <f t="shared" ca="1" si="83"/>
        <v>○</v>
      </c>
      <c r="O586" s="2" t="str">
        <f t="shared" ca="1" si="86"/>
        <v/>
      </c>
      <c r="P586" s="2" t="str">
        <f t="shared" ca="1" si="87"/>
        <v/>
      </c>
    </row>
    <row r="587" spans="1:16">
      <c r="A587">
        <f t="shared" si="88"/>
        <v>584</v>
      </c>
      <c r="B587" t="str">
        <f ca="1">IFERROR(VLOOKUP($A587,'vbs,vba'!$G:$H,2,FALSE),"")</f>
        <v/>
      </c>
      <c r="C587" t="str">
        <f ca="1">IFERROR(VLOOKUP($A587,python!$I:$J,2,FALSE),"")</f>
        <v>タプル 削除</v>
      </c>
      <c r="D587" t="str">
        <f ca="1">IFERROR(VLOOKUP($A587,bat!$F:$G,2,FALSE),"")</f>
        <v/>
      </c>
      <c r="E587" t="str">
        <f ca="1">IFERROR(VLOOKUP($A587,shell!$F:$G,2,FALSE),"")</f>
        <v/>
      </c>
      <c r="F587" t="str">
        <f t="shared" ca="1" si="84"/>
        <v>タプル 削除</v>
      </c>
      <c r="G587">
        <f ca="1">IF($F587="","",COUNTIF($F$3:$F587,$F587))</f>
        <v>1</v>
      </c>
      <c r="H587">
        <f ca="1">IF(OR(G587&gt;1,G587=""),"",COUNTIF($G$3:$G587,1))</f>
        <v>563</v>
      </c>
      <c r="I587" t="str">
        <f t="shared" ca="1" si="85"/>
        <v>タプル 削除</v>
      </c>
      <c r="K587">
        <f t="shared" si="89"/>
        <v>584</v>
      </c>
      <c r="L587" t="str">
        <f t="shared" ca="1" si="82"/>
        <v>集合 差集合</v>
      </c>
      <c r="M587" s="2" t="str">
        <f t="shared" ca="1" si="81"/>
        <v/>
      </c>
      <c r="N587" s="2" t="str">
        <f t="shared" ca="1" si="83"/>
        <v>○</v>
      </c>
      <c r="O587" s="2" t="str">
        <f t="shared" ca="1" si="86"/>
        <v/>
      </c>
      <c r="P587" s="2" t="str">
        <f t="shared" ca="1" si="87"/>
        <v/>
      </c>
    </row>
    <row r="588" spans="1:16">
      <c r="A588">
        <f t="shared" si="88"/>
        <v>585</v>
      </c>
      <c r="B588" t="str">
        <f ca="1">IFERROR(VLOOKUP($A588,'vbs,vba'!$G:$H,2,FALSE),"")</f>
        <v/>
      </c>
      <c r="C588" t="str">
        <f ca="1">IFERROR(VLOOKUP($A588,python!$I:$J,2,FALSE),"")</f>
        <v>タプル 末尾取り出し</v>
      </c>
      <c r="D588" t="str">
        <f ca="1">IFERROR(VLOOKUP($A588,bat!$F:$G,2,FALSE),"")</f>
        <v/>
      </c>
      <c r="E588" t="str">
        <f ca="1">IFERROR(VLOOKUP($A588,shell!$F:$G,2,FALSE),"")</f>
        <v/>
      </c>
      <c r="F588" t="str">
        <f t="shared" ca="1" si="84"/>
        <v>タプル 末尾取り出し</v>
      </c>
      <c r="G588">
        <f ca="1">IF($F588="","",COUNTIF($F$3:$F588,$F588))</f>
        <v>1</v>
      </c>
      <c r="H588">
        <f ca="1">IF(OR(G588&gt;1,G588=""),"",COUNTIF($G$3:$G588,1))</f>
        <v>564</v>
      </c>
      <c r="I588" t="str">
        <f t="shared" ca="1" si="85"/>
        <v>タプル 末尾取り出し</v>
      </c>
      <c r="K588">
        <f t="shared" si="89"/>
        <v>585</v>
      </c>
      <c r="L588" t="str">
        <f t="shared" ca="1" si="82"/>
        <v>集合 排他的論理和</v>
      </c>
      <c r="M588" s="2" t="str">
        <f t="shared" ca="1" si="81"/>
        <v/>
      </c>
      <c r="N588" s="2" t="str">
        <f t="shared" ca="1" si="83"/>
        <v>○</v>
      </c>
      <c r="O588" s="2" t="str">
        <f t="shared" ca="1" si="86"/>
        <v/>
      </c>
      <c r="P588" s="2" t="str">
        <f t="shared" ca="1" si="87"/>
        <v/>
      </c>
    </row>
    <row r="589" spans="1:16">
      <c r="A589">
        <f t="shared" si="88"/>
        <v>586</v>
      </c>
      <c r="B589" t="str">
        <f ca="1">IFERROR(VLOOKUP($A589,'vbs,vba'!$G:$H,2,FALSE),"")</f>
        <v/>
      </c>
      <c r="C589" t="str">
        <f ca="1">IFERROR(VLOOKUP($A589,python!$I:$J,2,FALSE),"")</f>
        <v>タプル 追加</v>
      </c>
      <c r="D589" t="str">
        <f ca="1">IFERROR(VLOOKUP($A589,bat!$F:$G,2,FALSE),"")</f>
        <v/>
      </c>
      <c r="E589" t="str">
        <f ca="1">IFERROR(VLOOKUP($A589,shell!$F:$G,2,FALSE),"")</f>
        <v/>
      </c>
      <c r="F589" t="str">
        <f t="shared" ca="1" si="84"/>
        <v>タプル 追加</v>
      </c>
      <c r="G589">
        <f ca="1">IF($F589="","",COUNTIF($F$3:$F589,$F589))</f>
        <v>1</v>
      </c>
      <c r="H589">
        <f ca="1">IF(OR(G589&gt;1,G589=""),"",COUNTIF($G$3:$G589,1))</f>
        <v>565</v>
      </c>
      <c r="I589" t="str">
        <f t="shared" ca="1" si="85"/>
        <v>タプル 追加</v>
      </c>
      <c r="K589">
        <f t="shared" si="89"/>
        <v>586</v>
      </c>
      <c r="L589" t="str">
        <f t="shared" ca="1" si="82"/>
        <v>集合 反転</v>
      </c>
      <c r="M589" s="2" t="str">
        <f t="shared" ca="1" si="81"/>
        <v/>
      </c>
      <c r="N589" s="2" t="str">
        <f t="shared" ca="1" si="83"/>
        <v>○</v>
      </c>
      <c r="O589" s="2" t="str">
        <f t="shared" ca="1" si="86"/>
        <v/>
      </c>
      <c r="P589" s="2" t="str">
        <f t="shared" ca="1" si="87"/>
        <v/>
      </c>
    </row>
    <row r="590" spans="1:16">
      <c r="A590">
        <f t="shared" si="88"/>
        <v>587</v>
      </c>
      <c r="B590" t="str">
        <f ca="1">IFERROR(VLOOKUP($A590,'vbs,vba'!$G:$H,2,FALSE),"")</f>
        <v/>
      </c>
      <c r="C590" t="str">
        <f ca="1">IFERROR(VLOOKUP($A590,python!$I:$J,2,FALSE),"")</f>
        <v>タプル 連結</v>
      </c>
      <c r="D590" t="str">
        <f ca="1">IFERROR(VLOOKUP($A590,bat!$F:$G,2,FALSE),"")</f>
        <v/>
      </c>
      <c r="E590" t="str">
        <f ca="1">IFERROR(VLOOKUP($A590,shell!$F:$G,2,FALSE),"")</f>
        <v/>
      </c>
      <c r="F590" t="str">
        <f t="shared" ca="1" si="84"/>
        <v>タプル 連結</v>
      </c>
      <c r="G590">
        <f ca="1">IF($F590="","",COUNTIF($F$3:$F590,$F590))</f>
        <v>1</v>
      </c>
      <c r="H590">
        <f ca="1">IF(OR(G590&gt;1,G590=""),"",COUNTIF($G$3:$G590,1))</f>
        <v>566</v>
      </c>
      <c r="I590" t="str">
        <f t="shared" ca="1" si="85"/>
        <v>タプル 連結</v>
      </c>
      <c r="K590">
        <f t="shared" si="89"/>
        <v>587</v>
      </c>
      <c r="L590" t="str">
        <f t="shared" ca="1" si="82"/>
        <v>集合 リスト→集合変換</v>
      </c>
      <c r="M590" s="2" t="str">
        <f t="shared" ca="1" si="81"/>
        <v/>
      </c>
      <c r="N590" s="2" t="str">
        <f t="shared" ca="1" si="83"/>
        <v>○</v>
      </c>
      <c r="O590" s="2" t="str">
        <f t="shared" ca="1" si="86"/>
        <v/>
      </c>
      <c r="P590" s="2" t="str">
        <f t="shared" ca="1" si="87"/>
        <v/>
      </c>
    </row>
    <row r="591" spans="1:16">
      <c r="A591">
        <f t="shared" si="88"/>
        <v>588</v>
      </c>
      <c r="B591" t="str">
        <f ca="1">IFERROR(VLOOKUP($A591,'vbs,vba'!$G:$H,2,FALSE),"")</f>
        <v/>
      </c>
      <c r="C591" t="str">
        <f ca="1">IFERROR(VLOOKUP($A591,python!$I:$J,2,FALSE),"")</f>
        <v>タプル 反転</v>
      </c>
      <c r="D591" t="str">
        <f ca="1">IFERROR(VLOOKUP($A591,bat!$F:$G,2,FALSE),"")</f>
        <v/>
      </c>
      <c r="E591" t="str">
        <f ca="1">IFERROR(VLOOKUP($A591,shell!$F:$G,2,FALSE),"")</f>
        <v/>
      </c>
      <c r="F591" t="str">
        <f t="shared" ca="1" si="84"/>
        <v>タプル 反転</v>
      </c>
      <c r="G591">
        <f ca="1">IF($F591="","",COUNTIF($F$3:$F591,$F591))</f>
        <v>1</v>
      </c>
      <c r="H591">
        <f ca="1">IF(OR(G591&gt;1,G591=""),"",COUNTIF($G$3:$G591,1))</f>
        <v>567</v>
      </c>
      <c r="I591" t="str">
        <f t="shared" ca="1" si="85"/>
        <v>タプル 反転</v>
      </c>
      <c r="K591">
        <f t="shared" si="89"/>
        <v>588</v>
      </c>
      <c r="L591" t="str">
        <f t="shared" ca="1" si="82"/>
        <v>集合 集合→リスト変換</v>
      </c>
      <c r="M591" s="2" t="str">
        <f t="shared" ca="1" si="81"/>
        <v/>
      </c>
      <c r="N591" s="2" t="str">
        <f t="shared" ca="1" si="83"/>
        <v>○</v>
      </c>
      <c r="O591" s="2" t="str">
        <f t="shared" ca="1" si="86"/>
        <v/>
      </c>
      <c r="P591" s="2" t="str">
        <f t="shared" ca="1" si="87"/>
        <v/>
      </c>
    </row>
    <row r="592" spans="1:16">
      <c r="A592">
        <f t="shared" si="88"/>
        <v>589</v>
      </c>
      <c r="B592" t="str">
        <f ca="1">IFERROR(VLOOKUP($A592,'vbs,vba'!$G:$H,2,FALSE),"")</f>
        <v/>
      </c>
      <c r="C592" t="str">
        <f ca="1">IFERROR(VLOOKUP($A592,python!$I:$J,2,FALSE),"")</f>
        <v>タプル リスト→タプル変換</v>
      </c>
      <c r="D592" t="str">
        <f ca="1">IFERROR(VLOOKUP($A592,bat!$F:$G,2,FALSE),"")</f>
        <v/>
      </c>
      <c r="E592" t="str">
        <f ca="1">IFERROR(VLOOKUP($A592,shell!$F:$G,2,FALSE),"")</f>
        <v/>
      </c>
      <c r="F592" t="str">
        <f t="shared" ca="1" si="84"/>
        <v>タプル リスト→タプル変換</v>
      </c>
      <c r="G592">
        <f ca="1">IF($F592="","",COUNTIF($F$3:$F592,$F592))</f>
        <v>1</v>
      </c>
      <c r="H592">
        <f ca="1">IF(OR(G592&gt;1,G592=""),"",COUNTIF($G$3:$G592,1))</f>
        <v>568</v>
      </c>
      <c r="I592" t="str">
        <f t="shared" ca="1" si="85"/>
        <v>タプル リスト→タプル変換</v>
      </c>
      <c r="K592">
        <f t="shared" si="89"/>
        <v>589</v>
      </c>
      <c r="L592" t="str">
        <f t="shared" ca="1" si="82"/>
        <v>集合 内包表記</v>
      </c>
      <c r="M592" s="2" t="str">
        <f t="shared" ca="1" si="81"/>
        <v/>
      </c>
      <c r="N592" s="2" t="str">
        <f t="shared" ca="1" si="83"/>
        <v>○</v>
      </c>
      <c r="O592" s="2" t="str">
        <f t="shared" ca="1" si="86"/>
        <v/>
      </c>
      <c r="P592" s="2" t="str">
        <f t="shared" ca="1" si="87"/>
        <v/>
      </c>
    </row>
    <row r="593" spans="1:16">
      <c r="A593">
        <f t="shared" si="88"/>
        <v>590</v>
      </c>
      <c r="B593" t="str">
        <f ca="1">IFERROR(VLOOKUP($A593,'vbs,vba'!$G:$H,2,FALSE),"")</f>
        <v/>
      </c>
      <c r="C593" t="str">
        <f ca="1">IFERROR(VLOOKUP($A593,python!$I:$J,2,FALSE),"")</f>
        <v>タプル タプル→リスト変換</v>
      </c>
      <c r="D593" t="str">
        <f ca="1">IFERROR(VLOOKUP($A593,bat!$F:$G,2,FALSE),"")</f>
        <v/>
      </c>
      <c r="E593" t="str">
        <f ca="1">IFERROR(VLOOKUP($A593,shell!$F:$G,2,FALSE),"")</f>
        <v/>
      </c>
      <c r="F593" t="str">
        <f t="shared" ca="1" si="84"/>
        <v>タプル タプル→リスト変換</v>
      </c>
      <c r="G593">
        <f ca="1">IF($F593="","",COUNTIF($F$3:$F593,$F593))</f>
        <v>1</v>
      </c>
      <c r="H593">
        <f ca="1">IF(OR(G593&gt;1,G593=""),"",COUNTIF($G$3:$G593,1))</f>
        <v>569</v>
      </c>
      <c r="I593" t="str">
        <f t="shared" ca="1" si="85"/>
        <v>タプル タプル→リスト変換</v>
      </c>
      <c r="K593">
        <f t="shared" si="89"/>
        <v>590</v>
      </c>
      <c r="L593" t="str">
        <f t="shared" ca="1" si="82"/>
        <v>オブジェクト定義(初期値なし)</v>
      </c>
      <c r="M593" s="2" t="str">
        <f t="shared" ca="1" si="81"/>
        <v/>
      </c>
      <c r="N593" s="2" t="str">
        <f t="shared" ca="1" si="83"/>
        <v>○</v>
      </c>
      <c r="O593" s="2" t="str">
        <f t="shared" ca="1" si="86"/>
        <v/>
      </c>
      <c r="P593" s="2" t="str">
        <f t="shared" ca="1" si="87"/>
        <v/>
      </c>
    </row>
    <row r="594" spans="1:16">
      <c r="A594">
        <f t="shared" si="88"/>
        <v>591</v>
      </c>
      <c r="B594" t="str">
        <f ca="1">IFERROR(VLOOKUP($A594,'vbs,vba'!$G:$H,2,FALSE),"")</f>
        <v/>
      </c>
      <c r="C594" t="str">
        <f ca="1">IFERROR(VLOOKUP($A594,python!$I:$J,2,FALSE),"")</f>
        <v>集合 初期化（初期値なし）</v>
      </c>
      <c r="D594" t="str">
        <f ca="1">IFERROR(VLOOKUP($A594,bat!$F:$G,2,FALSE),"")</f>
        <v/>
      </c>
      <c r="E594" t="str">
        <f ca="1">IFERROR(VLOOKUP($A594,shell!$F:$G,2,FALSE),"")</f>
        <v/>
      </c>
      <c r="F594" t="str">
        <f t="shared" ca="1" si="84"/>
        <v>集合 初期化（初期値なし）</v>
      </c>
      <c r="G594">
        <f ca="1">IF($F594="","",COUNTIF($F$3:$F594,$F594))</f>
        <v>1</v>
      </c>
      <c r="H594">
        <f ca="1">IF(OR(G594&gt;1,G594=""),"",COUNTIF($G$3:$G594,1))</f>
        <v>570</v>
      </c>
      <c r="I594" t="str">
        <f t="shared" ca="1" si="85"/>
        <v>集合 初期化（初期値なし）</v>
      </c>
      <c r="K594">
        <f t="shared" si="89"/>
        <v>591</v>
      </c>
      <c r="L594" t="str">
        <f t="shared" ca="1" si="82"/>
        <v>オブジェクト定義(初期値あり)</v>
      </c>
      <c r="M594" s="2" t="str">
        <f t="shared" ca="1" si="81"/>
        <v/>
      </c>
      <c r="N594" s="2" t="str">
        <f t="shared" ca="1" si="83"/>
        <v>○</v>
      </c>
      <c r="O594" s="2" t="str">
        <f t="shared" ca="1" si="86"/>
        <v/>
      </c>
      <c r="P594" s="2" t="str">
        <f t="shared" ca="1" si="87"/>
        <v/>
      </c>
    </row>
    <row r="595" spans="1:16">
      <c r="A595">
        <f t="shared" si="88"/>
        <v>592</v>
      </c>
      <c r="B595" t="str">
        <f ca="1">IFERROR(VLOOKUP($A595,'vbs,vba'!$G:$H,2,FALSE),"")</f>
        <v/>
      </c>
      <c r="C595" t="str">
        <f ca="1">IFERROR(VLOOKUP($A595,python!$I:$J,2,FALSE),"")</f>
        <v>集合 初期化（初期値あり）</v>
      </c>
      <c r="D595" t="str">
        <f ca="1">IFERROR(VLOOKUP($A595,bat!$F:$G,2,FALSE),"")</f>
        <v/>
      </c>
      <c r="E595" t="str">
        <f ca="1">IFERROR(VLOOKUP($A595,shell!$F:$G,2,FALSE),"")</f>
        <v/>
      </c>
      <c r="F595" t="str">
        <f t="shared" ca="1" si="84"/>
        <v>集合 初期化（初期値あり）</v>
      </c>
      <c r="G595">
        <f ca="1">IF($F595="","",COUNTIF($F$3:$F595,$F595))</f>
        <v>1</v>
      </c>
      <c r="H595">
        <f ca="1">IF(OR(G595&gt;1,G595=""),"",COUNTIF($G$3:$G595,1))</f>
        <v>571</v>
      </c>
      <c r="I595" t="str">
        <f t="shared" ca="1" si="85"/>
        <v>集合 初期化（初期値あり）</v>
      </c>
      <c r="K595">
        <f t="shared" si="89"/>
        <v>592</v>
      </c>
      <c r="L595" t="str">
        <f t="shared" ca="1" si="82"/>
        <v>連想配列 項目変更</v>
      </c>
      <c r="M595" s="2" t="str">
        <f t="shared" ca="1" si="81"/>
        <v/>
      </c>
      <c r="N595" s="2" t="str">
        <f t="shared" ca="1" si="83"/>
        <v>○</v>
      </c>
      <c r="O595" s="2" t="str">
        <f t="shared" ca="1" si="86"/>
        <v/>
      </c>
      <c r="P595" s="2" t="str">
        <f t="shared" ca="1" si="87"/>
        <v/>
      </c>
    </row>
    <row r="596" spans="1:16">
      <c r="A596">
        <f t="shared" si="88"/>
        <v>593</v>
      </c>
      <c r="B596" t="str">
        <f ca="1">IFERROR(VLOOKUP($A596,'vbs,vba'!$G:$H,2,FALSE),"")</f>
        <v/>
      </c>
      <c r="C596" t="str">
        <f ca="1">IFERROR(VLOOKUP($A596,python!$I:$J,2,FALSE),"")</f>
        <v>集合 参照</v>
      </c>
      <c r="D596" t="str">
        <f ca="1">IFERROR(VLOOKUP($A596,bat!$F:$G,2,FALSE),"")</f>
        <v/>
      </c>
      <c r="E596" t="str">
        <f ca="1">IFERROR(VLOOKUP($A596,shell!$F:$G,2,FALSE),"")</f>
        <v/>
      </c>
      <c r="F596" t="str">
        <f t="shared" ca="1" si="84"/>
        <v>集合 参照</v>
      </c>
      <c r="G596">
        <f ca="1">IF($F596="","",COUNTIF($F$3:$F596,$F596))</f>
        <v>1</v>
      </c>
      <c r="H596">
        <f ca="1">IF(OR(G596&gt;1,G596=""),"",COUNTIF($G$3:$G596,1))</f>
        <v>572</v>
      </c>
      <c r="I596" t="str">
        <f t="shared" ca="1" si="85"/>
        <v>集合 参照</v>
      </c>
      <c r="K596">
        <f t="shared" si="89"/>
        <v>593</v>
      </c>
      <c r="L596" t="str">
        <f t="shared" ca="1" si="82"/>
        <v>連想配列 項目取得（For Each）</v>
      </c>
      <c r="M596" s="2" t="str">
        <f t="shared" ca="1" si="81"/>
        <v/>
      </c>
      <c r="N596" s="2" t="str">
        <f t="shared" ca="1" si="83"/>
        <v>○</v>
      </c>
      <c r="O596" s="2" t="str">
        <f t="shared" ca="1" si="86"/>
        <v/>
      </c>
      <c r="P596" s="2" t="str">
        <f t="shared" ca="1" si="87"/>
        <v/>
      </c>
    </row>
    <row r="597" spans="1:16">
      <c r="A597">
        <f t="shared" si="88"/>
        <v>594</v>
      </c>
      <c r="B597" t="str">
        <f ca="1">IFERROR(VLOOKUP($A597,'vbs,vba'!$G:$H,2,FALSE),"")</f>
        <v/>
      </c>
      <c r="C597" t="str">
        <f ca="1">IFERROR(VLOOKUP($A597,python!$I:$J,2,FALSE),"")</f>
        <v>集合 参照（複数要素）</v>
      </c>
      <c r="D597" t="str">
        <f ca="1">IFERROR(VLOOKUP($A597,bat!$F:$G,2,FALSE),"")</f>
        <v/>
      </c>
      <c r="E597" t="str">
        <f ca="1">IFERROR(VLOOKUP($A597,shell!$F:$G,2,FALSE),"")</f>
        <v/>
      </c>
      <c r="F597" t="str">
        <f t="shared" ca="1" si="84"/>
        <v>集合 参照（複数要素）</v>
      </c>
      <c r="G597">
        <f ca="1">IF($F597="","",COUNTIF($F$3:$F597,$F597))</f>
        <v>1</v>
      </c>
      <c r="H597">
        <f ca="1">IF(OR(G597&gt;1,G597=""),"",COUNTIF($G$3:$G597,1))</f>
        <v>573</v>
      </c>
      <c r="I597" t="str">
        <f t="shared" ca="1" si="85"/>
        <v>集合 参照（複数要素）</v>
      </c>
      <c r="K597">
        <f t="shared" si="89"/>
        <v>594</v>
      </c>
      <c r="L597" t="str">
        <f t="shared" ca="1" si="82"/>
        <v>連想配列 キー/項目取得（For Each）</v>
      </c>
      <c r="M597" s="2" t="str">
        <f t="shared" ca="1" si="81"/>
        <v/>
      </c>
      <c r="N597" s="2" t="str">
        <f t="shared" ca="1" si="83"/>
        <v>○</v>
      </c>
      <c r="O597" s="2" t="str">
        <f t="shared" ca="1" si="86"/>
        <v/>
      </c>
      <c r="P597" s="2" t="str">
        <f t="shared" ca="1" si="87"/>
        <v/>
      </c>
    </row>
    <row r="598" spans="1:16">
      <c r="A598">
        <f t="shared" si="88"/>
        <v>595</v>
      </c>
      <c r="B598" t="str">
        <f ca="1">IFERROR(VLOOKUP($A598,'vbs,vba'!$G:$H,2,FALSE),"")</f>
        <v/>
      </c>
      <c r="C598" t="str">
        <f ca="1">IFERROR(VLOOKUP($A598,python!$I:$J,2,FALSE),"")</f>
        <v>集合 存在確認</v>
      </c>
      <c r="D598" t="str">
        <f ca="1">IFERROR(VLOOKUP($A598,bat!$F:$G,2,FALSE),"")</f>
        <v/>
      </c>
      <c r="E598" t="str">
        <f ca="1">IFERROR(VLOOKUP($A598,shell!$F:$G,2,FALSE),"")</f>
        <v/>
      </c>
      <c r="F598" t="str">
        <f t="shared" ca="1" si="84"/>
        <v>集合 存在確認</v>
      </c>
      <c r="G598">
        <f ca="1">IF($F598="","",COUNTIF($F$3:$F598,$F598))</f>
        <v>1</v>
      </c>
      <c r="H598">
        <f ca="1">IF(OR(G598&gt;1,G598=""),"",COUNTIF($G$3:$G598,1))</f>
        <v>574</v>
      </c>
      <c r="I598" t="str">
        <f t="shared" ca="1" si="85"/>
        <v>集合 存在確認</v>
      </c>
      <c r="K598">
        <f t="shared" si="89"/>
        <v>595</v>
      </c>
      <c r="L598" t="str">
        <f t="shared" ca="1" si="82"/>
        <v>連想配列 キー/項目削除(Pop)</v>
      </c>
      <c r="M598" s="2" t="str">
        <f t="shared" ca="1" si="81"/>
        <v/>
      </c>
      <c r="N598" s="2" t="str">
        <f t="shared" ca="1" si="83"/>
        <v>○</v>
      </c>
      <c r="O598" s="2" t="str">
        <f t="shared" ca="1" si="86"/>
        <v/>
      </c>
      <c r="P598" s="2" t="str">
        <f t="shared" ca="1" si="87"/>
        <v/>
      </c>
    </row>
    <row r="599" spans="1:16">
      <c r="A599">
        <f t="shared" si="88"/>
        <v>596</v>
      </c>
      <c r="B599" t="str">
        <f ca="1">IFERROR(VLOOKUP($A599,'vbs,vba'!$G:$H,2,FALSE),"")</f>
        <v/>
      </c>
      <c r="C599" t="str">
        <f ca="1">IFERROR(VLOOKUP($A599,python!$I:$J,2,FALSE),"")</f>
        <v>集合 変数代入（アンパック）</v>
      </c>
      <c r="D599" t="str">
        <f ca="1">IFERROR(VLOOKUP($A599,bat!$F:$G,2,FALSE),"")</f>
        <v/>
      </c>
      <c r="E599" t="str">
        <f ca="1">IFERROR(VLOOKUP($A599,shell!$F:$G,2,FALSE),"")</f>
        <v/>
      </c>
      <c r="F599" t="str">
        <f t="shared" ca="1" si="84"/>
        <v>集合 変数代入（アンパック）</v>
      </c>
      <c r="G599">
        <f ca="1">IF($F599="","",COUNTIF($F$3:$F599,$F599))</f>
        <v>1</v>
      </c>
      <c r="H599">
        <f ca="1">IF(OR(G599&gt;1,G599=""),"",COUNTIF($G$3:$G599,1))</f>
        <v>575</v>
      </c>
      <c r="I599" t="str">
        <f t="shared" ca="1" si="85"/>
        <v>集合 変数代入（アンパック）</v>
      </c>
      <c r="K599">
        <f t="shared" si="89"/>
        <v>596</v>
      </c>
      <c r="L599" t="str">
        <f t="shared" ca="1" si="82"/>
        <v>連想配列 配列結合</v>
      </c>
      <c r="M599" s="2" t="str">
        <f t="shared" ca="1" si="81"/>
        <v/>
      </c>
      <c r="N599" s="2" t="str">
        <f t="shared" ca="1" si="83"/>
        <v>○</v>
      </c>
      <c r="O599" s="2" t="str">
        <f t="shared" ca="1" si="86"/>
        <v/>
      </c>
      <c r="P599" s="2" t="str">
        <f t="shared" ca="1" si="87"/>
        <v/>
      </c>
    </row>
    <row r="600" spans="1:16">
      <c r="A600">
        <f t="shared" si="88"/>
        <v>597</v>
      </c>
      <c r="B600" t="str">
        <f ca="1">IFERROR(VLOOKUP($A600,'vbs,vba'!$G:$H,2,FALSE),"")</f>
        <v/>
      </c>
      <c r="C600" t="str">
        <f ca="1">IFERROR(VLOOKUP($A600,python!$I:$J,2,FALSE),"")</f>
        <v>集合 要素数取得</v>
      </c>
      <c r="D600" t="str">
        <f ca="1">IFERROR(VLOOKUP($A600,bat!$F:$G,2,FALSE),"")</f>
        <v/>
      </c>
      <c r="E600" t="str">
        <f ca="1">IFERROR(VLOOKUP($A600,shell!$F:$G,2,FALSE),"")</f>
        <v/>
      </c>
      <c r="F600" t="str">
        <f t="shared" ca="1" si="84"/>
        <v>集合 要素数取得</v>
      </c>
      <c r="G600">
        <f ca="1">IF($F600="","",COUNTIF($F$3:$F600,$F600))</f>
        <v>1</v>
      </c>
      <c r="H600">
        <f ca="1">IF(OR(G600&gt;1,G600=""),"",COUNTIF($G$3:$G600,1))</f>
        <v>576</v>
      </c>
      <c r="I600" t="str">
        <f t="shared" ca="1" si="85"/>
        <v>集合 要素数取得</v>
      </c>
      <c r="K600">
        <f t="shared" si="89"/>
        <v>597</v>
      </c>
      <c r="L600" t="str">
        <f t="shared" ca="1" si="82"/>
        <v>連想配列 内包表記</v>
      </c>
      <c r="M600" s="2" t="str">
        <f t="shared" ca="1" si="81"/>
        <v/>
      </c>
      <c r="N600" s="2" t="str">
        <f t="shared" ca="1" si="83"/>
        <v>○</v>
      </c>
      <c r="O600" s="2" t="str">
        <f t="shared" ca="1" si="86"/>
        <v/>
      </c>
      <c r="P600" s="2" t="str">
        <f t="shared" ca="1" si="87"/>
        <v/>
      </c>
    </row>
    <row r="601" spans="1:16">
      <c r="A601">
        <f t="shared" si="88"/>
        <v>598</v>
      </c>
      <c r="B601" t="str">
        <f ca="1">IFERROR(VLOOKUP($A601,'vbs,vba'!$G:$H,2,FALSE),"")</f>
        <v/>
      </c>
      <c r="C601" t="str">
        <f ca="1">IFERROR(VLOOKUP($A601,python!$I:$J,2,FALSE),"")</f>
        <v>集合 要素番号取得</v>
      </c>
      <c r="D601" t="str">
        <f ca="1">IFERROR(VLOOKUP($A601,bat!$F:$G,2,FALSE),"")</f>
        <v/>
      </c>
      <c r="E601" t="str">
        <f ca="1">IFERROR(VLOOKUP($A601,shell!$F:$G,2,FALSE),"")</f>
        <v/>
      </c>
      <c r="F601" t="str">
        <f t="shared" ca="1" si="84"/>
        <v>集合 要素番号取得</v>
      </c>
      <c r="G601">
        <f ca="1">IF($F601="","",COUNTIF($F$3:$F601,$F601))</f>
        <v>1</v>
      </c>
      <c r="H601">
        <f ca="1">IF(OR(G601&gt;1,G601=""),"",COUNTIF($G$3:$G601,1))</f>
        <v>577</v>
      </c>
      <c r="I601" t="str">
        <f t="shared" ca="1" si="85"/>
        <v>集合 要素番号取得</v>
      </c>
      <c r="K601">
        <f t="shared" si="89"/>
        <v>598</v>
      </c>
      <c r="L601" t="str">
        <f t="shared" ca="1" si="82"/>
        <v>検索設定 大小文字区別無視</v>
      </c>
      <c r="M601" s="2" t="str">
        <f t="shared" ca="1" si="81"/>
        <v/>
      </c>
      <c r="N601" s="2" t="str">
        <f t="shared" ca="1" si="83"/>
        <v>○</v>
      </c>
      <c r="O601" s="2" t="str">
        <f t="shared" ca="1" si="86"/>
        <v/>
      </c>
      <c r="P601" s="2" t="str">
        <f t="shared" ca="1" si="87"/>
        <v/>
      </c>
    </row>
    <row r="602" spans="1:16">
      <c r="A602">
        <f t="shared" si="88"/>
        <v>599</v>
      </c>
      <c r="B602" t="str">
        <f ca="1">IFERROR(VLOOKUP($A602,'vbs,vba'!$G:$H,2,FALSE),"")</f>
        <v/>
      </c>
      <c r="C602" t="str">
        <f ca="1">IFERROR(VLOOKUP($A602,python!$I:$J,2,FALSE),"")</f>
        <v>集合 削除（未存在時、エラー）</v>
      </c>
      <c r="D602" t="str">
        <f ca="1">IFERROR(VLOOKUP($A602,bat!$F:$G,2,FALSE),"")</f>
        <v/>
      </c>
      <c r="E602" t="str">
        <f ca="1">IFERROR(VLOOKUP($A602,shell!$F:$G,2,FALSE),"")</f>
        <v/>
      </c>
      <c r="F602" t="str">
        <f t="shared" ca="1" si="84"/>
        <v>集合 削除（未存在時、エラー）</v>
      </c>
      <c r="G602">
        <f ca="1">IF($F602="","",COUNTIF($F$3:$F602,$F602))</f>
        <v>1</v>
      </c>
      <c r="H602">
        <f ca="1">IF(OR(G602&gt;1,G602=""),"",COUNTIF($G$3:$G602,1))</f>
        <v>578</v>
      </c>
      <c r="I602" t="str">
        <f t="shared" ca="1" si="85"/>
        <v>集合 削除（未存在時、エラー）</v>
      </c>
      <c r="K602">
        <f t="shared" si="89"/>
        <v>599</v>
      </c>
      <c r="L602" t="str">
        <f t="shared" ca="1" si="82"/>
        <v>検索設定 パターンコンパイル</v>
      </c>
      <c r="M602" s="2" t="str">
        <f t="shared" ca="1" si="81"/>
        <v/>
      </c>
      <c r="N602" s="2" t="str">
        <f t="shared" ca="1" si="83"/>
        <v>○</v>
      </c>
      <c r="O602" s="2" t="str">
        <f t="shared" ca="1" si="86"/>
        <v/>
      </c>
      <c r="P602" s="2" t="str">
        <f t="shared" ca="1" si="87"/>
        <v/>
      </c>
    </row>
    <row r="603" spans="1:16">
      <c r="A603">
        <f t="shared" si="88"/>
        <v>600</v>
      </c>
      <c r="B603" t="str">
        <f ca="1">IFERROR(VLOOKUP($A603,'vbs,vba'!$G:$H,2,FALSE),"")</f>
        <v/>
      </c>
      <c r="C603" t="str">
        <f ca="1">IFERROR(VLOOKUP($A603,python!$I:$J,2,FALSE),"")</f>
        <v>集合 削除（未存在時、非エラー）</v>
      </c>
      <c r="D603" t="str">
        <f ca="1">IFERROR(VLOOKUP($A603,bat!$F:$G,2,FALSE),"")</f>
        <v/>
      </c>
      <c r="E603" t="str">
        <f ca="1">IFERROR(VLOOKUP($A603,shell!$F:$G,2,FALSE),"")</f>
        <v/>
      </c>
      <c r="F603" t="str">
        <f t="shared" ca="1" si="84"/>
        <v>集合 削除（未存在時、非エラー）</v>
      </c>
      <c r="G603">
        <f ca="1">IF($F603="","",COUNTIF($F$3:$F603,$F603))</f>
        <v>1</v>
      </c>
      <c r="H603">
        <f ca="1">IF(OR(G603&gt;1,G603=""),"",COUNTIF($G$3:$G603,1))</f>
        <v>579</v>
      </c>
      <c r="I603" t="str">
        <f t="shared" ca="1" si="85"/>
        <v>集合 削除（未存在時、非エラー）</v>
      </c>
      <c r="K603">
        <f t="shared" si="89"/>
        <v>600</v>
      </c>
      <c r="L603" t="str">
        <f t="shared" ca="1" si="82"/>
        <v>検索実行(list) コンパイルあり時</v>
      </c>
      <c r="M603" s="2" t="str">
        <f t="shared" ca="1" si="81"/>
        <v/>
      </c>
      <c r="N603" s="2" t="str">
        <f t="shared" ca="1" si="83"/>
        <v>○</v>
      </c>
      <c r="O603" s="2" t="str">
        <f t="shared" ca="1" si="86"/>
        <v/>
      </c>
      <c r="P603" s="2" t="str">
        <f t="shared" ca="1" si="87"/>
        <v/>
      </c>
    </row>
    <row r="604" spans="1:16">
      <c r="A604">
        <f t="shared" si="88"/>
        <v>601</v>
      </c>
      <c r="B604" t="str">
        <f ca="1">IFERROR(VLOOKUP($A604,'vbs,vba'!$G:$H,2,FALSE),"")</f>
        <v/>
      </c>
      <c r="C604" t="str">
        <f ca="1">IFERROR(VLOOKUP($A604,python!$I:$J,2,FALSE),"")</f>
        <v>集合 末尾取り出し</v>
      </c>
      <c r="D604" t="str">
        <f ca="1">IFERROR(VLOOKUP($A604,bat!$F:$G,2,FALSE),"")</f>
        <v/>
      </c>
      <c r="E604" t="str">
        <f ca="1">IFERROR(VLOOKUP($A604,shell!$F:$G,2,FALSE),"")</f>
        <v/>
      </c>
      <c r="F604" t="str">
        <f t="shared" ca="1" si="84"/>
        <v>集合 末尾取り出し</v>
      </c>
      <c r="G604">
        <f ca="1">IF($F604="","",COUNTIF($F$3:$F604,$F604))</f>
        <v>1</v>
      </c>
      <c r="H604">
        <f ca="1">IF(OR(G604&gt;1,G604=""),"",COUNTIF($G$3:$G604,1))</f>
        <v>580</v>
      </c>
      <c r="I604" t="str">
        <f t="shared" ca="1" si="85"/>
        <v>集合 末尾取り出し</v>
      </c>
      <c r="K604">
        <f t="shared" si="89"/>
        <v>601</v>
      </c>
      <c r="L604" t="str">
        <f t="shared" ca="1" si="82"/>
        <v>検索実行(list) コンパイルなし時</v>
      </c>
      <c r="M604" s="2" t="str">
        <f t="shared" ca="1" si="81"/>
        <v/>
      </c>
      <c r="N604" s="2" t="str">
        <f t="shared" ca="1" si="83"/>
        <v>○</v>
      </c>
      <c r="O604" s="2" t="str">
        <f t="shared" ca="1" si="86"/>
        <v/>
      </c>
      <c r="P604" s="2" t="str">
        <f t="shared" ca="1" si="87"/>
        <v/>
      </c>
    </row>
    <row r="605" spans="1:16">
      <c r="A605">
        <f t="shared" si="88"/>
        <v>602</v>
      </c>
      <c r="B605" t="str">
        <f ca="1">IFERROR(VLOOKUP($A605,'vbs,vba'!$G:$H,2,FALSE),"")</f>
        <v/>
      </c>
      <c r="C605" t="str">
        <f ca="1">IFERROR(VLOOKUP($A605,python!$I:$J,2,FALSE),"")</f>
        <v>集合 追加</v>
      </c>
      <c r="D605" t="str">
        <f ca="1">IFERROR(VLOOKUP($A605,bat!$F:$G,2,FALSE),"")</f>
        <v/>
      </c>
      <c r="E605" t="str">
        <f ca="1">IFERROR(VLOOKUP($A605,shell!$F:$G,2,FALSE),"")</f>
        <v/>
      </c>
      <c r="F605" t="str">
        <f t="shared" ca="1" si="84"/>
        <v>集合 追加</v>
      </c>
      <c r="G605">
        <f ca="1">IF($F605="","",COUNTIF($F$3:$F605,$F605))</f>
        <v>1</v>
      </c>
      <c r="H605">
        <f ca="1">IF(OR(G605&gt;1,G605=""),"",COUNTIF($G$3:$G605,1))</f>
        <v>581</v>
      </c>
      <c r="I605" t="str">
        <f t="shared" ca="1" si="85"/>
        <v>集合 追加</v>
      </c>
      <c r="K605">
        <f t="shared" si="89"/>
        <v>602</v>
      </c>
      <c r="L605" t="str">
        <f t="shared" ca="1" si="82"/>
        <v>検索結果(list) マッチ有無判定</v>
      </c>
      <c r="M605" s="2" t="str">
        <f t="shared" ca="1" si="81"/>
        <v/>
      </c>
      <c r="N605" s="2" t="str">
        <f t="shared" ca="1" si="83"/>
        <v>○</v>
      </c>
      <c r="O605" s="2" t="str">
        <f t="shared" ca="1" si="86"/>
        <v/>
      </c>
      <c r="P605" s="2" t="str">
        <f t="shared" ca="1" si="87"/>
        <v/>
      </c>
    </row>
    <row r="606" spans="1:16">
      <c r="A606">
        <f t="shared" si="88"/>
        <v>603</v>
      </c>
      <c r="B606" t="str">
        <f ca="1">IFERROR(VLOOKUP($A606,'vbs,vba'!$G:$H,2,FALSE),"")</f>
        <v/>
      </c>
      <c r="C606" t="str">
        <f ca="1">IFERROR(VLOOKUP($A606,python!$I:$J,2,FALSE),"")</f>
        <v>集合 積集合(AND)</v>
      </c>
      <c r="D606" t="str">
        <f ca="1">IFERROR(VLOOKUP($A606,bat!$F:$G,2,FALSE),"")</f>
        <v/>
      </c>
      <c r="E606" t="str">
        <f ca="1">IFERROR(VLOOKUP($A606,shell!$F:$G,2,FALSE),"")</f>
        <v/>
      </c>
      <c r="F606" t="str">
        <f t="shared" ca="1" si="84"/>
        <v>集合 積集合(AND)</v>
      </c>
      <c r="G606">
        <f ca="1">IF($F606="","",COUNTIF($F$3:$F606,$F606))</f>
        <v>1</v>
      </c>
      <c r="H606">
        <f ca="1">IF(OR(G606&gt;1,G606=""),"",COUNTIF($G$3:$G606,1))</f>
        <v>582</v>
      </c>
      <c r="I606" t="str">
        <f t="shared" ca="1" si="85"/>
        <v>集合 積集合(AND)</v>
      </c>
      <c r="K606">
        <f t="shared" si="89"/>
        <v>603</v>
      </c>
      <c r="L606" t="str">
        <f t="shared" ca="1" si="82"/>
        <v>検索結果(list) マッチ数取得</v>
      </c>
      <c r="M606" s="2" t="str">
        <f t="shared" ca="1" si="81"/>
        <v/>
      </c>
      <c r="N606" s="2" t="str">
        <f t="shared" ca="1" si="83"/>
        <v>○</v>
      </c>
      <c r="O606" s="2" t="str">
        <f t="shared" ca="1" si="86"/>
        <v/>
      </c>
      <c r="P606" s="2" t="str">
        <f t="shared" ca="1" si="87"/>
        <v/>
      </c>
    </row>
    <row r="607" spans="1:16">
      <c r="A607">
        <f t="shared" si="88"/>
        <v>604</v>
      </c>
      <c r="B607" t="str">
        <f ca="1">IFERROR(VLOOKUP($A607,'vbs,vba'!$G:$H,2,FALSE),"")</f>
        <v/>
      </c>
      <c r="C607" t="str">
        <f ca="1">IFERROR(VLOOKUP($A607,python!$I:$J,2,FALSE),"")</f>
        <v>集合 和集合(OR)</v>
      </c>
      <c r="D607" t="str">
        <f ca="1">IFERROR(VLOOKUP($A607,bat!$F:$G,2,FALSE),"")</f>
        <v/>
      </c>
      <c r="E607" t="str">
        <f ca="1">IFERROR(VLOOKUP($A607,shell!$F:$G,2,FALSE),"")</f>
        <v/>
      </c>
      <c r="F607" t="str">
        <f t="shared" ca="1" si="84"/>
        <v>集合 和集合(OR)</v>
      </c>
      <c r="G607">
        <f ca="1">IF($F607="","",COUNTIF($F$3:$F607,$F607))</f>
        <v>1</v>
      </c>
      <c r="H607">
        <f ca="1">IF(OR(G607&gt;1,G607=""),"",COUNTIF($G$3:$G607,1))</f>
        <v>583</v>
      </c>
      <c r="I607" t="str">
        <f t="shared" ca="1" si="85"/>
        <v>集合 和集合(OR)</v>
      </c>
      <c r="K607">
        <f t="shared" si="89"/>
        <v>604</v>
      </c>
      <c r="L607" t="str">
        <f t="shared" ca="1" si="82"/>
        <v>検索結果(list) サブマッチ数取得</v>
      </c>
      <c r="M607" s="2" t="str">
        <f t="shared" ca="1" si="81"/>
        <v/>
      </c>
      <c r="N607" s="2" t="str">
        <f t="shared" ca="1" si="83"/>
        <v>○</v>
      </c>
      <c r="O607" s="2" t="str">
        <f t="shared" ca="1" si="86"/>
        <v/>
      </c>
      <c r="P607" s="2" t="str">
        <f t="shared" ca="1" si="87"/>
        <v/>
      </c>
    </row>
    <row r="608" spans="1:16">
      <c r="A608">
        <f t="shared" si="88"/>
        <v>605</v>
      </c>
      <c r="B608" t="str">
        <f ca="1">IFERROR(VLOOKUP($A608,'vbs,vba'!$G:$H,2,FALSE),"")</f>
        <v/>
      </c>
      <c r="C608" t="str">
        <f ca="1">IFERROR(VLOOKUP($A608,python!$I:$J,2,FALSE),"")</f>
        <v>集合 差集合</v>
      </c>
      <c r="D608" t="str">
        <f ca="1">IFERROR(VLOOKUP($A608,bat!$F:$G,2,FALSE),"")</f>
        <v/>
      </c>
      <c r="E608" t="str">
        <f ca="1">IFERROR(VLOOKUP($A608,shell!$F:$G,2,FALSE),"")</f>
        <v/>
      </c>
      <c r="F608" t="str">
        <f t="shared" ca="1" si="84"/>
        <v>集合 差集合</v>
      </c>
      <c r="G608">
        <f ca="1">IF($F608="","",COUNTIF($F$3:$F608,$F608))</f>
        <v>1</v>
      </c>
      <c r="H608">
        <f ca="1">IF(OR(G608&gt;1,G608=""),"",COUNTIF($G$3:$G608,1))</f>
        <v>584</v>
      </c>
      <c r="I608" t="str">
        <f t="shared" ca="1" si="85"/>
        <v>集合 差集合</v>
      </c>
      <c r="K608">
        <f t="shared" si="89"/>
        <v>605</v>
      </c>
      <c r="L608" t="str">
        <f t="shared" ca="1" si="82"/>
        <v>検索結果(list) マッチ文字列取得</v>
      </c>
      <c r="M608" s="2" t="str">
        <f t="shared" ca="1" si="81"/>
        <v/>
      </c>
      <c r="N608" s="2" t="str">
        <f t="shared" ca="1" si="83"/>
        <v>○</v>
      </c>
      <c r="O608" s="2" t="str">
        <f t="shared" ca="1" si="86"/>
        <v/>
      </c>
      <c r="P608" s="2" t="str">
        <f t="shared" ca="1" si="87"/>
        <v/>
      </c>
    </row>
    <row r="609" spans="1:16">
      <c r="A609">
        <f t="shared" si="88"/>
        <v>606</v>
      </c>
      <c r="B609" t="str">
        <f ca="1">IFERROR(VLOOKUP($A609,'vbs,vba'!$G:$H,2,FALSE),"")</f>
        <v/>
      </c>
      <c r="C609" t="str">
        <f ca="1">IFERROR(VLOOKUP($A609,python!$I:$J,2,FALSE),"")</f>
        <v>集合 排他的論理和</v>
      </c>
      <c r="D609" t="str">
        <f ca="1">IFERROR(VLOOKUP($A609,bat!$F:$G,2,FALSE),"")</f>
        <v/>
      </c>
      <c r="E609" t="str">
        <f ca="1">IFERROR(VLOOKUP($A609,shell!$F:$G,2,FALSE),"")</f>
        <v/>
      </c>
      <c r="F609" t="str">
        <f t="shared" ca="1" si="84"/>
        <v>集合 排他的論理和</v>
      </c>
      <c r="G609">
        <f ca="1">IF($F609="","",COUNTIF($F$3:$F609,$F609))</f>
        <v>1</v>
      </c>
      <c r="H609">
        <f ca="1">IF(OR(G609&gt;1,G609=""),"",COUNTIF($G$3:$G609,1))</f>
        <v>585</v>
      </c>
      <c r="I609" t="str">
        <f t="shared" ca="1" si="85"/>
        <v>集合 排他的論理和</v>
      </c>
      <c r="K609">
        <f t="shared" si="89"/>
        <v>606</v>
      </c>
      <c r="L609" t="str">
        <f t="shared" ca="1" si="82"/>
        <v>検索結果(list) サブマッチ文字列取得</v>
      </c>
      <c r="M609" s="2" t="str">
        <f t="shared" ca="1" si="81"/>
        <v/>
      </c>
      <c r="N609" s="2" t="str">
        <f t="shared" ca="1" si="83"/>
        <v>○</v>
      </c>
      <c r="O609" s="2" t="str">
        <f t="shared" ca="1" si="86"/>
        <v/>
      </c>
      <c r="P609" s="2" t="str">
        <f t="shared" ca="1" si="87"/>
        <v/>
      </c>
    </row>
    <row r="610" spans="1:16">
      <c r="A610">
        <f t="shared" si="88"/>
        <v>607</v>
      </c>
      <c r="B610" t="str">
        <f ca="1">IFERROR(VLOOKUP($A610,'vbs,vba'!$G:$H,2,FALSE),"")</f>
        <v/>
      </c>
      <c r="C610" t="str">
        <f ca="1">IFERROR(VLOOKUP($A610,python!$I:$J,2,FALSE),"")</f>
        <v>集合 反転</v>
      </c>
      <c r="D610" t="str">
        <f ca="1">IFERROR(VLOOKUP($A610,bat!$F:$G,2,FALSE),"")</f>
        <v/>
      </c>
      <c r="E610" t="str">
        <f ca="1">IFERROR(VLOOKUP($A610,shell!$F:$G,2,FALSE),"")</f>
        <v/>
      </c>
      <c r="F610" t="str">
        <f t="shared" ca="1" si="84"/>
        <v>集合 反転</v>
      </c>
      <c r="G610">
        <f ca="1">IF($F610="","",COUNTIF($F$3:$F610,$F610))</f>
        <v>1</v>
      </c>
      <c r="H610">
        <f ca="1">IF(OR(G610&gt;1,G610=""),"",COUNTIF($G$3:$G610,1))</f>
        <v>586</v>
      </c>
      <c r="I610" t="str">
        <f t="shared" ca="1" si="85"/>
        <v>集合 反転</v>
      </c>
      <c r="K610">
        <f t="shared" si="89"/>
        <v>607</v>
      </c>
      <c r="L610" t="str">
        <f t="shared" ca="1" si="82"/>
        <v>検索実行(obj) コンパイルあり時</v>
      </c>
      <c r="M610" s="2" t="str">
        <f t="shared" ca="1" si="81"/>
        <v/>
      </c>
      <c r="N610" s="2" t="str">
        <f t="shared" ca="1" si="83"/>
        <v>○</v>
      </c>
      <c r="O610" s="2" t="str">
        <f t="shared" ca="1" si="86"/>
        <v/>
      </c>
      <c r="P610" s="2" t="str">
        <f t="shared" ca="1" si="87"/>
        <v/>
      </c>
    </row>
    <row r="611" spans="1:16">
      <c r="A611">
        <f t="shared" si="88"/>
        <v>608</v>
      </c>
      <c r="B611" t="str">
        <f ca="1">IFERROR(VLOOKUP($A611,'vbs,vba'!$G:$H,2,FALSE),"")</f>
        <v/>
      </c>
      <c r="C611" t="str">
        <f ca="1">IFERROR(VLOOKUP($A611,python!$I:$J,2,FALSE),"")</f>
        <v>集合 リスト→集合変換</v>
      </c>
      <c r="D611" t="str">
        <f ca="1">IFERROR(VLOOKUP($A611,bat!$F:$G,2,FALSE),"")</f>
        <v/>
      </c>
      <c r="E611" t="str">
        <f ca="1">IFERROR(VLOOKUP($A611,shell!$F:$G,2,FALSE),"")</f>
        <v/>
      </c>
      <c r="F611" t="str">
        <f t="shared" ca="1" si="84"/>
        <v>集合 リスト→集合変換</v>
      </c>
      <c r="G611">
        <f ca="1">IF($F611="","",COUNTIF($F$3:$F611,$F611))</f>
        <v>1</v>
      </c>
      <c r="H611">
        <f ca="1">IF(OR(G611&gt;1,G611=""),"",COUNTIF($G$3:$G611,1))</f>
        <v>587</v>
      </c>
      <c r="I611" t="str">
        <f t="shared" ca="1" si="85"/>
        <v>集合 リスト→集合変換</v>
      </c>
      <c r="K611">
        <f t="shared" si="89"/>
        <v>608</v>
      </c>
      <c r="L611" t="str">
        <f t="shared" ca="1" si="82"/>
        <v>検索実行(obj) コンパイルなし時</v>
      </c>
      <c r="M611" s="2" t="str">
        <f t="shared" ca="1" si="81"/>
        <v/>
      </c>
      <c r="N611" s="2" t="str">
        <f t="shared" ca="1" si="83"/>
        <v>○</v>
      </c>
      <c r="O611" s="2" t="str">
        <f t="shared" ca="1" si="86"/>
        <v/>
      </c>
      <c r="P611" s="2" t="str">
        <f t="shared" ca="1" si="87"/>
        <v/>
      </c>
    </row>
    <row r="612" spans="1:16">
      <c r="A612">
        <f t="shared" si="88"/>
        <v>609</v>
      </c>
      <c r="B612" t="str">
        <f ca="1">IFERROR(VLOOKUP($A612,'vbs,vba'!$G:$H,2,FALSE),"")</f>
        <v/>
      </c>
      <c r="C612" t="str">
        <f ca="1">IFERROR(VLOOKUP($A612,python!$I:$J,2,FALSE),"")</f>
        <v>集合 集合→リスト変換</v>
      </c>
      <c r="D612" t="str">
        <f ca="1">IFERROR(VLOOKUP($A612,bat!$F:$G,2,FALSE),"")</f>
        <v/>
      </c>
      <c r="E612" t="str">
        <f ca="1">IFERROR(VLOOKUP($A612,shell!$F:$G,2,FALSE),"")</f>
        <v/>
      </c>
      <c r="F612" t="str">
        <f t="shared" ca="1" si="84"/>
        <v>集合 集合→リスト変換</v>
      </c>
      <c r="G612">
        <f ca="1">IF($F612="","",COUNTIF($F$3:$F612,$F612))</f>
        <v>1</v>
      </c>
      <c r="H612">
        <f ca="1">IF(OR(G612&gt;1,G612=""),"",COUNTIF($G$3:$G612,1))</f>
        <v>588</v>
      </c>
      <c r="I612" t="str">
        <f t="shared" ca="1" si="85"/>
        <v>集合 集合→リスト変換</v>
      </c>
      <c r="K612">
        <f t="shared" si="89"/>
        <v>609</v>
      </c>
      <c r="L612" t="str">
        <f t="shared" ca="1" si="82"/>
        <v>検索結果(obj) マッチ有無判定</v>
      </c>
      <c r="M612" s="2" t="str">
        <f t="shared" ca="1" si="81"/>
        <v/>
      </c>
      <c r="N612" s="2" t="str">
        <f t="shared" ca="1" si="83"/>
        <v>○</v>
      </c>
      <c r="O612" s="2" t="str">
        <f t="shared" ca="1" si="86"/>
        <v/>
      </c>
      <c r="P612" s="2" t="str">
        <f t="shared" ca="1" si="87"/>
        <v/>
      </c>
    </row>
    <row r="613" spans="1:16">
      <c r="A613">
        <f t="shared" si="88"/>
        <v>610</v>
      </c>
      <c r="B613" t="str">
        <f ca="1">IFERROR(VLOOKUP($A613,'vbs,vba'!$G:$H,2,FALSE),"")</f>
        <v/>
      </c>
      <c r="C613" t="str">
        <f ca="1">IFERROR(VLOOKUP($A613,python!$I:$J,2,FALSE),"")</f>
        <v>集合 内包表記</v>
      </c>
      <c r="D613" t="str">
        <f ca="1">IFERROR(VLOOKUP($A613,bat!$F:$G,2,FALSE),"")</f>
        <v/>
      </c>
      <c r="E613" t="str">
        <f ca="1">IFERROR(VLOOKUP($A613,shell!$F:$G,2,FALSE),"")</f>
        <v/>
      </c>
      <c r="F613" t="str">
        <f t="shared" ca="1" si="84"/>
        <v>集合 内包表記</v>
      </c>
      <c r="G613">
        <f ca="1">IF($F613="","",COUNTIF($F$3:$F613,$F613))</f>
        <v>1</v>
      </c>
      <c r="H613">
        <f ca="1">IF(OR(G613&gt;1,G613=""),"",COUNTIF($G$3:$G613,1))</f>
        <v>589</v>
      </c>
      <c r="I613" t="str">
        <f t="shared" ca="1" si="85"/>
        <v>集合 内包表記</v>
      </c>
      <c r="K613">
        <f t="shared" si="89"/>
        <v>610</v>
      </c>
      <c r="L613" t="str">
        <f t="shared" ca="1" si="82"/>
        <v>検索結果(obj) マッチ数取得</v>
      </c>
      <c r="M613" s="2" t="str">
        <f t="shared" ca="1" si="81"/>
        <v/>
      </c>
      <c r="N613" s="2" t="str">
        <f t="shared" ca="1" si="83"/>
        <v>○</v>
      </c>
      <c r="O613" s="2" t="str">
        <f t="shared" ca="1" si="86"/>
        <v/>
      </c>
      <c r="P613" s="2" t="str">
        <f t="shared" ca="1" si="87"/>
        <v/>
      </c>
    </row>
    <row r="614" spans="1:16">
      <c r="A614">
        <f t="shared" si="88"/>
        <v>611</v>
      </c>
      <c r="B614" t="str">
        <f ca="1">IFERROR(VLOOKUP($A614,'vbs,vba'!$G:$H,2,FALSE),"")</f>
        <v/>
      </c>
      <c r="C614" t="str">
        <f ca="1">IFERROR(VLOOKUP($A614,python!$I:$J,2,FALSE),"")</f>
        <v>オブジェクト定義(初期値なし)</v>
      </c>
      <c r="D614" t="str">
        <f ca="1">IFERROR(VLOOKUP($A614,bat!$F:$G,2,FALSE),"")</f>
        <v/>
      </c>
      <c r="E614" t="str">
        <f ca="1">IFERROR(VLOOKUP($A614,shell!$F:$G,2,FALSE),"")</f>
        <v/>
      </c>
      <c r="F614" t="str">
        <f t="shared" ca="1" si="84"/>
        <v>オブジェクト定義(初期値なし)</v>
      </c>
      <c r="G614">
        <f ca="1">IF($F614="","",COUNTIF($F$3:$F614,$F614))</f>
        <v>1</v>
      </c>
      <c r="H614">
        <f ca="1">IF(OR(G614&gt;1,G614=""),"",COUNTIF($G$3:$G614,1))</f>
        <v>590</v>
      </c>
      <c r="I614" t="str">
        <f t="shared" ca="1" si="85"/>
        <v>オブジェクト定義(初期値なし)</v>
      </c>
      <c r="K614">
        <f t="shared" si="89"/>
        <v>611</v>
      </c>
      <c r="L614" t="str">
        <f t="shared" ca="1" si="82"/>
        <v>検索結果(obj) サブマッチ数取得</v>
      </c>
      <c r="M614" s="2" t="str">
        <f t="shared" ca="1" si="81"/>
        <v/>
      </c>
      <c r="N614" s="2" t="str">
        <f t="shared" ca="1" si="83"/>
        <v>○</v>
      </c>
      <c r="O614" s="2" t="str">
        <f t="shared" ca="1" si="86"/>
        <v/>
      </c>
      <c r="P614" s="2" t="str">
        <f t="shared" ca="1" si="87"/>
        <v/>
      </c>
    </row>
    <row r="615" spans="1:16">
      <c r="A615">
        <f t="shared" si="88"/>
        <v>612</v>
      </c>
      <c r="B615" t="str">
        <f ca="1">IFERROR(VLOOKUP($A615,'vbs,vba'!$G:$H,2,FALSE),"")</f>
        <v/>
      </c>
      <c r="C615" t="str">
        <f ca="1">IFERROR(VLOOKUP($A615,python!$I:$J,2,FALSE),"")</f>
        <v>オブジェクト定義(初期値なし)</v>
      </c>
      <c r="D615" t="str">
        <f ca="1">IFERROR(VLOOKUP($A615,bat!$F:$G,2,FALSE),"")</f>
        <v/>
      </c>
      <c r="E615" t="str">
        <f ca="1">IFERROR(VLOOKUP($A615,shell!$F:$G,2,FALSE),"")</f>
        <v/>
      </c>
      <c r="F615" t="str">
        <f t="shared" ca="1" si="84"/>
        <v>オブジェクト定義(初期値なし)</v>
      </c>
      <c r="G615">
        <f ca="1">IF($F615="","",COUNTIF($F$3:$F615,$F615))</f>
        <v>2</v>
      </c>
      <c r="H615" t="str">
        <f ca="1">IF(OR(G615&gt;1,G615=""),"",COUNTIF($G$3:$G615,1))</f>
        <v/>
      </c>
      <c r="I615" t="str">
        <f t="shared" ca="1" si="85"/>
        <v>オブジェクト定義(初期値なし)</v>
      </c>
      <c r="K615">
        <f t="shared" si="89"/>
        <v>612</v>
      </c>
      <c r="L615" t="str">
        <f t="shared" ca="1" si="82"/>
        <v>検索結果(obj) マッチ文字列取得</v>
      </c>
      <c r="M615" s="2" t="str">
        <f t="shared" ca="1" si="81"/>
        <v/>
      </c>
      <c r="N615" s="2" t="str">
        <f t="shared" ca="1" si="83"/>
        <v>○</v>
      </c>
      <c r="O615" s="2" t="str">
        <f t="shared" ca="1" si="86"/>
        <v/>
      </c>
      <c r="P615" s="2" t="str">
        <f t="shared" ca="1" si="87"/>
        <v/>
      </c>
    </row>
    <row r="616" spans="1:16">
      <c r="A616">
        <f t="shared" si="88"/>
        <v>613</v>
      </c>
      <c r="B616" t="str">
        <f ca="1">IFERROR(VLOOKUP($A616,'vbs,vba'!$G:$H,2,FALSE),"")</f>
        <v/>
      </c>
      <c r="C616" t="str">
        <f ca="1">IFERROR(VLOOKUP($A616,python!$I:$J,2,FALSE),"")</f>
        <v>オブジェクト定義(初期値あり)</v>
      </c>
      <c r="D616" t="str">
        <f ca="1">IFERROR(VLOOKUP($A616,bat!$F:$G,2,FALSE),"")</f>
        <v/>
      </c>
      <c r="E616" t="str">
        <f ca="1">IFERROR(VLOOKUP($A616,shell!$F:$G,2,FALSE),"")</f>
        <v/>
      </c>
      <c r="F616" t="str">
        <f t="shared" ca="1" si="84"/>
        <v>オブジェクト定義(初期値あり)</v>
      </c>
      <c r="G616">
        <f ca="1">IF($F616="","",COUNTIF($F$3:$F616,$F616))</f>
        <v>1</v>
      </c>
      <c r="H616">
        <f ca="1">IF(OR(G616&gt;1,G616=""),"",COUNTIF($G$3:$G616,1))</f>
        <v>591</v>
      </c>
      <c r="I616" t="str">
        <f t="shared" ca="1" si="85"/>
        <v>オブジェクト定義(初期値あり)</v>
      </c>
      <c r="K616">
        <f t="shared" si="89"/>
        <v>613</v>
      </c>
      <c r="L616" t="str">
        <f t="shared" ca="1" si="82"/>
        <v>検索結果(obj) サブマッチ文字列取得</v>
      </c>
      <c r="M616" s="2" t="str">
        <f t="shared" ca="1" si="81"/>
        <v/>
      </c>
      <c r="N616" s="2" t="str">
        <f t="shared" ca="1" si="83"/>
        <v>○</v>
      </c>
      <c r="O616" s="2" t="str">
        <f t="shared" ca="1" si="86"/>
        <v/>
      </c>
      <c r="P616" s="2" t="str">
        <f t="shared" ca="1" si="87"/>
        <v/>
      </c>
    </row>
    <row r="617" spans="1:16">
      <c r="A617">
        <f t="shared" si="88"/>
        <v>614</v>
      </c>
      <c r="B617" t="str">
        <f ca="1">IFERROR(VLOOKUP($A617,'vbs,vba'!$G:$H,2,FALSE),"")</f>
        <v/>
      </c>
      <c r="C617" t="str">
        <f ca="1">IFERROR(VLOOKUP($A617,python!$I:$J,2,FALSE),"")</f>
        <v>連想配列 キー/項目追加</v>
      </c>
      <c r="D617" t="str">
        <f ca="1">IFERROR(VLOOKUP($A617,bat!$F:$G,2,FALSE),"")</f>
        <v/>
      </c>
      <c r="E617" t="str">
        <f ca="1">IFERROR(VLOOKUP($A617,shell!$F:$G,2,FALSE),"")</f>
        <v/>
      </c>
      <c r="F617" t="str">
        <f t="shared" ca="1" si="84"/>
        <v>連想配列 キー/項目追加</v>
      </c>
      <c r="G617">
        <f ca="1">IF($F617="","",COUNTIF($F$3:$F617,$F617))</f>
        <v>2</v>
      </c>
      <c r="H617" t="str">
        <f ca="1">IF(OR(G617&gt;1,G617=""),"",COUNTIF($G$3:$G617,1))</f>
        <v/>
      </c>
      <c r="I617" t="str">
        <f t="shared" ca="1" si="85"/>
        <v>連想配列 キー/項目追加</v>
      </c>
      <c r="K617">
        <f t="shared" si="89"/>
        <v>614</v>
      </c>
      <c r="L617" t="str">
        <f t="shared" ca="1" si="82"/>
        <v>検索結果(obj) マッチ開始位置取得</v>
      </c>
      <c r="M617" s="2" t="str">
        <f t="shared" ca="1" si="81"/>
        <v/>
      </c>
      <c r="N617" s="2" t="str">
        <f t="shared" ca="1" si="83"/>
        <v>○</v>
      </c>
      <c r="O617" s="2" t="str">
        <f t="shared" ca="1" si="86"/>
        <v/>
      </c>
      <c r="P617" s="2" t="str">
        <f t="shared" ca="1" si="87"/>
        <v/>
      </c>
    </row>
    <row r="618" spans="1:16">
      <c r="A618">
        <f t="shared" si="88"/>
        <v>615</v>
      </c>
      <c r="B618" t="str">
        <f ca="1">IFERROR(VLOOKUP($A618,'vbs,vba'!$G:$H,2,FALSE),"")</f>
        <v/>
      </c>
      <c r="C618" t="str">
        <f ca="1">IFERROR(VLOOKUP($A618,python!$I:$J,2,FALSE),"")</f>
        <v>連想配列 項目変更</v>
      </c>
      <c r="D618" t="str">
        <f ca="1">IFERROR(VLOOKUP($A618,bat!$F:$G,2,FALSE),"")</f>
        <v/>
      </c>
      <c r="E618" t="str">
        <f ca="1">IFERROR(VLOOKUP($A618,shell!$F:$G,2,FALSE),"")</f>
        <v/>
      </c>
      <c r="F618" t="str">
        <f t="shared" ca="1" si="84"/>
        <v>連想配列 項目変更</v>
      </c>
      <c r="G618">
        <f ca="1">IF($F618="","",COUNTIF($F$3:$F618,$F618))</f>
        <v>1</v>
      </c>
      <c r="H618">
        <f ca="1">IF(OR(G618&gt;1,G618=""),"",COUNTIF($G$3:$G618,1))</f>
        <v>592</v>
      </c>
      <c r="I618" t="str">
        <f t="shared" ca="1" si="85"/>
        <v>連想配列 項目変更</v>
      </c>
      <c r="K618">
        <f t="shared" si="89"/>
        <v>615</v>
      </c>
      <c r="L618" t="str">
        <f t="shared" ca="1" si="82"/>
        <v>検索結果(obj) マッチ終了位置取得</v>
      </c>
      <c r="M618" s="2" t="str">
        <f t="shared" ca="1" si="81"/>
        <v/>
      </c>
      <c r="N618" s="2" t="str">
        <f t="shared" ca="1" si="83"/>
        <v>○</v>
      </c>
      <c r="O618" s="2" t="str">
        <f t="shared" ca="1" si="86"/>
        <v/>
      </c>
      <c r="P618" s="2" t="str">
        <f t="shared" ca="1" si="87"/>
        <v/>
      </c>
    </row>
    <row r="619" spans="1:16">
      <c r="A619">
        <f t="shared" si="88"/>
        <v>616</v>
      </c>
      <c r="B619" t="str">
        <f ca="1">IFERROR(VLOOKUP($A619,'vbs,vba'!$G:$H,2,FALSE),"")</f>
        <v/>
      </c>
      <c r="C619" t="str">
        <f ca="1">IFERROR(VLOOKUP($A619,python!$I:$J,2,FALSE),"")</f>
        <v>連想配列 存在確認</v>
      </c>
      <c r="D619" t="str">
        <f ca="1">IFERROR(VLOOKUP($A619,bat!$F:$G,2,FALSE),"")</f>
        <v/>
      </c>
      <c r="E619" t="str">
        <f ca="1">IFERROR(VLOOKUP($A619,shell!$F:$G,2,FALSE),"")</f>
        <v/>
      </c>
      <c r="F619" t="str">
        <f t="shared" ca="1" si="84"/>
        <v>連想配列 存在確認</v>
      </c>
      <c r="G619">
        <f ca="1">IF($F619="","",COUNTIF($F$3:$F619,$F619))</f>
        <v>2</v>
      </c>
      <c r="H619" t="str">
        <f ca="1">IF(OR(G619&gt;1,G619=""),"",COUNTIF($G$3:$G619,1))</f>
        <v/>
      </c>
      <c r="I619" t="str">
        <f t="shared" ca="1" si="85"/>
        <v>連想配列 存在確認</v>
      </c>
      <c r="K619">
        <f t="shared" si="89"/>
        <v>616</v>
      </c>
      <c r="L619" t="str">
        <f t="shared" ca="1" si="82"/>
        <v>インポート</v>
      </c>
      <c r="M619" s="2" t="str">
        <f t="shared" ca="1" si="81"/>
        <v/>
      </c>
      <c r="N619" s="2" t="str">
        <f t="shared" ca="1" si="83"/>
        <v>○</v>
      </c>
      <c r="O619" s="2" t="str">
        <f t="shared" ca="1" si="86"/>
        <v/>
      </c>
      <c r="P619" s="2" t="str">
        <f t="shared" ca="1" si="87"/>
        <v/>
      </c>
    </row>
    <row r="620" spans="1:16">
      <c r="A620">
        <f t="shared" si="88"/>
        <v>617</v>
      </c>
      <c r="B620" t="str">
        <f ca="1">IFERROR(VLOOKUP($A620,'vbs,vba'!$G:$H,2,FALSE),"")</f>
        <v/>
      </c>
      <c r="C620" t="str">
        <f ca="1">IFERROR(VLOOKUP($A620,python!$I:$J,2,FALSE),"")</f>
        <v>連想配列 項目取得（キー）</v>
      </c>
      <c r="D620" t="str">
        <f ca="1">IFERROR(VLOOKUP($A620,bat!$F:$G,2,FALSE),"")</f>
        <v/>
      </c>
      <c r="E620" t="str">
        <f ca="1">IFERROR(VLOOKUP($A620,shell!$F:$G,2,FALSE),"")</f>
        <v/>
      </c>
      <c r="F620" t="str">
        <f t="shared" ca="1" si="84"/>
        <v>連想配列 項目取得（キー）</v>
      </c>
      <c r="G620">
        <f ca="1">IF($F620="","",COUNTIF($F$3:$F620,$F620))</f>
        <v>2</v>
      </c>
      <c r="H620" t="str">
        <f ca="1">IF(OR(G620&gt;1,G620=""),"",COUNTIF($G$3:$G620,1))</f>
        <v/>
      </c>
      <c r="I620" t="str">
        <f t="shared" ca="1" si="85"/>
        <v>連想配列 項目取得（キー）</v>
      </c>
      <c r="K620">
        <f t="shared" si="89"/>
        <v>617</v>
      </c>
      <c r="L620" t="str">
        <f t="shared" ca="1" si="82"/>
        <v>環境変数 値更新</v>
      </c>
      <c r="M620" s="2" t="str">
        <f t="shared" ca="1" si="81"/>
        <v/>
      </c>
      <c r="N620" s="2" t="str">
        <f t="shared" ca="1" si="83"/>
        <v>○</v>
      </c>
      <c r="O620" s="2" t="str">
        <f t="shared" ca="1" si="86"/>
        <v/>
      </c>
      <c r="P620" s="2" t="str">
        <f t="shared" ca="1" si="87"/>
        <v/>
      </c>
    </row>
    <row r="621" spans="1:16">
      <c r="A621">
        <f t="shared" si="88"/>
        <v>618</v>
      </c>
      <c r="B621" t="str">
        <f ca="1">IFERROR(VLOOKUP($A621,'vbs,vba'!$G:$H,2,FALSE),"")</f>
        <v/>
      </c>
      <c r="C621" t="str">
        <f ca="1">IFERROR(VLOOKUP($A621,python!$I:$J,2,FALSE),"")</f>
        <v>連想配列 項目取得（キー）</v>
      </c>
      <c r="D621" t="str">
        <f ca="1">IFERROR(VLOOKUP($A621,bat!$F:$G,2,FALSE),"")</f>
        <v/>
      </c>
      <c r="E621" t="str">
        <f ca="1">IFERROR(VLOOKUP($A621,shell!$F:$G,2,FALSE),"")</f>
        <v/>
      </c>
      <c r="F621" t="str">
        <f t="shared" ca="1" si="84"/>
        <v>連想配列 項目取得（キー）</v>
      </c>
      <c r="G621">
        <f ca="1">IF($F621="","",COUNTIF($F$3:$F621,$F621))</f>
        <v>3</v>
      </c>
      <c r="H621" t="str">
        <f ca="1">IF(OR(G621&gt;1,G621=""),"",COUNTIF($G$3:$G621,1))</f>
        <v/>
      </c>
      <c r="I621" t="str">
        <f t="shared" ca="1" si="85"/>
        <v>連想配列 項目取得（キー）</v>
      </c>
      <c r="K621">
        <f t="shared" si="89"/>
        <v>618</v>
      </c>
      <c r="L621" t="str">
        <f t="shared" ca="1" si="82"/>
        <v>環境変数 値取得</v>
      </c>
      <c r="M621" s="2" t="str">
        <f t="shared" ca="1" si="81"/>
        <v/>
      </c>
      <c r="N621" s="2" t="str">
        <f t="shared" ca="1" si="83"/>
        <v>○</v>
      </c>
      <c r="O621" s="2" t="str">
        <f t="shared" ca="1" si="86"/>
        <v/>
      </c>
      <c r="P621" s="2" t="str">
        <f t="shared" ca="1" si="87"/>
        <v/>
      </c>
    </row>
    <row r="622" spans="1:16">
      <c r="A622">
        <f t="shared" si="88"/>
        <v>619</v>
      </c>
      <c r="B622" t="str">
        <f ca="1">IFERROR(VLOOKUP($A622,'vbs,vba'!$G:$H,2,FALSE),"")</f>
        <v/>
      </c>
      <c r="C622" t="str">
        <f ca="1">IFERROR(VLOOKUP($A622,python!$I:$J,2,FALSE),"")</f>
        <v>連想配列 項目取得（キー）</v>
      </c>
      <c r="D622" t="str">
        <f ca="1">IFERROR(VLOOKUP($A622,bat!$F:$G,2,FALSE),"")</f>
        <v/>
      </c>
      <c r="E622" t="str">
        <f ca="1">IFERROR(VLOOKUP($A622,shell!$F:$G,2,FALSE),"")</f>
        <v/>
      </c>
      <c r="F622" t="str">
        <f t="shared" ca="1" si="84"/>
        <v>連想配列 項目取得（キー）</v>
      </c>
      <c r="G622">
        <f ca="1">IF($F622="","",COUNTIF($F$3:$F622,$F622))</f>
        <v>4</v>
      </c>
      <c r="H622" t="str">
        <f ca="1">IF(OR(G622&gt;1,G622=""),"",COUNTIF($G$3:$G622,1))</f>
        <v/>
      </c>
      <c r="I622" t="str">
        <f t="shared" ca="1" si="85"/>
        <v>連想配列 項目取得（キー）</v>
      </c>
      <c r="K622">
        <f t="shared" si="89"/>
        <v>619</v>
      </c>
      <c r="L622" t="str">
        <f t="shared" ca="1" si="82"/>
        <v>シンボリックリンク 作成</v>
      </c>
      <c r="M622" s="2" t="str">
        <f t="shared" ca="1" si="81"/>
        <v/>
      </c>
      <c r="N622" s="2" t="str">
        <f t="shared" ca="1" si="83"/>
        <v>○</v>
      </c>
      <c r="O622" s="2" t="str">
        <f t="shared" ca="1" si="86"/>
        <v/>
      </c>
      <c r="P622" s="2" t="str">
        <f t="shared" ca="1" si="87"/>
        <v/>
      </c>
    </row>
    <row r="623" spans="1:16">
      <c r="A623">
        <f t="shared" si="88"/>
        <v>620</v>
      </c>
      <c r="B623" t="str">
        <f ca="1">IFERROR(VLOOKUP($A623,'vbs,vba'!$G:$H,2,FALSE),"")</f>
        <v/>
      </c>
      <c r="C623" t="str">
        <f ca="1">IFERROR(VLOOKUP($A623,python!$I:$J,2,FALSE),"")</f>
        <v>連想配列 キー取得（For Each）</v>
      </c>
      <c r="D623" t="str">
        <f ca="1">IFERROR(VLOOKUP($A623,bat!$F:$G,2,FALSE),"")</f>
        <v/>
      </c>
      <c r="E623" t="str">
        <f ca="1">IFERROR(VLOOKUP($A623,shell!$F:$G,2,FALSE),"")</f>
        <v/>
      </c>
      <c r="F623" t="str">
        <f t="shared" ca="1" si="84"/>
        <v>連想配列 キー取得（For Each）</v>
      </c>
      <c r="G623">
        <f ca="1">IF($F623="","",COUNTIF($F$3:$F623,$F623))</f>
        <v>2</v>
      </c>
      <c r="H623" t="str">
        <f ca="1">IF(OR(G623&gt;1,G623=""),"",COUNTIF($G$3:$G623,1))</f>
        <v/>
      </c>
      <c r="I623" t="str">
        <f t="shared" ca="1" si="85"/>
        <v>連想配列 キー取得（For Each）</v>
      </c>
      <c r="K623">
        <f t="shared" si="89"/>
        <v>620</v>
      </c>
      <c r="L623" t="str">
        <f t="shared" ca="1" si="82"/>
        <v>ファイル コピー（ファイル内容）</v>
      </c>
      <c r="M623" s="2" t="str">
        <f t="shared" ca="1" si="81"/>
        <v/>
      </c>
      <c r="N623" s="2" t="str">
        <f t="shared" ca="1" si="83"/>
        <v>○</v>
      </c>
      <c r="O623" s="2" t="str">
        <f t="shared" ca="1" si="86"/>
        <v/>
      </c>
      <c r="P623" s="2" t="str">
        <f t="shared" ca="1" si="87"/>
        <v/>
      </c>
    </row>
    <row r="624" spans="1:16">
      <c r="A624">
        <f t="shared" si="88"/>
        <v>621</v>
      </c>
      <c r="B624" t="str">
        <f ca="1">IFERROR(VLOOKUP($A624,'vbs,vba'!$G:$H,2,FALSE),"")</f>
        <v/>
      </c>
      <c r="C624" t="str">
        <f ca="1">IFERROR(VLOOKUP($A624,python!$I:$J,2,FALSE),"")</f>
        <v>連想配列 キー取得（For Each）</v>
      </c>
      <c r="D624" t="str">
        <f ca="1">IFERROR(VLOOKUP($A624,bat!$F:$G,2,FALSE),"")</f>
        <v/>
      </c>
      <c r="E624" t="str">
        <f ca="1">IFERROR(VLOOKUP($A624,shell!$F:$G,2,FALSE),"")</f>
        <v/>
      </c>
      <c r="F624" t="str">
        <f t="shared" ca="1" si="84"/>
        <v>連想配列 キー取得（For Each）</v>
      </c>
      <c r="G624">
        <f ca="1">IF($F624="","",COUNTIF($F$3:$F624,$F624))</f>
        <v>3</v>
      </c>
      <c r="H624" t="str">
        <f ca="1">IF(OR(G624&gt;1,G624=""),"",COUNTIF($G$3:$G624,1))</f>
        <v/>
      </c>
      <c r="I624" t="str">
        <f t="shared" ca="1" si="85"/>
        <v>連想配列 キー取得（For Each）</v>
      </c>
      <c r="K624">
        <f t="shared" si="89"/>
        <v>621</v>
      </c>
      <c r="L624" t="str">
        <f t="shared" ca="1" si="82"/>
        <v>ファイル コピー（ファイル内容+Permission）</v>
      </c>
      <c r="M624" s="2" t="str">
        <f t="shared" ca="1" si="81"/>
        <v/>
      </c>
      <c r="N624" s="2" t="str">
        <f t="shared" ca="1" si="83"/>
        <v>○</v>
      </c>
      <c r="O624" s="2" t="str">
        <f t="shared" ca="1" si="86"/>
        <v/>
      </c>
      <c r="P624" s="2" t="str">
        <f t="shared" ca="1" si="87"/>
        <v/>
      </c>
    </row>
    <row r="625" spans="1:16">
      <c r="A625">
        <f t="shared" si="88"/>
        <v>622</v>
      </c>
      <c r="B625" t="str">
        <f ca="1">IFERROR(VLOOKUP($A625,'vbs,vba'!$G:$H,2,FALSE),"")</f>
        <v/>
      </c>
      <c r="C625" t="str">
        <f ca="1">IFERROR(VLOOKUP($A625,python!$I:$J,2,FALSE),"")</f>
        <v>連想配列 項目取得（For Each）</v>
      </c>
      <c r="D625" t="str">
        <f ca="1">IFERROR(VLOOKUP($A625,bat!$F:$G,2,FALSE),"")</f>
        <v/>
      </c>
      <c r="E625" t="str">
        <f ca="1">IFERROR(VLOOKUP($A625,shell!$F:$G,2,FALSE),"")</f>
        <v/>
      </c>
      <c r="F625" t="str">
        <f t="shared" ca="1" si="84"/>
        <v>連想配列 項目取得（For Each）</v>
      </c>
      <c r="G625">
        <f ca="1">IF($F625="","",COUNTIF($F$3:$F625,$F625))</f>
        <v>1</v>
      </c>
      <c r="H625">
        <f ca="1">IF(OR(G625&gt;1,G625=""),"",COUNTIF($G$3:$G625,1))</f>
        <v>593</v>
      </c>
      <c r="I625" t="str">
        <f t="shared" ca="1" si="85"/>
        <v>連想配列 項目取得（For Each）</v>
      </c>
      <c r="K625">
        <f t="shared" si="89"/>
        <v>622</v>
      </c>
      <c r="L625" t="str">
        <f t="shared" ca="1" si="82"/>
        <v>ファイル コピー（ファイル内容+Permission+MetaData）</v>
      </c>
      <c r="M625" s="2" t="str">
        <f t="shared" ca="1" si="81"/>
        <v/>
      </c>
      <c r="N625" s="2" t="str">
        <f t="shared" ca="1" si="83"/>
        <v>○</v>
      </c>
      <c r="O625" s="2" t="str">
        <f t="shared" ca="1" si="86"/>
        <v/>
      </c>
      <c r="P625" s="2" t="str">
        <f t="shared" ca="1" si="87"/>
        <v/>
      </c>
    </row>
    <row r="626" spans="1:16">
      <c r="A626">
        <f t="shared" si="88"/>
        <v>623</v>
      </c>
      <c r="B626" t="str">
        <f ca="1">IFERROR(VLOOKUP($A626,'vbs,vba'!$G:$H,2,FALSE),"")</f>
        <v/>
      </c>
      <c r="C626" t="str">
        <f ca="1">IFERROR(VLOOKUP($A626,python!$I:$J,2,FALSE),"")</f>
        <v>連想配列 キー/項目取得（For Each）</v>
      </c>
      <c r="D626" t="str">
        <f ca="1">IFERROR(VLOOKUP($A626,bat!$F:$G,2,FALSE),"")</f>
        <v/>
      </c>
      <c r="E626" t="str">
        <f ca="1">IFERROR(VLOOKUP($A626,shell!$F:$G,2,FALSE),"")</f>
        <v/>
      </c>
      <c r="F626" t="str">
        <f t="shared" ca="1" si="84"/>
        <v>連想配列 キー/項目取得（For Each）</v>
      </c>
      <c r="G626">
        <f ca="1">IF($F626="","",COUNTIF($F$3:$F626,$F626))</f>
        <v>1</v>
      </c>
      <c r="H626">
        <f ca="1">IF(OR(G626&gt;1,G626=""),"",COUNTIF($G$3:$G626,1))</f>
        <v>594</v>
      </c>
      <c r="I626" t="str">
        <f t="shared" ca="1" si="85"/>
        <v>連想配列 キー/項目取得（For Each）</v>
      </c>
      <c r="K626">
        <f t="shared" si="89"/>
        <v>623</v>
      </c>
      <c r="L626" t="str">
        <f t="shared" ca="1" si="82"/>
        <v>ファイル 存在確認</v>
      </c>
      <c r="M626" s="2" t="str">
        <f t="shared" ref="M626:M689" ca="1" si="90">IF($L626="","",IF(COUNTIF(B$3:B$1004,$L626)&gt;0,"○",""))</f>
        <v/>
      </c>
      <c r="N626" s="2" t="str">
        <f t="shared" ca="1" si="83"/>
        <v>○</v>
      </c>
      <c r="O626" s="2" t="str">
        <f t="shared" ca="1" si="86"/>
        <v/>
      </c>
      <c r="P626" s="2" t="str">
        <f t="shared" ca="1" si="87"/>
        <v/>
      </c>
    </row>
    <row r="627" spans="1:16">
      <c r="A627">
        <f t="shared" si="88"/>
        <v>624</v>
      </c>
      <c r="B627" t="str">
        <f ca="1">IFERROR(VLOOKUP($A627,'vbs,vba'!$G:$H,2,FALSE),"")</f>
        <v/>
      </c>
      <c r="C627" t="str">
        <f ca="1">IFERROR(VLOOKUP($A627,python!$I:$J,2,FALSE),"")</f>
        <v>連想配列 キー取得（インデックス）</v>
      </c>
      <c r="D627" t="str">
        <f ca="1">IFERROR(VLOOKUP($A627,bat!$F:$G,2,FALSE),"")</f>
        <v/>
      </c>
      <c r="E627" t="str">
        <f ca="1">IFERROR(VLOOKUP($A627,shell!$F:$G,2,FALSE),"")</f>
        <v/>
      </c>
      <c r="F627" t="str">
        <f t="shared" ca="1" si="84"/>
        <v>連想配列 キー取得（インデックス）</v>
      </c>
      <c r="G627">
        <f ca="1">IF($F627="","",COUNTIF($F$3:$F627,$F627))</f>
        <v>2</v>
      </c>
      <c r="H627" t="str">
        <f ca="1">IF(OR(G627&gt;1,G627=""),"",COUNTIF($G$3:$G627,1))</f>
        <v/>
      </c>
      <c r="I627" t="str">
        <f t="shared" ca="1" si="85"/>
        <v>連想配列 キー取得（インデックス）</v>
      </c>
      <c r="K627">
        <f t="shared" si="89"/>
        <v>624</v>
      </c>
      <c r="L627" t="str">
        <f t="shared" ca="1" si="82"/>
        <v>フォルダ コピー（配下全て）</v>
      </c>
      <c r="M627" s="2" t="str">
        <f t="shared" ca="1" si="90"/>
        <v/>
      </c>
      <c r="N627" s="2" t="str">
        <f t="shared" ca="1" si="83"/>
        <v>○</v>
      </c>
      <c r="O627" s="2" t="str">
        <f t="shared" ca="1" si="86"/>
        <v/>
      </c>
      <c r="P627" s="2" t="str">
        <f t="shared" ca="1" si="87"/>
        <v/>
      </c>
    </row>
    <row r="628" spans="1:16">
      <c r="A628">
        <f t="shared" si="88"/>
        <v>625</v>
      </c>
      <c r="B628" t="str">
        <f ca="1">IFERROR(VLOOKUP($A628,'vbs,vba'!$G:$H,2,FALSE),"")</f>
        <v/>
      </c>
      <c r="C628" t="str">
        <f ca="1">IFERROR(VLOOKUP($A628,python!$I:$J,2,FALSE),"")</f>
        <v>連想配列 項目取得（インデックス）</v>
      </c>
      <c r="D628" t="str">
        <f ca="1">IFERROR(VLOOKUP($A628,bat!$F:$G,2,FALSE),"")</f>
        <v/>
      </c>
      <c r="E628" t="str">
        <f ca="1">IFERROR(VLOOKUP($A628,shell!$F:$G,2,FALSE),"")</f>
        <v/>
      </c>
      <c r="F628" t="str">
        <f t="shared" ca="1" si="84"/>
        <v>連想配列 項目取得（インデックス）</v>
      </c>
      <c r="G628">
        <f ca="1">IF($F628="","",COUNTIF($F$3:$F628,$F628))</f>
        <v>2</v>
      </c>
      <c r="H628" t="str">
        <f ca="1">IF(OR(G628&gt;1,G628=""),"",COUNTIF($G$3:$G628,1))</f>
        <v/>
      </c>
      <c r="I628" t="str">
        <f t="shared" ca="1" si="85"/>
        <v>連想配列 項目取得（インデックス）</v>
      </c>
      <c r="K628">
        <f t="shared" si="89"/>
        <v>625</v>
      </c>
      <c r="L628" t="str">
        <f t="shared" ca="1" si="82"/>
        <v>フォルダ 削除（空ディレクトリのみ）</v>
      </c>
      <c r="M628" s="2" t="str">
        <f t="shared" ca="1" si="90"/>
        <v/>
      </c>
      <c r="N628" s="2" t="str">
        <f t="shared" ca="1" si="83"/>
        <v>○</v>
      </c>
      <c r="O628" s="2" t="str">
        <f t="shared" ca="1" si="86"/>
        <v/>
      </c>
      <c r="P628" s="2" t="str">
        <f t="shared" ca="1" si="87"/>
        <v/>
      </c>
    </row>
    <row r="629" spans="1:16">
      <c r="A629">
        <f t="shared" si="88"/>
        <v>626</v>
      </c>
      <c r="B629" t="str">
        <f ca="1">IFERROR(VLOOKUP($A629,'vbs,vba'!$G:$H,2,FALSE),"")</f>
        <v/>
      </c>
      <c r="C629" t="str">
        <f ca="1">IFERROR(VLOOKUP($A629,python!$I:$J,2,FALSE),"")</f>
        <v>連想配列 キー/項目数取得</v>
      </c>
      <c r="D629" t="str">
        <f ca="1">IFERROR(VLOOKUP($A629,bat!$F:$G,2,FALSE),"")</f>
        <v/>
      </c>
      <c r="E629" t="str">
        <f ca="1">IFERROR(VLOOKUP($A629,shell!$F:$G,2,FALSE),"")</f>
        <v/>
      </c>
      <c r="F629" t="str">
        <f t="shared" ca="1" si="84"/>
        <v>連想配列 キー/項目数取得</v>
      </c>
      <c r="G629">
        <f ca="1">IF($F629="","",COUNTIF($F$3:$F629,$F629))</f>
        <v>2</v>
      </c>
      <c r="H629" t="str">
        <f ca="1">IF(OR(G629&gt;1,G629=""),"",COUNTIF($G$3:$G629,1))</f>
        <v/>
      </c>
      <c r="I629" t="str">
        <f t="shared" ca="1" si="85"/>
        <v>連想配列 キー/項目数取得</v>
      </c>
      <c r="K629">
        <f t="shared" si="89"/>
        <v>626</v>
      </c>
      <c r="L629" t="str">
        <f t="shared" ca="1" si="82"/>
        <v>フォルダ 削除（配下全て）</v>
      </c>
      <c r="M629" s="2" t="str">
        <f t="shared" ca="1" si="90"/>
        <v/>
      </c>
      <c r="N629" s="2" t="str">
        <f t="shared" ca="1" si="83"/>
        <v>○</v>
      </c>
      <c r="O629" s="2" t="str">
        <f t="shared" ca="1" si="86"/>
        <v/>
      </c>
      <c r="P629" s="2" t="str">
        <f t="shared" ca="1" si="87"/>
        <v/>
      </c>
    </row>
    <row r="630" spans="1:16">
      <c r="A630">
        <f t="shared" si="88"/>
        <v>627</v>
      </c>
      <c r="B630" t="str">
        <f ca="1">IFERROR(VLOOKUP($A630,'vbs,vba'!$G:$H,2,FALSE),"")</f>
        <v/>
      </c>
      <c r="C630" t="str">
        <f ca="1">IFERROR(VLOOKUP($A630,python!$I:$J,2,FALSE),"")</f>
        <v>連想配列 キー/項目削除</v>
      </c>
      <c r="D630" t="str">
        <f ca="1">IFERROR(VLOOKUP($A630,bat!$F:$G,2,FALSE),"")</f>
        <v/>
      </c>
      <c r="E630" t="str">
        <f ca="1">IFERROR(VLOOKUP($A630,shell!$F:$G,2,FALSE),"")</f>
        <v/>
      </c>
      <c r="F630" t="str">
        <f t="shared" ca="1" si="84"/>
        <v>連想配列 キー/項目削除</v>
      </c>
      <c r="G630">
        <f ca="1">IF($F630="","",COUNTIF($F$3:$F630,$F630))</f>
        <v>2</v>
      </c>
      <c r="H630" t="str">
        <f ca="1">IF(OR(G630&gt;1,G630=""),"",COUNTIF($G$3:$G630,1))</f>
        <v/>
      </c>
      <c r="I630" t="str">
        <f t="shared" ca="1" si="85"/>
        <v>連想配列 キー/項目削除</v>
      </c>
      <c r="K630">
        <f t="shared" si="89"/>
        <v>627</v>
      </c>
      <c r="L630" t="str">
        <f t="shared" ca="1" si="82"/>
        <v>フォルダ 作成（単層）</v>
      </c>
      <c r="M630" s="2" t="str">
        <f t="shared" ca="1" si="90"/>
        <v/>
      </c>
      <c r="N630" s="2" t="str">
        <f t="shared" ca="1" si="83"/>
        <v>○</v>
      </c>
      <c r="O630" s="2" t="str">
        <f t="shared" ca="1" si="86"/>
        <v/>
      </c>
      <c r="P630" s="2" t="str">
        <f t="shared" ca="1" si="87"/>
        <v/>
      </c>
    </row>
    <row r="631" spans="1:16">
      <c r="A631">
        <f t="shared" si="88"/>
        <v>628</v>
      </c>
      <c r="B631" t="str">
        <f ca="1">IFERROR(VLOOKUP($A631,'vbs,vba'!$G:$H,2,FALSE),"")</f>
        <v/>
      </c>
      <c r="C631" t="str">
        <f ca="1">IFERROR(VLOOKUP($A631,python!$I:$J,2,FALSE),"")</f>
        <v>連想配列 キー/項目削除(Pop)</v>
      </c>
      <c r="D631" t="str">
        <f ca="1">IFERROR(VLOOKUP($A631,bat!$F:$G,2,FALSE),"")</f>
        <v/>
      </c>
      <c r="E631" t="str">
        <f ca="1">IFERROR(VLOOKUP($A631,shell!$F:$G,2,FALSE),"")</f>
        <v/>
      </c>
      <c r="F631" t="str">
        <f t="shared" ca="1" si="84"/>
        <v>連想配列 キー/項目削除(Pop)</v>
      </c>
      <c r="G631">
        <f ca="1">IF($F631="","",COUNTIF($F$3:$F631,$F631))</f>
        <v>1</v>
      </c>
      <c r="H631">
        <f ca="1">IF(OR(G631&gt;1,G631=""),"",COUNTIF($G$3:$G631,1))</f>
        <v>595</v>
      </c>
      <c r="I631" t="str">
        <f t="shared" ca="1" si="85"/>
        <v>連想配列 キー/項目削除(Pop)</v>
      </c>
      <c r="K631">
        <f t="shared" si="89"/>
        <v>628</v>
      </c>
      <c r="L631" t="str">
        <f t="shared" ca="1" si="82"/>
        <v>フォルダ 作成（複層）</v>
      </c>
      <c r="M631" s="2" t="str">
        <f t="shared" ca="1" si="90"/>
        <v/>
      </c>
      <c r="N631" s="2" t="str">
        <f t="shared" ca="1" si="83"/>
        <v>○</v>
      </c>
      <c r="O631" s="2" t="str">
        <f t="shared" ca="1" si="86"/>
        <v/>
      </c>
      <c r="P631" s="2" t="str">
        <f t="shared" ca="1" si="87"/>
        <v/>
      </c>
    </row>
    <row r="632" spans="1:16">
      <c r="A632">
        <f t="shared" si="88"/>
        <v>629</v>
      </c>
      <c r="B632" t="str">
        <f ca="1">IFERROR(VLOOKUP($A632,'vbs,vba'!$G:$H,2,FALSE),"")</f>
        <v/>
      </c>
      <c r="C632" t="str">
        <f ca="1">IFERROR(VLOOKUP($A632,python!$I:$J,2,FALSE),"")</f>
        <v>連想配列 キー/項目全削除</v>
      </c>
      <c r="D632" t="str">
        <f ca="1">IFERROR(VLOOKUP($A632,bat!$F:$G,2,FALSE),"")</f>
        <v/>
      </c>
      <c r="E632" t="str">
        <f ca="1">IFERROR(VLOOKUP($A632,shell!$F:$G,2,FALSE),"")</f>
        <v/>
      </c>
      <c r="F632" t="str">
        <f t="shared" ca="1" si="84"/>
        <v>連想配列 キー/項目全削除</v>
      </c>
      <c r="G632">
        <f ca="1">IF($F632="","",COUNTIF($F$3:$F632,$F632))</f>
        <v>2</v>
      </c>
      <c r="H632" t="str">
        <f ca="1">IF(OR(G632&gt;1,G632=""),"",COUNTIF($G$3:$G632,1))</f>
        <v/>
      </c>
      <c r="I632" t="str">
        <f t="shared" ca="1" si="85"/>
        <v>連想配列 キー/項目全削除</v>
      </c>
      <c r="K632">
        <f t="shared" si="89"/>
        <v>629</v>
      </c>
      <c r="L632" t="str">
        <f t="shared" ca="1" si="82"/>
        <v>フォルダ パーミッション変更</v>
      </c>
      <c r="M632" s="2" t="str">
        <f t="shared" ca="1" si="90"/>
        <v/>
      </c>
      <c r="N632" s="2" t="str">
        <f t="shared" ca="1" si="83"/>
        <v>○</v>
      </c>
      <c r="O632" s="2" t="str">
        <f t="shared" ca="1" si="86"/>
        <v/>
      </c>
      <c r="P632" s="2" t="str">
        <f t="shared" ca="1" si="87"/>
        <v/>
      </c>
    </row>
    <row r="633" spans="1:16">
      <c r="A633">
        <f t="shared" si="88"/>
        <v>630</v>
      </c>
      <c r="B633" t="str">
        <f ca="1">IFERROR(VLOOKUP($A633,'vbs,vba'!$G:$H,2,FALSE),"")</f>
        <v/>
      </c>
      <c r="C633" t="str">
        <f ca="1">IFERROR(VLOOKUP($A633,python!$I:$J,2,FALSE),"")</f>
        <v>連想配列 配列結合</v>
      </c>
      <c r="D633" t="str">
        <f ca="1">IFERROR(VLOOKUP($A633,bat!$F:$G,2,FALSE),"")</f>
        <v/>
      </c>
      <c r="E633" t="str">
        <f ca="1">IFERROR(VLOOKUP($A633,shell!$F:$G,2,FALSE),"")</f>
        <v/>
      </c>
      <c r="F633" t="str">
        <f t="shared" ca="1" si="84"/>
        <v>連想配列 配列結合</v>
      </c>
      <c r="G633">
        <f ca="1">IF($F633="","",COUNTIF($F$3:$F633,$F633))</f>
        <v>1</v>
      </c>
      <c r="H633">
        <f ca="1">IF(OR(G633&gt;1,G633=""),"",COUNTIF($G$3:$G633,1))</f>
        <v>596</v>
      </c>
      <c r="I633" t="str">
        <f t="shared" ca="1" si="85"/>
        <v>連想配列 配列結合</v>
      </c>
      <c r="K633">
        <f t="shared" si="89"/>
        <v>630</v>
      </c>
      <c r="L633" t="str">
        <f t="shared" ca="1" si="82"/>
        <v>フォルダ パーミッション確認</v>
      </c>
      <c r="M633" s="2" t="str">
        <f t="shared" ca="1" si="90"/>
        <v/>
      </c>
      <c r="N633" s="2" t="str">
        <f t="shared" ca="1" si="83"/>
        <v>○</v>
      </c>
      <c r="O633" s="2" t="str">
        <f t="shared" ca="1" si="86"/>
        <v/>
      </c>
      <c r="P633" s="2" t="str">
        <f t="shared" ca="1" si="87"/>
        <v/>
      </c>
    </row>
    <row r="634" spans="1:16">
      <c r="A634">
        <f t="shared" si="88"/>
        <v>631</v>
      </c>
      <c r="B634" t="str">
        <f ca="1">IFERROR(VLOOKUP($A634,'vbs,vba'!$G:$H,2,FALSE),"")</f>
        <v/>
      </c>
      <c r="C634" t="str">
        <f ca="1">IFERROR(VLOOKUP($A634,python!$I:$J,2,FALSE),"")</f>
        <v>連想配列 配列変換（項目）</v>
      </c>
      <c r="D634" t="str">
        <f ca="1">IFERROR(VLOOKUP($A634,bat!$F:$G,2,FALSE),"")</f>
        <v/>
      </c>
      <c r="E634" t="str">
        <f ca="1">IFERROR(VLOOKUP($A634,shell!$F:$G,2,FALSE),"")</f>
        <v/>
      </c>
      <c r="F634" t="str">
        <f t="shared" ca="1" si="84"/>
        <v>連想配列 配列変換（項目）</v>
      </c>
      <c r="G634">
        <f ca="1">IF($F634="","",COUNTIF($F$3:$F634,$F634))</f>
        <v>2</v>
      </c>
      <c r="H634" t="str">
        <f ca="1">IF(OR(G634&gt;1,G634=""),"",COUNTIF($G$3:$G634,1))</f>
        <v/>
      </c>
      <c r="I634" t="str">
        <f t="shared" ca="1" si="85"/>
        <v>連想配列 配列変換（項目）</v>
      </c>
      <c r="K634">
        <f t="shared" si="89"/>
        <v>631</v>
      </c>
      <c r="L634" t="str">
        <f t="shared" ca="1" si="82"/>
        <v>ファイル/ディレクトリ判別</v>
      </c>
      <c r="M634" s="2" t="str">
        <f t="shared" ca="1" si="90"/>
        <v/>
      </c>
      <c r="N634" s="2" t="str">
        <f t="shared" ca="1" si="83"/>
        <v>○</v>
      </c>
      <c r="O634" s="2" t="str">
        <f t="shared" ca="1" si="86"/>
        <v/>
      </c>
      <c r="P634" s="2" t="str">
        <f t="shared" ca="1" si="87"/>
        <v/>
      </c>
    </row>
    <row r="635" spans="1:16">
      <c r="A635">
        <f t="shared" si="88"/>
        <v>632</v>
      </c>
      <c r="B635" t="str">
        <f ca="1">IFERROR(VLOOKUP($A635,'vbs,vba'!$G:$H,2,FALSE),"")</f>
        <v/>
      </c>
      <c r="C635" t="str">
        <f ca="1">IFERROR(VLOOKUP($A635,python!$I:$J,2,FALSE),"")</f>
        <v>連想配列 配列変換（キー）</v>
      </c>
      <c r="D635" t="str">
        <f ca="1">IFERROR(VLOOKUP($A635,bat!$F:$G,2,FALSE),"")</f>
        <v/>
      </c>
      <c r="E635" t="str">
        <f ca="1">IFERROR(VLOOKUP($A635,shell!$F:$G,2,FALSE),"")</f>
        <v/>
      </c>
      <c r="F635" t="str">
        <f t="shared" ca="1" si="84"/>
        <v>連想配列 配列変換（キー）</v>
      </c>
      <c r="G635">
        <f ca="1">IF($F635="","",COUNTIF($F$3:$F635,$F635))</f>
        <v>2</v>
      </c>
      <c r="H635" t="str">
        <f ca="1">IF(OR(G635&gt;1,G635=""),"",COUNTIF($G$3:$G635,1))</f>
        <v/>
      </c>
      <c r="I635" t="str">
        <f t="shared" ca="1" si="85"/>
        <v>連想配列 配列変換（キー）</v>
      </c>
      <c r="K635">
        <f t="shared" si="89"/>
        <v>632</v>
      </c>
      <c r="L635" t="str">
        <f t="shared" ca="1" si="82"/>
        <v>実行スクリプト ファイル絶対パス</v>
      </c>
      <c r="M635" s="2" t="str">
        <f t="shared" ca="1" si="90"/>
        <v/>
      </c>
      <c r="N635" s="2" t="str">
        <f t="shared" ca="1" si="83"/>
        <v>○</v>
      </c>
      <c r="O635" s="2" t="str">
        <f t="shared" ca="1" si="86"/>
        <v/>
      </c>
      <c r="P635" s="2" t="str">
        <f t="shared" ca="1" si="87"/>
        <v/>
      </c>
    </row>
    <row r="636" spans="1:16">
      <c r="A636">
        <f t="shared" si="88"/>
        <v>633</v>
      </c>
      <c r="B636" t="str">
        <f ca="1">IFERROR(VLOOKUP($A636,'vbs,vba'!$G:$H,2,FALSE),"")</f>
        <v/>
      </c>
      <c r="C636" t="str">
        <f ca="1">IFERROR(VLOOKUP($A636,python!$I:$J,2,FALSE),"")</f>
        <v>連想配列 内包表記</v>
      </c>
      <c r="D636" t="str">
        <f ca="1">IFERROR(VLOOKUP($A636,bat!$F:$G,2,FALSE),"")</f>
        <v/>
      </c>
      <c r="E636" t="str">
        <f ca="1">IFERROR(VLOOKUP($A636,shell!$F:$G,2,FALSE),"")</f>
        <v/>
      </c>
      <c r="F636" t="str">
        <f t="shared" ca="1" si="84"/>
        <v>連想配列 内包表記</v>
      </c>
      <c r="G636">
        <f ca="1">IF($F636="","",COUNTIF($F$3:$F636,$F636))</f>
        <v>1</v>
      </c>
      <c r="H636">
        <f ca="1">IF(OR(G636&gt;1,G636=""),"",COUNTIF($G$3:$G636,1))</f>
        <v>597</v>
      </c>
      <c r="I636" t="str">
        <f t="shared" ca="1" si="85"/>
        <v>連想配列 内包表記</v>
      </c>
      <c r="K636">
        <f t="shared" si="89"/>
        <v>633</v>
      </c>
      <c r="L636" t="str">
        <f t="shared" ca="1" si="82"/>
        <v>実行スクリプト ファイル名</v>
      </c>
      <c r="M636" s="2" t="str">
        <f t="shared" ca="1" si="90"/>
        <v/>
      </c>
      <c r="N636" s="2" t="str">
        <f t="shared" ca="1" si="83"/>
        <v>○</v>
      </c>
      <c r="O636" s="2" t="str">
        <f t="shared" ca="1" si="86"/>
        <v/>
      </c>
      <c r="P636" s="2" t="str">
        <f t="shared" ca="1" si="87"/>
        <v/>
      </c>
    </row>
    <row r="637" spans="1:16">
      <c r="A637">
        <f t="shared" si="88"/>
        <v>634</v>
      </c>
      <c r="B637" t="str">
        <f ca="1">IFERROR(VLOOKUP($A637,'vbs,vba'!$G:$H,2,FALSE),"")</f>
        <v/>
      </c>
      <c r="C637" t="str">
        <f ca="1">IFERROR(VLOOKUP($A637,python!$I:$J,2,FALSE),"")</f>
        <v>オブジェクト定義</v>
      </c>
      <c r="D637" t="str">
        <f ca="1">IFERROR(VLOOKUP($A637,bat!$F:$G,2,FALSE),"")</f>
        <v/>
      </c>
      <c r="E637" t="str">
        <f ca="1">IFERROR(VLOOKUP($A637,shell!$F:$G,2,FALSE),"")</f>
        <v/>
      </c>
      <c r="F637" t="str">
        <f t="shared" ca="1" si="84"/>
        <v>オブジェクト定義</v>
      </c>
      <c r="G637">
        <f ca="1">IF($F637="","",COUNTIF($F$3:$F637,$F637))</f>
        <v>7</v>
      </c>
      <c r="H637" t="str">
        <f ca="1">IF(OR(G637&gt;1,G637=""),"",COUNTIF($G$3:$G637,1))</f>
        <v/>
      </c>
      <c r="I637" t="str">
        <f t="shared" ca="1" si="85"/>
        <v>オブジェクト定義</v>
      </c>
      <c r="K637">
        <f t="shared" si="89"/>
        <v>634</v>
      </c>
      <c r="L637" t="str">
        <f t="shared" ca="1" si="82"/>
        <v>実行スクリプト ファイルパス①</v>
      </c>
      <c r="M637" s="2" t="str">
        <f t="shared" ca="1" si="90"/>
        <v/>
      </c>
      <c r="N637" s="2" t="str">
        <f t="shared" ca="1" si="83"/>
        <v>○</v>
      </c>
      <c r="O637" s="2" t="str">
        <f t="shared" ca="1" si="86"/>
        <v/>
      </c>
      <c r="P637" s="2" t="str">
        <f t="shared" ca="1" si="87"/>
        <v/>
      </c>
    </row>
    <row r="638" spans="1:16">
      <c r="A638">
        <f t="shared" si="88"/>
        <v>635</v>
      </c>
      <c r="B638" t="str">
        <f ca="1">IFERROR(VLOOKUP($A638,'vbs,vba'!$G:$H,2,FALSE),"")</f>
        <v/>
      </c>
      <c r="C638" t="str">
        <f ca="1">IFERROR(VLOOKUP($A638,python!$I:$J,2,FALSE),"")</f>
        <v>検索設定 検索対象</v>
      </c>
      <c r="D638" t="str">
        <f ca="1">IFERROR(VLOOKUP($A638,bat!$F:$G,2,FALSE),"")</f>
        <v/>
      </c>
      <c r="E638" t="str">
        <f ca="1">IFERROR(VLOOKUP($A638,shell!$F:$G,2,FALSE),"")</f>
        <v/>
      </c>
      <c r="F638" t="str">
        <f t="shared" ca="1" si="84"/>
        <v>検索設定 検索対象</v>
      </c>
      <c r="G638">
        <f ca="1">IF($F638="","",COUNTIF($F$3:$F638,$F638))</f>
        <v>2</v>
      </c>
      <c r="H638" t="str">
        <f ca="1">IF(OR(G638&gt;1,G638=""),"",COUNTIF($G$3:$G638,1))</f>
        <v/>
      </c>
      <c r="I638" t="str">
        <f t="shared" ca="1" si="85"/>
        <v>検索設定 検索対象</v>
      </c>
      <c r="K638">
        <f t="shared" si="89"/>
        <v>635</v>
      </c>
      <c r="L638" t="str">
        <f t="shared" ca="1" si="82"/>
        <v>実行スクリプト ファイルパス②</v>
      </c>
      <c r="M638" s="2" t="str">
        <f t="shared" ca="1" si="90"/>
        <v/>
      </c>
      <c r="N638" s="2" t="str">
        <f t="shared" ca="1" si="83"/>
        <v>○</v>
      </c>
      <c r="O638" s="2" t="str">
        <f t="shared" ca="1" si="86"/>
        <v/>
      </c>
      <c r="P638" s="2" t="str">
        <f t="shared" ca="1" si="87"/>
        <v/>
      </c>
    </row>
    <row r="639" spans="1:16">
      <c r="A639">
        <f t="shared" si="88"/>
        <v>636</v>
      </c>
      <c r="B639" t="str">
        <f ca="1">IFERROR(VLOOKUP($A639,'vbs,vba'!$G:$H,2,FALSE),"")</f>
        <v/>
      </c>
      <c r="C639" t="str">
        <f ca="1">IFERROR(VLOOKUP($A639,python!$I:$J,2,FALSE),"")</f>
        <v>検索設定 検索パターン</v>
      </c>
      <c r="D639" t="str">
        <f ca="1">IFERROR(VLOOKUP($A639,bat!$F:$G,2,FALSE),"")</f>
        <v/>
      </c>
      <c r="E639" t="str">
        <f ca="1">IFERROR(VLOOKUP($A639,shell!$F:$G,2,FALSE),"")</f>
        <v/>
      </c>
      <c r="F639" t="str">
        <f t="shared" ca="1" si="84"/>
        <v>検索設定 検索パターン</v>
      </c>
      <c r="G639">
        <f ca="1">IF($F639="","",COUNTIF($F$3:$F639,$F639))</f>
        <v>2</v>
      </c>
      <c r="H639" t="str">
        <f ca="1">IF(OR(G639&gt;1,G639=""),"",COUNTIF($G$3:$G639,1))</f>
        <v/>
      </c>
      <c r="I639" t="str">
        <f t="shared" ca="1" si="85"/>
        <v>検索設定 検索パターン</v>
      </c>
      <c r="K639">
        <f t="shared" si="89"/>
        <v>636</v>
      </c>
      <c r="L639" t="str">
        <f t="shared" ca="1" si="82"/>
        <v>実行スクリプト フォルダパス</v>
      </c>
      <c r="M639" s="2" t="str">
        <f t="shared" ca="1" si="90"/>
        <v/>
      </c>
      <c r="N639" s="2" t="str">
        <f t="shared" ca="1" si="83"/>
        <v>○</v>
      </c>
      <c r="O639" s="2" t="str">
        <f t="shared" ca="1" si="86"/>
        <v/>
      </c>
      <c r="P639" s="2" t="str">
        <f t="shared" ca="1" si="87"/>
        <v/>
      </c>
    </row>
    <row r="640" spans="1:16">
      <c r="A640">
        <f t="shared" si="88"/>
        <v>637</v>
      </c>
      <c r="B640" t="str">
        <f ca="1">IFERROR(VLOOKUP($A640,'vbs,vba'!$G:$H,2,FALSE),"")</f>
        <v/>
      </c>
      <c r="C640" t="str">
        <f ca="1">IFERROR(VLOOKUP($A640,python!$I:$J,2,FALSE),"")</f>
        <v>検索設定 大小文字区別無視</v>
      </c>
      <c r="D640" t="str">
        <f ca="1">IFERROR(VLOOKUP($A640,bat!$F:$G,2,FALSE),"")</f>
        <v/>
      </c>
      <c r="E640" t="str">
        <f ca="1">IFERROR(VLOOKUP($A640,shell!$F:$G,2,FALSE),"")</f>
        <v/>
      </c>
      <c r="F640" t="str">
        <f t="shared" ca="1" si="84"/>
        <v>検索設定 大小文字区別無視</v>
      </c>
      <c r="G640">
        <f ca="1">IF($F640="","",COUNTIF($F$3:$F640,$F640))</f>
        <v>1</v>
      </c>
      <c r="H640">
        <f ca="1">IF(OR(G640&gt;1,G640=""),"",COUNTIF($G$3:$G640,1))</f>
        <v>598</v>
      </c>
      <c r="I640" t="str">
        <f t="shared" ca="1" si="85"/>
        <v>検索設定 大小文字区別無視</v>
      </c>
      <c r="K640">
        <f t="shared" si="89"/>
        <v>637</v>
      </c>
      <c r="L640" t="str">
        <f t="shared" ca="1" si="82"/>
        <v>作業ディレクトリ フォルダパス</v>
      </c>
      <c r="M640" s="2" t="str">
        <f t="shared" ca="1" si="90"/>
        <v/>
      </c>
      <c r="N640" s="2" t="str">
        <f t="shared" ca="1" si="83"/>
        <v>○</v>
      </c>
      <c r="O640" s="2" t="str">
        <f t="shared" ca="1" si="86"/>
        <v/>
      </c>
      <c r="P640" s="2" t="str">
        <f t="shared" ca="1" si="87"/>
        <v/>
      </c>
    </row>
    <row r="641" spans="1:16">
      <c r="A641">
        <f t="shared" si="88"/>
        <v>638</v>
      </c>
      <c r="B641" t="str">
        <f ca="1">IFERROR(VLOOKUP($A641,'vbs,vba'!$G:$H,2,FALSE),"")</f>
        <v/>
      </c>
      <c r="C641" t="str">
        <f ca="1">IFERROR(VLOOKUP($A641,python!$I:$J,2,FALSE),"")</f>
        <v>検索設定 パターンコンパイル</v>
      </c>
      <c r="D641" t="str">
        <f ca="1">IFERROR(VLOOKUP($A641,bat!$F:$G,2,FALSE),"")</f>
        <v/>
      </c>
      <c r="E641" t="str">
        <f ca="1">IFERROR(VLOOKUP($A641,shell!$F:$G,2,FALSE),"")</f>
        <v/>
      </c>
      <c r="F641" t="str">
        <f t="shared" ca="1" si="84"/>
        <v>検索設定 パターンコンパイル</v>
      </c>
      <c r="G641">
        <f ca="1">IF($F641="","",COUNTIF($F$3:$F641,$F641))</f>
        <v>1</v>
      </c>
      <c r="H641">
        <f ca="1">IF(OR(G641&gt;1,G641=""),"",COUNTIF($G$3:$G641,1))</f>
        <v>599</v>
      </c>
      <c r="I641" t="str">
        <f t="shared" ca="1" si="85"/>
        <v>検索設定 パターンコンパイル</v>
      </c>
      <c r="K641">
        <f t="shared" si="89"/>
        <v>638</v>
      </c>
      <c r="L641" t="str">
        <f t="shared" ca="1" si="82"/>
        <v>プログラム終了</v>
      </c>
      <c r="M641" s="2" t="str">
        <f t="shared" ca="1" si="90"/>
        <v>○</v>
      </c>
      <c r="N641" s="2" t="str">
        <f t="shared" ca="1" si="83"/>
        <v>○</v>
      </c>
      <c r="O641" s="2" t="str">
        <f t="shared" ca="1" si="86"/>
        <v>○</v>
      </c>
      <c r="P641" s="2" t="str">
        <f t="shared" ca="1" si="87"/>
        <v/>
      </c>
    </row>
    <row r="642" spans="1:16">
      <c r="A642">
        <f t="shared" si="88"/>
        <v>639</v>
      </c>
      <c r="B642" t="str">
        <f ca="1">IFERROR(VLOOKUP($A642,'vbs,vba'!$G:$H,2,FALSE),"")</f>
        <v/>
      </c>
      <c r="C642" t="str">
        <f ca="1">IFERROR(VLOOKUP($A642,python!$I:$J,2,FALSE),"")</f>
        <v>検索実行(list) コンパイルあり時</v>
      </c>
      <c r="D642" t="str">
        <f ca="1">IFERROR(VLOOKUP($A642,bat!$F:$G,2,FALSE),"")</f>
        <v/>
      </c>
      <c r="E642" t="str">
        <f ca="1">IFERROR(VLOOKUP($A642,shell!$F:$G,2,FALSE),"")</f>
        <v/>
      </c>
      <c r="F642" t="str">
        <f t="shared" ca="1" si="84"/>
        <v>検索実行(list) コンパイルあり時</v>
      </c>
      <c r="G642">
        <f ca="1">IF($F642="","",COUNTIF($F$3:$F642,$F642))</f>
        <v>1</v>
      </c>
      <c r="H642">
        <f ca="1">IF(OR(G642&gt;1,G642=""),"",COUNTIF($G$3:$G642,1))</f>
        <v>600</v>
      </c>
      <c r="I642" t="str">
        <f t="shared" ca="1" si="85"/>
        <v>検索実行(list) コンパイルあり時</v>
      </c>
      <c r="K642">
        <f t="shared" si="89"/>
        <v>639</v>
      </c>
      <c r="L642" t="str">
        <f t="shared" ca="1" si="82"/>
        <v>スクリプト引数 取得</v>
      </c>
      <c r="M642" s="2" t="str">
        <f t="shared" ca="1" si="90"/>
        <v>○</v>
      </c>
      <c r="N642" s="2" t="str">
        <f t="shared" ca="1" si="83"/>
        <v>○</v>
      </c>
      <c r="O642" s="2" t="str">
        <f t="shared" ca="1" si="86"/>
        <v/>
      </c>
      <c r="P642" s="2" t="str">
        <f t="shared" ca="1" si="87"/>
        <v/>
      </c>
    </row>
    <row r="643" spans="1:16">
      <c r="A643">
        <f t="shared" si="88"/>
        <v>640</v>
      </c>
      <c r="B643" t="str">
        <f ca="1">IFERROR(VLOOKUP($A643,'vbs,vba'!$G:$H,2,FALSE),"")</f>
        <v/>
      </c>
      <c r="C643" t="str">
        <f ca="1">IFERROR(VLOOKUP($A643,python!$I:$J,2,FALSE),"")</f>
        <v>検索実行(list) コンパイルなし時</v>
      </c>
      <c r="D643" t="str">
        <f ca="1">IFERROR(VLOOKUP($A643,bat!$F:$G,2,FALSE),"")</f>
        <v/>
      </c>
      <c r="E643" t="str">
        <f ca="1">IFERROR(VLOOKUP($A643,shell!$F:$G,2,FALSE),"")</f>
        <v/>
      </c>
      <c r="F643" t="str">
        <f t="shared" ca="1" si="84"/>
        <v>検索実行(list) コンパイルなし時</v>
      </c>
      <c r="G643">
        <f ca="1">IF($F643="","",COUNTIF($F$3:$F643,$F643))</f>
        <v>1</v>
      </c>
      <c r="H643">
        <f ca="1">IF(OR(G643&gt;1,G643=""),"",COUNTIF($G$3:$G643,1))</f>
        <v>601</v>
      </c>
      <c r="I643" t="str">
        <f t="shared" ca="1" si="85"/>
        <v>検索実行(list) コンパイルなし時</v>
      </c>
      <c r="K643">
        <f t="shared" si="89"/>
        <v>640</v>
      </c>
      <c r="L643" t="str">
        <f t="shared" ca="1" si="82"/>
        <v>スクリプト引数の数 取得</v>
      </c>
      <c r="M643" s="2" t="str">
        <f t="shared" ca="1" si="90"/>
        <v>○</v>
      </c>
      <c r="N643" s="2" t="str">
        <f t="shared" ca="1" si="83"/>
        <v>○</v>
      </c>
      <c r="O643" s="2" t="str">
        <f t="shared" ca="1" si="86"/>
        <v/>
      </c>
      <c r="P643" s="2" t="str">
        <f t="shared" ca="1" si="87"/>
        <v/>
      </c>
    </row>
    <row r="644" spans="1:16">
      <c r="A644">
        <f t="shared" si="88"/>
        <v>641</v>
      </c>
      <c r="B644" t="str">
        <f ca="1">IFERROR(VLOOKUP($A644,'vbs,vba'!$G:$H,2,FALSE),"")</f>
        <v/>
      </c>
      <c r="C644" t="str">
        <f ca="1">IFERROR(VLOOKUP($A644,python!$I:$J,2,FALSE),"")</f>
        <v>検索結果(list) マッチ有無判定</v>
      </c>
      <c r="D644" t="str">
        <f ca="1">IFERROR(VLOOKUP($A644,bat!$F:$G,2,FALSE),"")</f>
        <v/>
      </c>
      <c r="E644" t="str">
        <f ca="1">IFERROR(VLOOKUP($A644,shell!$F:$G,2,FALSE),"")</f>
        <v/>
      </c>
      <c r="F644" t="str">
        <f t="shared" ca="1" si="84"/>
        <v>検索結果(list) マッチ有無判定</v>
      </c>
      <c r="G644">
        <f ca="1">IF($F644="","",COUNTIF($F$3:$F644,$F644))</f>
        <v>1</v>
      </c>
      <c r="H644">
        <f ca="1">IF(OR(G644&gt;1,G644=""),"",COUNTIF($G$3:$G644,1))</f>
        <v>602</v>
      </c>
      <c r="I644" t="str">
        <f t="shared" ca="1" si="85"/>
        <v>検索結果(list) マッチ有無判定</v>
      </c>
      <c r="K644">
        <f t="shared" si="89"/>
        <v>641</v>
      </c>
      <c r="L644" t="str">
        <f t="shared" ref="L644:L707" ca="1" si="91">IFERROR(VLOOKUP($K644,$H:$I,2,FALSE),"")</f>
        <v>モジュール名 取得</v>
      </c>
      <c r="M644" s="2" t="str">
        <f t="shared" ca="1" si="90"/>
        <v/>
      </c>
      <c r="N644" s="2" t="str">
        <f t="shared" ref="N644:N707" ca="1" si="92">IF($L644="","",IF(COUNTIF(C$3:C$1004,$L644)&gt;0,"○",""))</f>
        <v>○</v>
      </c>
      <c r="O644" s="2" t="str">
        <f t="shared" ca="1" si="86"/>
        <v/>
      </c>
      <c r="P644" s="2" t="str">
        <f t="shared" ca="1" si="87"/>
        <v/>
      </c>
    </row>
    <row r="645" spans="1:16">
      <c r="A645">
        <f t="shared" si="88"/>
        <v>642</v>
      </c>
      <c r="B645" t="str">
        <f ca="1">IFERROR(VLOOKUP($A645,'vbs,vba'!$G:$H,2,FALSE),"")</f>
        <v/>
      </c>
      <c r="C645" t="str">
        <f ca="1">IFERROR(VLOOKUP($A645,python!$I:$J,2,FALSE),"")</f>
        <v>検索結果(list) マッチ数取得</v>
      </c>
      <c r="D645" t="str">
        <f ca="1">IFERROR(VLOOKUP($A645,bat!$F:$G,2,FALSE),"")</f>
        <v/>
      </c>
      <c r="E645" t="str">
        <f ca="1">IFERROR(VLOOKUP($A645,shell!$F:$G,2,FALSE),"")</f>
        <v/>
      </c>
      <c r="F645" t="str">
        <f t="shared" ref="F645:F708" ca="1" si="93">B645&amp;C645&amp;D645&amp;E645</f>
        <v>検索結果(list) マッチ数取得</v>
      </c>
      <c r="G645">
        <f ca="1">IF($F645="","",COUNTIF($F$3:$F645,$F645))</f>
        <v>1</v>
      </c>
      <c r="H645">
        <f ca="1">IF(OR(G645&gt;1,G645=""),"",COUNTIF($G$3:$G645,1))</f>
        <v>603</v>
      </c>
      <c r="I645" t="str">
        <f t="shared" ref="I645:I708" ca="1" si="94">F645</f>
        <v>検索結果(list) マッチ数取得</v>
      </c>
      <c r="K645">
        <f t="shared" si="89"/>
        <v>642</v>
      </c>
      <c r="L645" t="str">
        <f t="shared" ca="1" si="91"/>
        <v>文字列型→パス型変換</v>
      </c>
      <c r="M645" s="2" t="str">
        <f t="shared" ca="1" si="90"/>
        <v/>
      </c>
      <c r="N645" s="2" t="str">
        <f t="shared" ca="1" si="92"/>
        <v>○</v>
      </c>
      <c r="O645" s="2" t="str">
        <f t="shared" ref="O645:O708" ca="1" si="95">IF($L645="","",IF(COUNTIF(D$3:D$1004,$L645)&gt;0,"○",""))</f>
        <v/>
      </c>
      <c r="P645" s="2" t="str">
        <f t="shared" ref="P645:P708" ca="1" si="96">IF($L645="","",IF(COUNTIF(E$3:E$1004,$L645)&gt;0,"○",""))</f>
        <v/>
      </c>
    </row>
    <row r="646" spans="1:16">
      <c r="A646">
        <f t="shared" ref="A646:A709" si="97">A645+1</f>
        <v>643</v>
      </c>
      <c r="B646" t="str">
        <f ca="1">IFERROR(VLOOKUP($A646,'vbs,vba'!$G:$H,2,FALSE),"")</f>
        <v/>
      </c>
      <c r="C646" t="str">
        <f ca="1">IFERROR(VLOOKUP($A646,python!$I:$J,2,FALSE),"")</f>
        <v>検索結果(list) サブマッチ数取得</v>
      </c>
      <c r="D646" t="str">
        <f ca="1">IFERROR(VLOOKUP($A646,bat!$F:$G,2,FALSE),"")</f>
        <v/>
      </c>
      <c r="E646" t="str">
        <f ca="1">IFERROR(VLOOKUP($A646,shell!$F:$G,2,FALSE),"")</f>
        <v/>
      </c>
      <c r="F646" t="str">
        <f t="shared" ca="1" si="93"/>
        <v>検索結果(list) サブマッチ数取得</v>
      </c>
      <c r="G646">
        <f ca="1">IF($F646="","",COUNTIF($F$3:$F646,$F646))</f>
        <v>1</v>
      </c>
      <c r="H646">
        <f ca="1">IF(OR(G646&gt;1,G646=""),"",COUNTIF($G$3:$G646,1))</f>
        <v>604</v>
      </c>
      <c r="I646" t="str">
        <f t="shared" ca="1" si="94"/>
        <v>検索結果(list) サブマッチ数取得</v>
      </c>
      <c r="K646">
        <f t="shared" ref="K646:K709" si="98">K645+1</f>
        <v>643</v>
      </c>
      <c r="L646" t="str">
        <f t="shared" ca="1" si="91"/>
        <v>パス型→文字列型変換</v>
      </c>
      <c r="M646" s="2" t="str">
        <f t="shared" ca="1" si="90"/>
        <v/>
      </c>
      <c r="N646" s="2" t="str">
        <f t="shared" ca="1" si="92"/>
        <v>○</v>
      </c>
      <c r="O646" s="2" t="str">
        <f t="shared" ca="1" si="95"/>
        <v/>
      </c>
      <c r="P646" s="2" t="str">
        <f t="shared" ca="1" si="96"/>
        <v/>
      </c>
    </row>
    <row r="647" spans="1:16">
      <c r="A647">
        <f t="shared" si="97"/>
        <v>644</v>
      </c>
      <c r="B647" t="str">
        <f ca="1">IFERROR(VLOOKUP($A647,'vbs,vba'!$G:$H,2,FALSE),"")</f>
        <v/>
      </c>
      <c r="C647" t="str">
        <f ca="1">IFERROR(VLOOKUP($A647,python!$I:$J,2,FALSE),"")</f>
        <v>検索結果(list) マッチ文字列取得</v>
      </c>
      <c r="D647" t="str">
        <f ca="1">IFERROR(VLOOKUP($A647,bat!$F:$G,2,FALSE),"")</f>
        <v/>
      </c>
      <c r="E647" t="str">
        <f ca="1">IFERROR(VLOOKUP($A647,shell!$F:$G,2,FALSE),"")</f>
        <v/>
      </c>
      <c r="F647" t="str">
        <f t="shared" ca="1" si="93"/>
        <v>検索結果(list) マッチ文字列取得</v>
      </c>
      <c r="G647">
        <f ca="1">IF($F647="","",COUNTIF($F$3:$F647,$F647))</f>
        <v>1</v>
      </c>
      <c r="H647">
        <f ca="1">IF(OR(G647&gt;1,G647=""),"",COUNTIF($G$3:$G647,1))</f>
        <v>605</v>
      </c>
      <c r="I647" t="str">
        <f t="shared" ca="1" si="94"/>
        <v>検索結果(list) マッチ文字列取得</v>
      </c>
      <c r="K647">
        <f t="shared" si="98"/>
        <v>644</v>
      </c>
      <c r="L647" t="str">
        <f t="shared" ca="1" si="91"/>
        <v>相対パス→絶対パス変換（..除去あり）</v>
      </c>
      <c r="M647" s="2" t="str">
        <f t="shared" ca="1" si="90"/>
        <v/>
      </c>
      <c r="N647" s="2" t="str">
        <f t="shared" ca="1" si="92"/>
        <v>○</v>
      </c>
      <c r="O647" s="2" t="str">
        <f t="shared" ca="1" si="95"/>
        <v/>
      </c>
      <c r="P647" s="2" t="str">
        <f t="shared" ca="1" si="96"/>
        <v/>
      </c>
    </row>
    <row r="648" spans="1:16">
      <c r="A648">
        <f t="shared" si="97"/>
        <v>645</v>
      </c>
      <c r="B648" t="str">
        <f ca="1">IFERROR(VLOOKUP($A648,'vbs,vba'!$G:$H,2,FALSE),"")</f>
        <v/>
      </c>
      <c r="C648" t="str">
        <f ca="1">IFERROR(VLOOKUP($A648,python!$I:$J,2,FALSE),"")</f>
        <v>検索結果(list) サブマッチ文字列取得</v>
      </c>
      <c r="D648" t="str">
        <f ca="1">IFERROR(VLOOKUP($A648,bat!$F:$G,2,FALSE),"")</f>
        <v/>
      </c>
      <c r="E648" t="str">
        <f ca="1">IFERROR(VLOOKUP($A648,shell!$F:$G,2,FALSE),"")</f>
        <v/>
      </c>
      <c r="F648" t="str">
        <f t="shared" ca="1" si="93"/>
        <v>検索結果(list) サブマッチ文字列取得</v>
      </c>
      <c r="G648">
        <f ca="1">IF($F648="","",COUNTIF($F$3:$F648,$F648))</f>
        <v>1</v>
      </c>
      <c r="H648">
        <f ca="1">IF(OR(G648&gt;1,G648=""),"",COUNTIF($G$3:$G648,1))</f>
        <v>606</v>
      </c>
      <c r="I648" t="str">
        <f t="shared" ca="1" si="94"/>
        <v>検索結果(list) サブマッチ文字列取得</v>
      </c>
      <c r="K648">
        <f t="shared" si="98"/>
        <v>645</v>
      </c>
      <c r="L648" t="str">
        <f t="shared" ca="1" si="91"/>
        <v>相対パス→絶対パス変換（..除去なし）</v>
      </c>
      <c r="M648" s="2" t="str">
        <f t="shared" ca="1" si="90"/>
        <v/>
      </c>
      <c r="N648" s="2" t="str">
        <f t="shared" ca="1" si="92"/>
        <v>○</v>
      </c>
      <c r="O648" s="2" t="str">
        <f t="shared" ca="1" si="95"/>
        <v/>
      </c>
      <c r="P648" s="2" t="str">
        <f t="shared" ca="1" si="96"/>
        <v/>
      </c>
    </row>
    <row r="649" spans="1:16">
      <c r="A649">
        <f t="shared" si="97"/>
        <v>646</v>
      </c>
      <c r="B649" t="str">
        <f ca="1">IFERROR(VLOOKUP($A649,'vbs,vba'!$G:$H,2,FALSE),"")</f>
        <v/>
      </c>
      <c r="C649" t="str">
        <f ca="1">IFERROR(VLOOKUP($A649,python!$I:$J,2,FALSE),"")</f>
        <v>検索実行(obj) コンパイルあり時</v>
      </c>
      <c r="D649" t="str">
        <f ca="1">IFERROR(VLOOKUP($A649,bat!$F:$G,2,FALSE),"")</f>
        <v/>
      </c>
      <c r="E649" t="str">
        <f ca="1">IFERROR(VLOOKUP($A649,shell!$F:$G,2,FALSE),"")</f>
        <v/>
      </c>
      <c r="F649" t="str">
        <f t="shared" ca="1" si="93"/>
        <v>検索実行(obj) コンパイルあり時</v>
      </c>
      <c r="G649">
        <f ca="1">IF($F649="","",COUNTIF($F$3:$F649,$F649))</f>
        <v>1</v>
      </c>
      <c r="H649">
        <f ca="1">IF(OR(G649&gt;1,G649=""),"",COUNTIF($G$3:$G649,1))</f>
        <v>607</v>
      </c>
      <c r="I649" t="str">
        <f t="shared" ca="1" si="94"/>
        <v>検索実行(obj) コンパイルあり時</v>
      </c>
      <c r="K649">
        <f t="shared" si="98"/>
        <v>646</v>
      </c>
      <c r="L649" t="str">
        <f t="shared" ca="1" si="91"/>
        <v>絶対パス→相対パス変換</v>
      </c>
      <c r="M649" s="2" t="str">
        <f t="shared" ca="1" si="90"/>
        <v/>
      </c>
      <c r="N649" s="2" t="str">
        <f t="shared" ca="1" si="92"/>
        <v>○</v>
      </c>
      <c r="O649" s="2" t="str">
        <f t="shared" ca="1" si="95"/>
        <v/>
      </c>
      <c r="P649" s="2" t="str">
        <f t="shared" ca="1" si="96"/>
        <v/>
      </c>
    </row>
    <row r="650" spans="1:16">
      <c r="A650">
        <f t="shared" si="97"/>
        <v>647</v>
      </c>
      <c r="B650" t="str">
        <f ca="1">IFERROR(VLOOKUP($A650,'vbs,vba'!$G:$H,2,FALSE),"")</f>
        <v/>
      </c>
      <c r="C650" t="str">
        <f ca="1">IFERROR(VLOOKUP($A650,python!$I:$J,2,FALSE),"")</f>
        <v>検索実行(obj) コンパイルなし時</v>
      </c>
      <c r="D650" t="str">
        <f ca="1">IFERROR(VLOOKUP($A650,bat!$F:$G,2,FALSE),"")</f>
        <v/>
      </c>
      <c r="E650" t="str">
        <f ca="1">IFERROR(VLOOKUP($A650,shell!$F:$G,2,FALSE),"")</f>
        <v/>
      </c>
      <c r="F650" t="str">
        <f t="shared" ca="1" si="93"/>
        <v>検索実行(obj) コンパイルなし時</v>
      </c>
      <c r="G650">
        <f ca="1">IF($F650="","",COUNTIF($F$3:$F650,$F650))</f>
        <v>1</v>
      </c>
      <c r="H650">
        <f ca="1">IF(OR(G650&gt;1,G650=""),"",COUNTIF($G$3:$G650,1))</f>
        <v>608</v>
      </c>
      <c r="I650" t="str">
        <f t="shared" ca="1" si="94"/>
        <v>検索実行(obj) コンパイルなし時</v>
      </c>
      <c r="K650">
        <f t="shared" si="98"/>
        <v>647</v>
      </c>
      <c r="L650" t="str">
        <f t="shared" ca="1" si="91"/>
        <v>絶対パス判定</v>
      </c>
      <c r="M650" s="2" t="str">
        <f t="shared" ca="1" si="90"/>
        <v/>
      </c>
      <c r="N650" s="2" t="str">
        <f t="shared" ca="1" si="92"/>
        <v>○</v>
      </c>
      <c r="O650" s="2" t="str">
        <f t="shared" ca="1" si="95"/>
        <v/>
      </c>
      <c r="P650" s="2" t="str">
        <f t="shared" ca="1" si="96"/>
        <v/>
      </c>
    </row>
    <row r="651" spans="1:16">
      <c r="A651">
        <f t="shared" si="97"/>
        <v>648</v>
      </c>
      <c r="B651" t="str">
        <f ca="1">IFERROR(VLOOKUP($A651,'vbs,vba'!$G:$H,2,FALSE),"")</f>
        <v/>
      </c>
      <c r="C651" t="str">
        <f ca="1">IFERROR(VLOOKUP($A651,python!$I:$J,2,FALSE),"")</f>
        <v>検索結果(obj) マッチ有無判定</v>
      </c>
      <c r="D651" t="str">
        <f ca="1">IFERROR(VLOOKUP($A651,bat!$F:$G,2,FALSE),"")</f>
        <v/>
      </c>
      <c r="E651" t="str">
        <f ca="1">IFERROR(VLOOKUP($A651,shell!$F:$G,2,FALSE),"")</f>
        <v/>
      </c>
      <c r="F651" t="str">
        <f t="shared" ca="1" si="93"/>
        <v>検索結果(obj) マッチ有無判定</v>
      </c>
      <c r="G651">
        <f ca="1">IF($F651="","",COUNTIF($F$3:$F651,$F651))</f>
        <v>1</v>
      </c>
      <c r="H651">
        <f ca="1">IF(OR(G651&gt;1,G651=""),"",COUNTIF($G$3:$G651,1))</f>
        <v>609</v>
      </c>
      <c r="I651" t="str">
        <f t="shared" ca="1" si="94"/>
        <v>検索結果(obj) マッチ有無判定</v>
      </c>
      <c r="K651">
        <f t="shared" si="98"/>
        <v>648</v>
      </c>
      <c r="L651" t="str">
        <f t="shared" ca="1" si="91"/>
        <v>ファイル存在確認</v>
      </c>
      <c r="M651" s="2" t="str">
        <f t="shared" ca="1" si="90"/>
        <v/>
      </c>
      <c r="N651" s="2" t="str">
        <f t="shared" ca="1" si="92"/>
        <v>○</v>
      </c>
      <c r="O651" s="2" t="str">
        <f t="shared" ca="1" si="95"/>
        <v/>
      </c>
      <c r="P651" s="2" t="str">
        <f t="shared" ca="1" si="96"/>
        <v/>
      </c>
    </row>
    <row r="652" spans="1:16">
      <c r="A652">
        <f t="shared" si="97"/>
        <v>649</v>
      </c>
      <c r="B652" t="str">
        <f ca="1">IFERROR(VLOOKUP($A652,'vbs,vba'!$G:$H,2,FALSE),"")</f>
        <v/>
      </c>
      <c r="C652" t="str">
        <f ca="1">IFERROR(VLOOKUP($A652,python!$I:$J,2,FALSE),"")</f>
        <v>検索結果(obj) マッチ数取得</v>
      </c>
      <c r="D652" t="str">
        <f ca="1">IFERROR(VLOOKUP($A652,bat!$F:$G,2,FALSE),"")</f>
        <v/>
      </c>
      <c r="E652" t="str">
        <f ca="1">IFERROR(VLOOKUP($A652,shell!$F:$G,2,FALSE),"")</f>
        <v/>
      </c>
      <c r="F652" t="str">
        <f t="shared" ca="1" si="93"/>
        <v>検索結果(obj) マッチ数取得</v>
      </c>
      <c r="G652">
        <f ca="1">IF($F652="","",COUNTIF($F$3:$F652,$F652))</f>
        <v>1</v>
      </c>
      <c r="H652">
        <f ca="1">IF(OR(G652&gt;1,G652=""),"",COUNTIF($G$3:$G652,1))</f>
        <v>610</v>
      </c>
      <c r="I652" t="str">
        <f t="shared" ca="1" si="94"/>
        <v>検索結果(obj) マッチ数取得</v>
      </c>
      <c r="K652">
        <f t="shared" si="98"/>
        <v>649</v>
      </c>
      <c r="L652" t="str">
        <f t="shared" ca="1" si="91"/>
        <v>親ディレクトリパス取得</v>
      </c>
      <c r="M652" s="2" t="str">
        <f t="shared" ca="1" si="90"/>
        <v/>
      </c>
      <c r="N652" s="2" t="str">
        <f t="shared" ca="1" si="92"/>
        <v>○</v>
      </c>
      <c r="O652" s="2" t="str">
        <f t="shared" ca="1" si="95"/>
        <v/>
      </c>
      <c r="P652" s="2" t="str">
        <f t="shared" ca="1" si="96"/>
        <v/>
      </c>
    </row>
    <row r="653" spans="1:16">
      <c r="A653">
        <f t="shared" si="97"/>
        <v>650</v>
      </c>
      <c r="B653" t="str">
        <f ca="1">IFERROR(VLOOKUP($A653,'vbs,vba'!$G:$H,2,FALSE),"")</f>
        <v/>
      </c>
      <c r="C653" t="str">
        <f ca="1">IFERROR(VLOOKUP($A653,python!$I:$J,2,FALSE),"")</f>
        <v>検索結果(obj) サブマッチ数取得</v>
      </c>
      <c r="D653" t="str">
        <f ca="1">IFERROR(VLOOKUP($A653,bat!$F:$G,2,FALSE),"")</f>
        <v/>
      </c>
      <c r="E653" t="str">
        <f ca="1">IFERROR(VLOOKUP($A653,shell!$F:$G,2,FALSE),"")</f>
        <v/>
      </c>
      <c r="F653" t="str">
        <f t="shared" ca="1" si="93"/>
        <v>検索結果(obj) サブマッチ数取得</v>
      </c>
      <c r="G653">
        <f ca="1">IF($F653="","",COUNTIF($F$3:$F653,$F653))</f>
        <v>1</v>
      </c>
      <c r="H653">
        <f ca="1">IF(OR(G653&gt;1,G653=""),"",COUNTIF($G$3:$G653,1))</f>
        <v>611</v>
      </c>
      <c r="I653" t="str">
        <f t="shared" ca="1" si="94"/>
        <v>検索結果(obj) サブマッチ数取得</v>
      </c>
      <c r="K653">
        <f t="shared" si="98"/>
        <v>650</v>
      </c>
      <c r="L653" t="str">
        <f t="shared" ca="1" si="91"/>
        <v>親ディレクトリパス取得(１階層以上)</v>
      </c>
      <c r="M653" s="2" t="str">
        <f t="shared" ca="1" si="90"/>
        <v/>
      </c>
      <c r="N653" s="2" t="str">
        <f t="shared" ca="1" si="92"/>
        <v>○</v>
      </c>
      <c r="O653" s="2" t="str">
        <f t="shared" ca="1" si="95"/>
        <v/>
      </c>
      <c r="P653" s="2" t="str">
        <f t="shared" ca="1" si="96"/>
        <v/>
      </c>
    </row>
    <row r="654" spans="1:16">
      <c r="A654">
        <f t="shared" si="97"/>
        <v>651</v>
      </c>
      <c r="B654" t="str">
        <f ca="1">IFERROR(VLOOKUP($A654,'vbs,vba'!$G:$H,2,FALSE),"")</f>
        <v/>
      </c>
      <c r="C654" t="str">
        <f ca="1">IFERROR(VLOOKUP($A654,python!$I:$J,2,FALSE),"")</f>
        <v>検索結果(obj) マッチ文字列取得</v>
      </c>
      <c r="D654" t="str">
        <f ca="1">IFERROR(VLOOKUP($A654,bat!$F:$G,2,FALSE),"")</f>
        <v/>
      </c>
      <c r="E654" t="str">
        <f ca="1">IFERROR(VLOOKUP($A654,shell!$F:$G,2,FALSE),"")</f>
        <v/>
      </c>
      <c r="F654" t="str">
        <f t="shared" ca="1" si="93"/>
        <v>検索結果(obj) マッチ文字列取得</v>
      </c>
      <c r="G654">
        <f ca="1">IF($F654="","",COUNTIF($F$3:$F654,$F654))</f>
        <v>1</v>
      </c>
      <c r="H654">
        <f ca="1">IF(OR(G654&gt;1,G654=""),"",COUNTIF($G$3:$G654,1))</f>
        <v>612</v>
      </c>
      <c r="I654" t="str">
        <f t="shared" ca="1" si="94"/>
        <v>検索結果(obj) マッチ文字列取得</v>
      </c>
      <c r="K654">
        <f t="shared" si="98"/>
        <v>651</v>
      </c>
      <c r="L654" t="str">
        <f t="shared" ca="1" si="91"/>
        <v>親ディレクトリパス取得(２階層以上)</v>
      </c>
      <c r="M654" s="2" t="str">
        <f t="shared" ca="1" si="90"/>
        <v/>
      </c>
      <c r="N654" s="2" t="str">
        <f t="shared" ca="1" si="92"/>
        <v>○</v>
      </c>
      <c r="O654" s="2" t="str">
        <f t="shared" ca="1" si="95"/>
        <v/>
      </c>
      <c r="P654" s="2" t="str">
        <f t="shared" ca="1" si="96"/>
        <v/>
      </c>
    </row>
    <row r="655" spans="1:16">
      <c r="A655">
        <f t="shared" si="97"/>
        <v>652</v>
      </c>
      <c r="B655" t="str">
        <f ca="1">IFERROR(VLOOKUP($A655,'vbs,vba'!$G:$H,2,FALSE),"")</f>
        <v/>
      </c>
      <c r="C655" t="str">
        <f ca="1">IFERROR(VLOOKUP($A655,python!$I:$J,2,FALSE),"")</f>
        <v>検索結果(obj) マッチ文字列取得</v>
      </c>
      <c r="D655" t="str">
        <f ca="1">IFERROR(VLOOKUP($A655,bat!$F:$G,2,FALSE),"")</f>
        <v/>
      </c>
      <c r="E655" t="str">
        <f ca="1">IFERROR(VLOOKUP($A655,shell!$F:$G,2,FALSE),"")</f>
        <v/>
      </c>
      <c r="F655" t="str">
        <f t="shared" ca="1" si="93"/>
        <v>検索結果(obj) マッチ文字列取得</v>
      </c>
      <c r="G655">
        <f ca="1">IF($F655="","",COUNTIF($F$3:$F655,$F655))</f>
        <v>2</v>
      </c>
      <c r="H655" t="str">
        <f ca="1">IF(OR(G655&gt;1,G655=""),"",COUNTIF($G$3:$G655,1))</f>
        <v/>
      </c>
      <c r="I655" t="str">
        <f t="shared" ca="1" si="94"/>
        <v>検索結果(obj) マッチ文字列取得</v>
      </c>
      <c r="K655">
        <f t="shared" si="98"/>
        <v>652</v>
      </c>
      <c r="L655" t="str">
        <f t="shared" ca="1" si="91"/>
        <v>親ディレクトリパス取得(３階層以上)</v>
      </c>
      <c r="M655" s="2" t="str">
        <f t="shared" ca="1" si="90"/>
        <v/>
      </c>
      <c r="N655" s="2" t="str">
        <f t="shared" ca="1" si="92"/>
        <v>○</v>
      </c>
      <c r="O655" s="2" t="str">
        <f t="shared" ca="1" si="95"/>
        <v/>
      </c>
      <c r="P655" s="2" t="str">
        <f t="shared" ca="1" si="96"/>
        <v/>
      </c>
    </row>
    <row r="656" spans="1:16">
      <c r="A656">
        <f t="shared" si="97"/>
        <v>653</v>
      </c>
      <c r="B656" t="str">
        <f ca="1">IFERROR(VLOOKUP($A656,'vbs,vba'!$G:$H,2,FALSE),"")</f>
        <v/>
      </c>
      <c r="C656" t="str">
        <f ca="1">IFERROR(VLOOKUP($A656,python!$I:$J,2,FALSE),"")</f>
        <v>検索結果(obj) サブマッチ文字列取得</v>
      </c>
      <c r="D656" t="str">
        <f ca="1">IFERROR(VLOOKUP($A656,bat!$F:$G,2,FALSE),"")</f>
        <v/>
      </c>
      <c r="E656" t="str">
        <f ca="1">IFERROR(VLOOKUP($A656,shell!$F:$G,2,FALSE),"")</f>
        <v/>
      </c>
      <c r="F656" t="str">
        <f t="shared" ca="1" si="93"/>
        <v>検索結果(obj) サブマッチ文字列取得</v>
      </c>
      <c r="G656">
        <f ca="1">IF($F656="","",COUNTIF($F$3:$F656,$F656))</f>
        <v>1</v>
      </c>
      <c r="H656">
        <f ca="1">IF(OR(G656&gt;1,G656=""),"",COUNTIF($G$3:$G656,1))</f>
        <v>613</v>
      </c>
      <c r="I656" t="str">
        <f t="shared" ca="1" si="94"/>
        <v>検索結果(obj) サブマッチ文字列取得</v>
      </c>
      <c r="K656">
        <f t="shared" si="98"/>
        <v>653</v>
      </c>
      <c r="L656" t="str">
        <f t="shared" ca="1" si="91"/>
        <v>親ディレクトリパス取得(トップから1階層以下)</v>
      </c>
      <c r="M656" s="2" t="str">
        <f t="shared" ca="1" si="90"/>
        <v/>
      </c>
      <c r="N656" s="2" t="str">
        <f t="shared" ca="1" si="92"/>
        <v>○</v>
      </c>
      <c r="O656" s="2" t="str">
        <f t="shared" ca="1" si="95"/>
        <v/>
      </c>
      <c r="P656" s="2" t="str">
        <f t="shared" ca="1" si="96"/>
        <v/>
      </c>
    </row>
    <row r="657" spans="1:16">
      <c r="A657">
        <f t="shared" si="97"/>
        <v>654</v>
      </c>
      <c r="B657" t="str">
        <f ca="1">IFERROR(VLOOKUP($A657,'vbs,vba'!$G:$H,2,FALSE),"")</f>
        <v/>
      </c>
      <c r="C657" t="str">
        <f ca="1">IFERROR(VLOOKUP($A657,python!$I:$J,2,FALSE),"")</f>
        <v>検索結果(obj) マッチ開始位置取得</v>
      </c>
      <c r="D657" t="str">
        <f ca="1">IFERROR(VLOOKUP($A657,bat!$F:$G,2,FALSE),"")</f>
        <v/>
      </c>
      <c r="E657" t="str">
        <f ca="1">IFERROR(VLOOKUP($A657,shell!$F:$G,2,FALSE),"")</f>
        <v/>
      </c>
      <c r="F657" t="str">
        <f t="shared" ca="1" si="93"/>
        <v>検索結果(obj) マッチ開始位置取得</v>
      </c>
      <c r="G657">
        <f ca="1">IF($F657="","",COUNTIF($F$3:$F657,$F657))</f>
        <v>1</v>
      </c>
      <c r="H657">
        <f ca="1">IF(OR(G657&gt;1,G657=""),"",COUNTIF($G$3:$G657,1))</f>
        <v>614</v>
      </c>
      <c r="I657" t="str">
        <f t="shared" ca="1" si="94"/>
        <v>検索結果(obj) マッチ開始位置取得</v>
      </c>
      <c r="K657">
        <f t="shared" si="98"/>
        <v>654</v>
      </c>
      <c r="L657" t="str">
        <f t="shared" ca="1" si="91"/>
        <v>親ディレクトリパス取得(トップから2階層以下)</v>
      </c>
      <c r="M657" s="2" t="str">
        <f t="shared" ca="1" si="90"/>
        <v/>
      </c>
      <c r="N657" s="2" t="str">
        <f t="shared" ca="1" si="92"/>
        <v>○</v>
      </c>
      <c r="O657" s="2" t="str">
        <f t="shared" ca="1" si="95"/>
        <v/>
      </c>
      <c r="P657" s="2" t="str">
        <f t="shared" ca="1" si="96"/>
        <v/>
      </c>
    </row>
    <row r="658" spans="1:16">
      <c r="A658">
        <f t="shared" si="97"/>
        <v>655</v>
      </c>
      <c r="B658" t="str">
        <f ca="1">IFERROR(VLOOKUP($A658,'vbs,vba'!$G:$H,2,FALSE),"")</f>
        <v/>
      </c>
      <c r="C658" t="str">
        <f ca="1">IFERROR(VLOOKUP($A658,python!$I:$J,2,FALSE),"")</f>
        <v>検索結果(obj) マッチ終了位置取得</v>
      </c>
      <c r="D658" t="str">
        <f ca="1">IFERROR(VLOOKUP($A658,bat!$F:$G,2,FALSE),"")</f>
        <v/>
      </c>
      <c r="E658" t="str">
        <f ca="1">IFERROR(VLOOKUP($A658,shell!$F:$G,2,FALSE),"")</f>
        <v/>
      </c>
      <c r="F658" t="str">
        <f t="shared" ca="1" si="93"/>
        <v>検索結果(obj) マッチ終了位置取得</v>
      </c>
      <c r="G658">
        <f ca="1">IF($F658="","",COUNTIF($F$3:$F658,$F658))</f>
        <v>1</v>
      </c>
      <c r="H658">
        <f ca="1">IF(OR(G658&gt;1,G658=""),"",COUNTIF($G$3:$G658,1))</f>
        <v>615</v>
      </c>
      <c r="I658" t="str">
        <f t="shared" ca="1" si="94"/>
        <v>検索結果(obj) マッチ終了位置取得</v>
      </c>
      <c r="K658">
        <f t="shared" si="98"/>
        <v>655</v>
      </c>
      <c r="L658" t="str">
        <f t="shared" ca="1" si="91"/>
        <v>ファイル名取得</v>
      </c>
      <c r="M658" s="2" t="str">
        <f t="shared" ca="1" si="90"/>
        <v/>
      </c>
      <c r="N658" s="2" t="str">
        <f t="shared" ca="1" si="92"/>
        <v>○</v>
      </c>
      <c r="O658" s="2" t="str">
        <f t="shared" ca="1" si="95"/>
        <v/>
      </c>
      <c r="P658" s="2" t="str">
        <f t="shared" ca="1" si="96"/>
        <v/>
      </c>
    </row>
    <row r="659" spans="1:16">
      <c r="A659">
        <f t="shared" si="97"/>
        <v>656</v>
      </c>
      <c r="B659" t="str">
        <f ca="1">IFERROR(VLOOKUP($A659,'vbs,vba'!$G:$H,2,FALSE),"")</f>
        <v/>
      </c>
      <c r="C659" t="str">
        <f ca="1">IFERROR(VLOOKUP($A659,python!$I:$J,2,FALSE),"")</f>
        <v>置換実行</v>
      </c>
      <c r="D659" t="str">
        <f ca="1">IFERROR(VLOOKUP($A659,bat!$F:$G,2,FALSE),"")</f>
        <v/>
      </c>
      <c r="E659" t="str">
        <f ca="1">IFERROR(VLOOKUP($A659,shell!$F:$G,2,FALSE),"")</f>
        <v/>
      </c>
      <c r="F659" t="str">
        <f t="shared" ca="1" si="93"/>
        <v>置換実行</v>
      </c>
      <c r="G659">
        <f ca="1">IF($F659="","",COUNTIF($F$3:$F659,$F659))</f>
        <v>2</v>
      </c>
      <c r="H659" t="str">
        <f ca="1">IF(OR(G659&gt;1,G659=""),"",COUNTIF($G$3:$G659,1))</f>
        <v/>
      </c>
      <c r="I659" t="str">
        <f t="shared" ca="1" si="94"/>
        <v>置換実行</v>
      </c>
      <c r="K659">
        <f t="shared" si="98"/>
        <v>656</v>
      </c>
      <c r="L659" t="str">
        <f t="shared" ca="1" si="91"/>
        <v>ファイルベース名取得</v>
      </c>
      <c r="M659" s="2" t="str">
        <f t="shared" ca="1" si="90"/>
        <v/>
      </c>
      <c r="N659" s="2" t="str">
        <f t="shared" ca="1" si="92"/>
        <v>○</v>
      </c>
      <c r="O659" s="2" t="str">
        <f t="shared" ca="1" si="95"/>
        <v/>
      </c>
      <c r="P659" s="2" t="str">
        <f t="shared" ca="1" si="96"/>
        <v/>
      </c>
    </row>
    <row r="660" spans="1:16">
      <c r="A660">
        <f t="shared" si="97"/>
        <v>657</v>
      </c>
      <c r="B660" t="str">
        <f ca="1">IFERROR(VLOOKUP($A660,'vbs,vba'!$G:$H,2,FALSE),"")</f>
        <v/>
      </c>
      <c r="C660" t="str">
        <f ca="1">IFERROR(VLOOKUP($A660,python!$I:$J,2,FALSE),"")</f>
        <v>インポート</v>
      </c>
      <c r="D660" t="str">
        <f ca="1">IFERROR(VLOOKUP($A660,bat!$F:$G,2,FALSE),"")</f>
        <v/>
      </c>
      <c r="E660" t="str">
        <f ca="1">IFERROR(VLOOKUP($A660,shell!$F:$G,2,FALSE),"")</f>
        <v/>
      </c>
      <c r="F660" t="str">
        <f t="shared" ca="1" si="93"/>
        <v>インポート</v>
      </c>
      <c r="G660">
        <f ca="1">IF($F660="","",COUNTIF($F$3:$F660,$F660))</f>
        <v>1</v>
      </c>
      <c r="H660">
        <f ca="1">IF(OR(G660&gt;1,G660=""),"",COUNTIF($G$3:$G660,1))</f>
        <v>616</v>
      </c>
      <c r="I660" t="str">
        <f t="shared" ca="1" si="94"/>
        <v>インポート</v>
      </c>
      <c r="K660">
        <f t="shared" si="98"/>
        <v>657</v>
      </c>
      <c r="L660" t="str">
        <f t="shared" ca="1" si="91"/>
        <v>拡張子取得</v>
      </c>
      <c r="M660" s="2" t="str">
        <f t="shared" ca="1" si="90"/>
        <v/>
      </c>
      <c r="N660" s="2" t="str">
        <f t="shared" ca="1" si="92"/>
        <v>○</v>
      </c>
      <c r="O660" s="2" t="str">
        <f t="shared" ca="1" si="95"/>
        <v/>
      </c>
      <c r="P660" s="2" t="str">
        <f t="shared" ca="1" si="96"/>
        <v/>
      </c>
    </row>
    <row r="661" spans="1:16">
      <c r="A661">
        <f t="shared" si="97"/>
        <v>658</v>
      </c>
      <c r="B661" t="str">
        <f ca="1">IFERROR(VLOOKUP($A661,'vbs,vba'!$G:$H,2,FALSE),"")</f>
        <v/>
      </c>
      <c r="C661" t="str">
        <f ca="1">IFERROR(VLOOKUP($A661,python!$I:$J,2,FALSE),"")</f>
        <v>コマンド実行</v>
      </c>
      <c r="D661" t="str">
        <f ca="1">IFERROR(VLOOKUP($A661,bat!$F:$G,2,FALSE),"")</f>
        <v/>
      </c>
      <c r="E661" t="str">
        <f ca="1">IFERROR(VLOOKUP($A661,shell!$F:$G,2,FALSE),"")</f>
        <v/>
      </c>
      <c r="F661" t="str">
        <f t="shared" ca="1" si="93"/>
        <v>コマンド実行</v>
      </c>
      <c r="G661">
        <f ca="1">IF($F661="","",COUNTIF($F$3:$F661,$F661))</f>
        <v>2</v>
      </c>
      <c r="H661" t="str">
        <f ca="1">IF(OR(G661&gt;1,G661=""),"",COUNTIF($G$3:$G661,1))</f>
        <v/>
      </c>
      <c r="I661" t="str">
        <f t="shared" ca="1" si="94"/>
        <v>コマンド実行</v>
      </c>
      <c r="K661">
        <f t="shared" si="98"/>
        <v>658</v>
      </c>
      <c r="L661" t="str">
        <f t="shared" ca="1" si="91"/>
        <v>拡張子取得（複数ピリオド時）</v>
      </c>
      <c r="M661" s="2" t="str">
        <f t="shared" ca="1" si="90"/>
        <v/>
      </c>
      <c r="N661" s="2" t="str">
        <f t="shared" ca="1" si="92"/>
        <v>○</v>
      </c>
      <c r="O661" s="2" t="str">
        <f t="shared" ca="1" si="95"/>
        <v/>
      </c>
      <c r="P661" s="2" t="str">
        <f t="shared" ca="1" si="96"/>
        <v/>
      </c>
    </row>
    <row r="662" spans="1:16">
      <c r="A662">
        <f t="shared" si="97"/>
        <v>659</v>
      </c>
      <c r="B662" t="str">
        <f ca="1">IFERROR(VLOOKUP($A662,'vbs,vba'!$G:$H,2,FALSE),"")</f>
        <v/>
      </c>
      <c r="C662" t="str">
        <f ca="1">IFERROR(VLOOKUP($A662,python!$I:$J,2,FALSE),"")</f>
        <v>レジストリ読込</v>
      </c>
      <c r="D662" t="str">
        <f ca="1">IFERROR(VLOOKUP($A662,bat!$F:$G,2,FALSE),"")</f>
        <v/>
      </c>
      <c r="E662" t="str">
        <f ca="1">IFERROR(VLOOKUP($A662,shell!$F:$G,2,FALSE),"")</f>
        <v/>
      </c>
      <c r="F662" t="str">
        <f t="shared" ca="1" si="93"/>
        <v>レジストリ読込</v>
      </c>
      <c r="G662">
        <f ca="1">IF($F662="","",COUNTIF($F$3:$F662,$F662))</f>
        <v>2</v>
      </c>
      <c r="H662" t="str">
        <f ca="1">IF(OR(G662&gt;1,G662=""),"",COUNTIF($G$3:$G662,1))</f>
        <v/>
      </c>
      <c r="I662" t="str">
        <f t="shared" ca="1" si="94"/>
        <v>レジストリ読込</v>
      </c>
      <c r="K662">
        <f t="shared" si="98"/>
        <v>659</v>
      </c>
      <c r="L662" t="str">
        <f t="shared" ca="1" si="91"/>
        <v>カレントディレクトリ取得</v>
      </c>
      <c r="M662" s="2" t="str">
        <f t="shared" ca="1" si="90"/>
        <v/>
      </c>
      <c r="N662" s="2" t="str">
        <f t="shared" ca="1" si="92"/>
        <v>○</v>
      </c>
      <c r="O662" s="2" t="str">
        <f t="shared" ca="1" si="95"/>
        <v>○</v>
      </c>
      <c r="P662" s="2" t="str">
        <f t="shared" ca="1" si="96"/>
        <v/>
      </c>
    </row>
    <row r="663" spans="1:16">
      <c r="A663">
        <f t="shared" si="97"/>
        <v>660</v>
      </c>
      <c r="B663" t="str">
        <f ca="1">IFERROR(VLOOKUP($A663,'vbs,vba'!$G:$H,2,FALSE),"")</f>
        <v/>
      </c>
      <c r="C663" t="str">
        <f ca="1">IFERROR(VLOOKUP($A663,python!$I:$J,2,FALSE),"")</f>
        <v>レジストリ書込</v>
      </c>
      <c r="D663" t="str">
        <f ca="1">IFERROR(VLOOKUP($A663,bat!$F:$G,2,FALSE),"")</f>
        <v/>
      </c>
      <c r="E663" t="str">
        <f ca="1">IFERROR(VLOOKUP($A663,shell!$F:$G,2,FALSE),"")</f>
        <v/>
      </c>
      <c r="F663" t="str">
        <f t="shared" ca="1" si="93"/>
        <v>レジストリ書込</v>
      </c>
      <c r="G663">
        <f ca="1">IF($F663="","",COUNTIF($F$3:$F663,$F663))</f>
        <v>2</v>
      </c>
      <c r="H663" t="str">
        <f ca="1">IF(OR(G663&gt;1,G663=""),"",COUNTIF($G$3:$G663,1))</f>
        <v/>
      </c>
      <c r="I663" t="str">
        <f t="shared" ca="1" si="94"/>
        <v>レジストリ書込</v>
      </c>
      <c r="K663">
        <f t="shared" si="98"/>
        <v>660</v>
      </c>
      <c r="L663" t="str">
        <f t="shared" ca="1" si="91"/>
        <v>パス結合</v>
      </c>
      <c r="M663" s="2" t="str">
        <f t="shared" ca="1" si="90"/>
        <v/>
      </c>
      <c r="N663" s="2" t="str">
        <f t="shared" ca="1" si="92"/>
        <v>○</v>
      </c>
      <c r="O663" s="2" t="str">
        <f t="shared" ca="1" si="95"/>
        <v/>
      </c>
      <c r="P663" s="2" t="str">
        <f t="shared" ca="1" si="96"/>
        <v/>
      </c>
    </row>
    <row r="664" spans="1:16">
      <c r="A664">
        <f t="shared" si="97"/>
        <v>661</v>
      </c>
      <c r="B664" t="str">
        <f ca="1">IFERROR(VLOOKUP($A664,'vbs,vba'!$G:$H,2,FALSE),"")</f>
        <v/>
      </c>
      <c r="C664" t="str">
        <f ca="1">IFERROR(VLOOKUP($A664,python!$I:$J,2,FALSE),"")</f>
        <v>環境変数 値更新</v>
      </c>
      <c r="D664" t="str">
        <f ca="1">IFERROR(VLOOKUP($A664,bat!$F:$G,2,FALSE),"")</f>
        <v/>
      </c>
      <c r="E664" t="str">
        <f ca="1">IFERROR(VLOOKUP($A664,shell!$F:$G,2,FALSE),"")</f>
        <v/>
      </c>
      <c r="F664" t="str">
        <f t="shared" ca="1" si="93"/>
        <v>環境変数 値更新</v>
      </c>
      <c r="G664">
        <f ca="1">IF($F664="","",COUNTIF($F$3:$F664,$F664))</f>
        <v>1</v>
      </c>
      <c r="H664">
        <f ca="1">IF(OR(G664&gt;1,G664=""),"",COUNTIF($G$3:$G664,1))</f>
        <v>617</v>
      </c>
      <c r="I664" t="str">
        <f t="shared" ca="1" si="94"/>
        <v>環境変数 値更新</v>
      </c>
      <c r="K664">
        <f t="shared" si="98"/>
        <v>661</v>
      </c>
      <c r="L664" t="str">
        <f t="shared" ca="1" si="91"/>
        <v>ディレクトリ作成</v>
      </c>
      <c r="M664" s="2" t="str">
        <f t="shared" ca="1" si="90"/>
        <v/>
      </c>
      <c r="N664" s="2" t="str">
        <f t="shared" ca="1" si="92"/>
        <v>○</v>
      </c>
      <c r="O664" s="2" t="str">
        <f t="shared" ca="1" si="95"/>
        <v/>
      </c>
      <c r="P664" s="2" t="str">
        <f t="shared" ca="1" si="96"/>
        <v/>
      </c>
    </row>
    <row r="665" spans="1:16">
      <c r="A665">
        <f t="shared" si="97"/>
        <v>662</v>
      </c>
      <c r="B665" t="str">
        <f ca="1">IFERROR(VLOOKUP($A665,'vbs,vba'!$G:$H,2,FALSE),"")</f>
        <v/>
      </c>
      <c r="C665" t="str">
        <f ca="1">IFERROR(VLOOKUP($A665,python!$I:$J,2,FALSE),"")</f>
        <v>環境変数 値取得</v>
      </c>
      <c r="D665" t="str">
        <f ca="1">IFERROR(VLOOKUP($A665,bat!$F:$G,2,FALSE),"")</f>
        <v/>
      </c>
      <c r="E665" t="str">
        <f ca="1">IFERROR(VLOOKUP($A665,shell!$F:$G,2,FALSE),"")</f>
        <v/>
      </c>
      <c r="F665" t="str">
        <f t="shared" ca="1" si="93"/>
        <v>環境変数 値取得</v>
      </c>
      <c r="G665">
        <f ca="1">IF($F665="","",COUNTIF($F$3:$F665,$F665))</f>
        <v>1</v>
      </c>
      <c r="H665">
        <f ca="1">IF(OR(G665&gt;1,G665=""),"",COUNTIF($G$3:$G665,1))</f>
        <v>618</v>
      </c>
      <c r="I665" t="str">
        <f t="shared" ca="1" si="94"/>
        <v>環境変数 値取得</v>
      </c>
      <c r="K665">
        <f t="shared" si="98"/>
        <v>662</v>
      </c>
      <c r="L665" t="str">
        <f t="shared" ca="1" si="91"/>
        <v>ファイル作成</v>
      </c>
      <c r="M665" s="2" t="str">
        <f t="shared" ca="1" si="90"/>
        <v/>
      </c>
      <c r="N665" s="2" t="str">
        <f t="shared" ca="1" si="92"/>
        <v>○</v>
      </c>
      <c r="O665" s="2" t="str">
        <f t="shared" ca="1" si="95"/>
        <v/>
      </c>
      <c r="P665" s="2" t="str">
        <f t="shared" ca="1" si="96"/>
        <v/>
      </c>
    </row>
    <row r="666" spans="1:16">
      <c r="A666">
        <f t="shared" si="97"/>
        <v>663</v>
      </c>
      <c r="B666" t="str">
        <f ca="1">IFERROR(VLOOKUP($A666,'vbs,vba'!$G:$H,2,FALSE),"")</f>
        <v/>
      </c>
      <c r="C666" t="str">
        <f ca="1">IFERROR(VLOOKUP($A666,python!$I:$J,2,FALSE),"")</f>
        <v>環境変数 削除</v>
      </c>
      <c r="D666" t="str">
        <f ca="1">IFERROR(VLOOKUP($A666,bat!$F:$G,2,FALSE),"")</f>
        <v/>
      </c>
      <c r="E666" t="str">
        <f ca="1">IFERROR(VLOOKUP($A666,shell!$F:$G,2,FALSE),"")</f>
        <v/>
      </c>
      <c r="F666" t="str">
        <f t="shared" ca="1" si="93"/>
        <v>環境変数 削除</v>
      </c>
      <c r="G666">
        <f ca="1">IF($F666="","",COUNTIF($F$3:$F666,$F666))</f>
        <v>2</v>
      </c>
      <c r="H666" t="str">
        <f ca="1">IF(OR(G666&gt;1,G666=""),"",COUNTIF($G$3:$G666,1))</f>
        <v/>
      </c>
      <c r="I666" t="str">
        <f t="shared" ca="1" si="94"/>
        <v>環境変数 削除</v>
      </c>
      <c r="K666">
        <f t="shared" si="98"/>
        <v>663</v>
      </c>
      <c r="L666" t="str">
        <f t="shared" ca="1" si="91"/>
        <v>基礎設定</v>
      </c>
      <c r="M666" s="2" t="str">
        <f t="shared" ca="1" si="90"/>
        <v/>
      </c>
      <c r="N666" s="2" t="str">
        <f t="shared" ca="1" si="92"/>
        <v>○</v>
      </c>
      <c r="O666" s="2" t="str">
        <f t="shared" ca="1" si="95"/>
        <v/>
      </c>
      <c r="P666" s="2" t="str">
        <f t="shared" ca="1" si="96"/>
        <v/>
      </c>
    </row>
    <row r="667" spans="1:16">
      <c r="A667">
        <f t="shared" si="97"/>
        <v>664</v>
      </c>
      <c r="B667" t="str">
        <f ca="1">IFERROR(VLOOKUP($A667,'vbs,vba'!$G:$H,2,FALSE),"")</f>
        <v/>
      </c>
      <c r="C667" t="str">
        <f ca="1">IFERROR(VLOOKUP($A667,python!$I:$J,2,FALSE),"")</f>
        <v>ショートカット 作成</v>
      </c>
      <c r="D667" t="str">
        <f ca="1">IFERROR(VLOOKUP($A667,bat!$F:$G,2,FALSE),"")</f>
        <v/>
      </c>
      <c r="E667" t="str">
        <f ca="1">IFERROR(VLOOKUP($A667,shell!$F:$G,2,FALSE),"")</f>
        <v/>
      </c>
      <c r="F667" t="str">
        <f t="shared" ca="1" si="93"/>
        <v>ショートカット 作成</v>
      </c>
      <c r="G667">
        <f ca="1">IF($F667="","",COUNTIF($F$3:$F667,$F667))</f>
        <v>2</v>
      </c>
      <c r="H667" t="str">
        <f ca="1">IF(OR(G667&gt;1,G667=""),"",COUNTIF($G$3:$G667,1))</f>
        <v/>
      </c>
      <c r="I667" t="str">
        <f t="shared" ca="1" si="94"/>
        <v>ショートカット 作成</v>
      </c>
      <c r="K667">
        <f t="shared" si="98"/>
        <v>664</v>
      </c>
      <c r="L667" t="str">
        <f t="shared" ca="1" si="91"/>
        <v>ロガー設定</v>
      </c>
      <c r="M667" s="2" t="str">
        <f t="shared" ca="1" si="90"/>
        <v/>
      </c>
      <c r="N667" s="2" t="str">
        <f t="shared" ca="1" si="92"/>
        <v>○</v>
      </c>
      <c r="O667" s="2" t="str">
        <f t="shared" ca="1" si="95"/>
        <v/>
      </c>
      <c r="P667" s="2" t="str">
        <f t="shared" ca="1" si="96"/>
        <v/>
      </c>
    </row>
    <row r="668" spans="1:16">
      <c r="A668">
        <f t="shared" si="97"/>
        <v>665</v>
      </c>
      <c r="B668" t="str">
        <f ca="1">IFERROR(VLOOKUP($A668,'vbs,vba'!$G:$H,2,FALSE),"")</f>
        <v/>
      </c>
      <c r="C668" t="str">
        <f ca="1">IFERROR(VLOOKUP($A668,python!$I:$J,2,FALSE),"")</f>
        <v>ショートカット 指示先パス取得</v>
      </c>
      <c r="D668" t="str">
        <f ca="1">IFERROR(VLOOKUP($A668,bat!$F:$G,2,FALSE),"")</f>
        <v/>
      </c>
      <c r="E668" t="str">
        <f ca="1">IFERROR(VLOOKUP($A668,shell!$F:$G,2,FALSE),"")</f>
        <v/>
      </c>
      <c r="F668" t="str">
        <f t="shared" ca="1" si="93"/>
        <v>ショートカット 指示先パス取得</v>
      </c>
      <c r="G668">
        <f ca="1">IF($F668="","",COUNTIF($F$3:$F668,$F668))</f>
        <v>2</v>
      </c>
      <c r="H668" t="str">
        <f ca="1">IF(OR(G668&gt;1,G668=""),"",COUNTIF($G$3:$G668,1))</f>
        <v/>
      </c>
      <c r="I668" t="str">
        <f t="shared" ca="1" si="94"/>
        <v>ショートカット 指示先パス取得</v>
      </c>
      <c r="K668">
        <f t="shared" si="98"/>
        <v>665</v>
      </c>
      <c r="L668" t="str">
        <f t="shared" ca="1" si="91"/>
        <v>ログ出力(DEBUG)</v>
      </c>
      <c r="M668" s="2" t="str">
        <f t="shared" ca="1" si="90"/>
        <v/>
      </c>
      <c r="N668" s="2" t="str">
        <f t="shared" ca="1" si="92"/>
        <v>○</v>
      </c>
      <c r="O668" s="2" t="str">
        <f t="shared" ca="1" si="95"/>
        <v/>
      </c>
      <c r="P668" s="2" t="str">
        <f t="shared" ca="1" si="96"/>
        <v/>
      </c>
    </row>
    <row r="669" spans="1:16">
      <c r="A669">
        <f t="shared" si="97"/>
        <v>666</v>
      </c>
      <c r="B669" t="str">
        <f ca="1">IFERROR(VLOOKUP($A669,'vbs,vba'!$G:$H,2,FALSE),"")</f>
        <v/>
      </c>
      <c r="C669" t="str">
        <f ca="1">IFERROR(VLOOKUP($A669,python!$I:$J,2,FALSE),"")</f>
        <v>ショートカット 指示先パス更新</v>
      </c>
      <c r="D669" t="str">
        <f ca="1">IFERROR(VLOOKUP($A669,bat!$F:$G,2,FALSE),"")</f>
        <v/>
      </c>
      <c r="E669" t="str">
        <f ca="1">IFERROR(VLOOKUP($A669,shell!$F:$G,2,FALSE),"")</f>
        <v/>
      </c>
      <c r="F669" t="str">
        <f t="shared" ca="1" si="93"/>
        <v>ショートカット 指示先パス更新</v>
      </c>
      <c r="G669">
        <f ca="1">IF($F669="","",COUNTIF($F$3:$F669,$F669))</f>
        <v>2</v>
      </c>
      <c r="H669" t="str">
        <f ca="1">IF(OR(G669&gt;1,G669=""),"",COUNTIF($G$3:$G669,1))</f>
        <v/>
      </c>
      <c r="I669" t="str">
        <f t="shared" ca="1" si="94"/>
        <v>ショートカット 指示先パス更新</v>
      </c>
      <c r="K669">
        <f t="shared" si="98"/>
        <v>666</v>
      </c>
      <c r="L669" t="str">
        <f t="shared" ca="1" si="91"/>
        <v>ログ出力(INFO)</v>
      </c>
      <c r="M669" s="2" t="str">
        <f t="shared" ca="1" si="90"/>
        <v/>
      </c>
      <c r="N669" s="2" t="str">
        <f t="shared" ca="1" si="92"/>
        <v>○</v>
      </c>
      <c r="O669" s="2" t="str">
        <f t="shared" ca="1" si="95"/>
        <v/>
      </c>
      <c r="P669" s="2" t="str">
        <f t="shared" ca="1" si="96"/>
        <v/>
      </c>
    </row>
    <row r="670" spans="1:16">
      <c r="A670">
        <f t="shared" si="97"/>
        <v>667</v>
      </c>
      <c r="B670" t="str">
        <f ca="1">IFERROR(VLOOKUP($A670,'vbs,vba'!$G:$H,2,FALSE),"")</f>
        <v/>
      </c>
      <c r="C670" t="str">
        <f ca="1">IFERROR(VLOOKUP($A670,python!$I:$J,2,FALSE),"")</f>
        <v>ショートカット コメント更新</v>
      </c>
      <c r="D670" t="str">
        <f ca="1">IFERROR(VLOOKUP($A670,bat!$F:$G,2,FALSE),"")</f>
        <v/>
      </c>
      <c r="E670" t="str">
        <f ca="1">IFERROR(VLOOKUP($A670,shell!$F:$G,2,FALSE),"")</f>
        <v/>
      </c>
      <c r="F670" t="str">
        <f t="shared" ca="1" si="93"/>
        <v>ショートカット コメント更新</v>
      </c>
      <c r="G670">
        <f ca="1">IF($F670="","",COUNTIF($F$3:$F670,$F670))</f>
        <v>2</v>
      </c>
      <c r="H670" t="str">
        <f ca="1">IF(OR(G670&gt;1,G670=""),"",COUNTIF($G$3:$G670,1))</f>
        <v/>
      </c>
      <c r="I670" t="str">
        <f t="shared" ca="1" si="94"/>
        <v>ショートカット コメント更新</v>
      </c>
      <c r="K670">
        <f t="shared" si="98"/>
        <v>667</v>
      </c>
      <c r="L670" t="str">
        <f t="shared" ca="1" si="91"/>
        <v>ログ出力(WARNING)</v>
      </c>
      <c r="M670" s="2" t="str">
        <f t="shared" ca="1" si="90"/>
        <v/>
      </c>
      <c r="N670" s="2" t="str">
        <f t="shared" ca="1" si="92"/>
        <v>○</v>
      </c>
      <c r="O670" s="2" t="str">
        <f t="shared" ca="1" si="95"/>
        <v/>
      </c>
      <c r="P670" s="2" t="str">
        <f t="shared" ca="1" si="96"/>
        <v/>
      </c>
    </row>
    <row r="671" spans="1:16">
      <c r="A671">
        <f t="shared" si="97"/>
        <v>668</v>
      </c>
      <c r="B671" t="str">
        <f ca="1">IFERROR(VLOOKUP($A671,'vbs,vba'!$G:$H,2,FALSE),"")</f>
        <v/>
      </c>
      <c r="C671" t="str">
        <f ca="1">IFERROR(VLOOKUP($A671,python!$I:$J,2,FALSE),"")</f>
        <v>ショートカット 引数更新</v>
      </c>
      <c r="D671" t="str">
        <f ca="1">IFERROR(VLOOKUP($A671,bat!$F:$G,2,FALSE),"")</f>
        <v/>
      </c>
      <c r="E671" t="str">
        <f ca="1">IFERROR(VLOOKUP($A671,shell!$F:$G,2,FALSE),"")</f>
        <v/>
      </c>
      <c r="F671" t="str">
        <f t="shared" ca="1" si="93"/>
        <v>ショートカット 引数更新</v>
      </c>
      <c r="G671">
        <f ca="1">IF($F671="","",COUNTIF($F$3:$F671,$F671))</f>
        <v>2</v>
      </c>
      <c r="H671" t="str">
        <f ca="1">IF(OR(G671&gt;1,G671=""),"",COUNTIF($G$3:$G671,1))</f>
        <v/>
      </c>
      <c r="I671" t="str">
        <f t="shared" ca="1" si="94"/>
        <v>ショートカット 引数更新</v>
      </c>
      <c r="K671">
        <f t="shared" si="98"/>
        <v>668</v>
      </c>
      <c r="L671" t="str">
        <f t="shared" ca="1" si="91"/>
        <v>ログ出力(ERROR)</v>
      </c>
      <c r="M671" s="2" t="str">
        <f t="shared" ca="1" si="90"/>
        <v/>
      </c>
      <c r="N671" s="2" t="str">
        <f t="shared" ca="1" si="92"/>
        <v>○</v>
      </c>
      <c r="O671" s="2" t="str">
        <f t="shared" ca="1" si="95"/>
        <v/>
      </c>
      <c r="P671" s="2" t="str">
        <f t="shared" ca="1" si="96"/>
        <v/>
      </c>
    </row>
    <row r="672" spans="1:16">
      <c r="A672">
        <f t="shared" si="97"/>
        <v>669</v>
      </c>
      <c r="B672" t="str">
        <f ca="1">IFERROR(VLOOKUP($A672,'vbs,vba'!$G:$H,2,FALSE),"")</f>
        <v/>
      </c>
      <c r="C672" t="str">
        <f ca="1">IFERROR(VLOOKUP($A672,python!$I:$J,2,FALSE),"")</f>
        <v>シンボリックリンク 作成</v>
      </c>
      <c r="D672" t="str">
        <f ca="1">IFERROR(VLOOKUP($A672,bat!$F:$G,2,FALSE),"")</f>
        <v/>
      </c>
      <c r="E672" t="str">
        <f ca="1">IFERROR(VLOOKUP($A672,shell!$F:$G,2,FALSE),"")</f>
        <v/>
      </c>
      <c r="F672" t="str">
        <f t="shared" ca="1" si="93"/>
        <v>シンボリックリンク 作成</v>
      </c>
      <c r="G672">
        <f ca="1">IF($F672="","",COUNTIF($F$3:$F672,$F672))</f>
        <v>1</v>
      </c>
      <c r="H672">
        <f ca="1">IF(OR(G672&gt;1,G672=""),"",COUNTIF($G$3:$G672,1))</f>
        <v>619</v>
      </c>
      <c r="I672" t="str">
        <f t="shared" ca="1" si="94"/>
        <v>シンボリックリンク 作成</v>
      </c>
      <c r="K672">
        <f t="shared" si="98"/>
        <v>669</v>
      </c>
      <c r="L672" t="str">
        <f t="shared" ca="1" si="91"/>
        <v>ログ出力(CRITICAL)</v>
      </c>
      <c r="M672" s="2" t="str">
        <f t="shared" ca="1" si="90"/>
        <v/>
      </c>
      <c r="N672" s="2" t="str">
        <f t="shared" ca="1" si="92"/>
        <v>○</v>
      </c>
      <c r="O672" s="2" t="str">
        <f t="shared" ca="1" si="95"/>
        <v/>
      </c>
      <c r="P672" s="2" t="str">
        <f t="shared" ca="1" si="96"/>
        <v/>
      </c>
    </row>
    <row r="673" spans="1:16">
      <c r="A673">
        <f t="shared" si="97"/>
        <v>670</v>
      </c>
      <c r="B673" t="str">
        <f ca="1">IFERROR(VLOOKUP($A673,'vbs,vba'!$G:$H,2,FALSE),"")</f>
        <v/>
      </c>
      <c r="C673" t="str">
        <f ca="1">IFERROR(VLOOKUP($A673,python!$I:$J,2,FALSE),"")</f>
        <v>ポップアップ出力</v>
      </c>
      <c r="D673" t="str">
        <f ca="1">IFERROR(VLOOKUP($A673,bat!$F:$G,2,FALSE),"")</f>
        <v/>
      </c>
      <c r="E673" t="str">
        <f ca="1">IFERROR(VLOOKUP($A673,shell!$F:$G,2,FALSE),"")</f>
        <v/>
      </c>
      <c r="F673" t="str">
        <f t="shared" ca="1" si="93"/>
        <v>ポップアップ出力</v>
      </c>
      <c r="G673">
        <f ca="1">IF($F673="","",COUNTIF($F$3:$F673,$F673))</f>
        <v>2</v>
      </c>
      <c r="H673" t="str">
        <f ca="1">IF(OR(G673&gt;1,G673=""),"",COUNTIF($G$3:$G673,1))</f>
        <v/>
      </c>
      <c r="I673" t="str">
        <f t="shared" ca="1" si="94"/>
        <v>ポップアップ出力</v>
      </c>
      <c r="K673">
        <f t="shared" si="98"/>
        <v>670</v>
      </c>
      <c r="L673" t="str">
        <f t="shared" ca="1" si="91"/>
        <v>パーサー用関数定義</v>
      </c>
      <c r="M673" s="2" t="str">
        <f t="shared" ca="1" si="90"/>
        <v/>
      </c>
      <c r="N673" s="2" t="str">
        <f t="shared" ca="1" si="92"/>
        <v>○</v>
      </c>
      <c r="O673" s="2" t="str">
        <f t="shared" ca="1" si="95"/>
        <v/>
      </c>
      <c r="P673" s="2" t="str">
        <f t="shared" ca="1" si="96"/>
        <v/>
      </c>
    </row>
    <row r="674" spans="1:16">
      <c r="A674">
        <f t="shared" si="97"/>
        <v>671</v>
      </c>
      <c r="B674" t="str">
        <f ca="1">IFERROR(VLOOKUP($A674,'vbs,vba'!$G:$H,2,FALSE),"")</f>
        <v/>
      </c>
      <c r="C674" t="str">
        <f ca="1">IFERROR(VLOOKUP($A674,python!$I:$J,2,FALSE),"")</f>
        <v>クリップボード 書き込み</v>
      </c>
      <c r="D674" t="str">
        <f ca="1">IFERROR(VLOOKUP($A674,bat!$F:$G,2,FALSE),"")</f>
        <v/>
      </c>
      <c r="E674" t="str">
        <f ca="1">IFERROR(VLOOKUP($A674,shell!$F:$G,2,FALSE),"")</f>
        <v/>
      </c>
      <c r="F674" t="str">
        <f t="shared" ca="1" si="93"/>
        <v>クリップボード 書き込み</v>
      </c>
      <c r="G674">
        <f ca="1">IF($F674="","",COUNTIF($F$3:$F674,$F674))</f>
        <v>2</v>
      </c>
      <c r="H674" t="str">
        <f ca="1">IF(OR(G674&gt;1,G674=""),"",COUNTIF($G$3:$G674,1))</f>
        <v/>
      </c>
      <c r="I674" t="str">
        <f t="shared" ca="1" si="94"/>
        <v>クリップボード 書き込み</v>
      </c>
      <c r="K674">
        <f t="shared" si="98"/>
        <v>671</v>
      </c>
      <c r="L674" t="str">
        <f t="shared" ca="1" si="91"/>
        <v>パーサー定義</v>
      </c>
      <c r="M674" s="2" t="str">
        <f t="shared" ca="1" si="90"/>
        <v/>
      </c>
      <c r="N674" s="2" t="str">
        <f t="shared" ca="1" si="92"/>
        <v>○</v>
      </c>
      <c r="O674" s="2" t="str">
        <f t="shared" ca="1" si="95"/>
        <v/>
      </c>
      <c r="P674" s="2" t="str">
        <f t="shared" ca="1" si="96"/>
        <v/>
      </c>
    </row>
    <row r="675" spans="1:16">
      <c r="A675">
        <f t="shared" si="97"/>
        <v>672</v>
      </c>
      <c r="B675" t="str">
        <f ca="1">IFERROR(VLOOKUP($A675,'vbs,vba'!$G:$H,2,FALSE),"")</f>
        <v/>
      </c>
      <c r="C675" t="str">
        <f ca="1">IFERROR(VLOOKUP($A675,python!$I:$J,2,FALSE),"")</f>
        <v>クリップボード 取得</v>
      </c>
      <c r="D675" t="str">
        <f ca="1">IFERROR(VLOOKUP($A675,bat!$F:$G,2,FALSE),"")</f>
        <v/>
      </c>
      <c r="E675" t="str">
        <f ca="1">IFERROR(VLOOKUP($A675,shell!$F:$G,2,FALSE),"")</f>
        <v/>
      </c>
      <c r="F675" t="str">
        <f t="shared" ca="1" si="93"/>
        <v>クリップボード 取得</v>
      </c>
      <c r="G675">
        <f ca="1">IF($F675="","",COUNTIF($F$3:$F675,$F675))</f>
        <v>2</v>
      </c>
      <c r="H675" t="str">
        <f ca="1">IF(OR(G675&gt;1,G675=""),"",COUNTIF($G$3:$G675,1))</f>
        <v/>
      </c>
      <c r="I675" t="str">
        <f t="shared" ca="1" si="94"/>
        <v>クリップボード 取得</v>
      </c>
      <c r="K675">
        <f t="shared" si="98"/>
        <v>672</v>
      </c>
      <c r="L675" t="str">
        <f t="shared" ca="1" si="91"/>
        <v>引数定義（短縮オプションあり）</v>
      </c>
      <c r="M675" s="2" t="str">
        <f t="shared" ca="1" si="90"/>
        <v/>
      </c>
      <c r="N675" s="2" t="str">
        <f t="shared" ca="1" si="92"/>
        <v>○</v>
      </c>
      <c r="O675" s="2" t="str">
        <f t="shared" ca="1" si="95"/>
        <v/>
      </c>
      <c r="P675" s="2" t="str">
        <f t="shared" ca="1" si="96"/>
        <v/>
      </c>
    </row>
    <row r="676" spans="1:16">
      <c r="A676">
        <f t="shared" si="97"/>
        <v>673</v>
      </c>
      <c r="B676" t="str">
        <f ca="1">IFERROR(VLOOKUP($A676,'vbs,vba'!$G:$H,2,FALSE),"")</f>
        <v/>
      </c>
      <c r="C676" t="str">
        <f ca="1">IFERROR(VLOOKUP($A676,python!$I:$J,2,FALSE),"")</f>
        <v>ファイル コピー（ファイル内容）</v>
      </c>
      <c r="D676" t="str">
        <f ca="1">IFERROR(VLOOKUP($A676,bat!$F:$G,2,FALSE),"")</f>
        <v/>
      </c>
      <c r="E676" t="str">
        <f ca="1">IFERROR(VLOOKUP($A676,shell!$F:$G,2,FALSE),"")</f>
        <v/>
      </c>
      <c r="F676" t="str">
        <f t="shared" ca="1" si="93"/>
        <v>ファイル コピー（ファイル内容）</v>
      </c>
      <c r="G676">
        <f ca="1">IF($F676="","",COUNTIF($F$3:$F676,$F676))</f>
        <v>1</v>
      </c>
      <c r="H676">
        <f ca="1">IF(OR(G676&gt;1,G676=""),"",COUNTIF($G$3:$G676,1))</f>
        <v>620</v>
      </c>
      <c r="I676" t="str">
        <f t="shared" ca="1" si="94"/>
        <v>ファイル コピー（ファイル内容）</v>
      </c>
      <c r="K676">
        <f t="shared" si="98"/>
        <v>673</v>
      </c>
      <c r="L676" t="str">
        <f t="shared" ca="1" si="91"/>
        <v>引数定義（短縮オプションなし）（str）</v>
      </c>
      <c r="M676" s="2" t="str">
        <f t="shared" ca="1" si="90"/>
        <v/>
      </c>
      <c r="N676" s="2" t="str">
        <f t="shared" ca="1" si="92"/>
        <v>○</v>
      </c>
      <c r="O676" s="2" t="str">
        <f t="shared" ca="1" si="95"/>
        <v/>
      </c>
      <c r="P676" s="2" t="str">
        <f t="shared" ca="1" si="96"/>
        <v/>
      </c>
    </row>
    <row r="677" spans="1:16">
      <c r="A677">
        <f t="shared" si="97"/>
        <v>674</v>
      </c>
      <c r="B677" t="str">
        <f ca="1">IFERROR(VLOOKUP($A677,'vbs,vba'!$G:$H,2,FALSE),"")</f>
        <v/>
      </c>
      <c r="C677" t="str">
        <f ca="1">IFERROR(VLOOKUP($A677,python!$I:$J,2,FALSE),"")</f>
        <v>ファイル コピー（ファイル内容+Permission）</v>
      </c>
      <c r="D677" t="str">
        <f ca="1">IFERROR(VLOOKUP($A677,bat!$F:$G,2,FALSE),"")</f>
        <v/>
      </c>
      <c r="E677" t="str">
        <f ca="1">IFERROR(VLOOKUP($A677,shell!$F:$G,2,FALSE),"")</f>
        <v/>
      </c>
      <c r="F677" t="str">
        <f t="shared" ca="1" si="93"/>
        <v>ファイル コピー（ファイル内容+Permission）</v>
      </c>
      <c r="G677">
        <f ca="1">IF($F677="","",COUNTIF($F$3:$F677,$F677))</f>
        <v>1</v>
      </c>
      <c r="H677">
        <f ca="1">IF(OR(G677&gt;1,G677=""),"",COUNTIF($G$3:$G677,1))</f>
        <v>621</v>
      </c>
      <c r="I677" t="str">
        <f t="shared" ca="1" si="94"/>
        <v>ファイル コピー（ファイル内容+Permission）</v>
      </c>
      <c r="K677">
        <f t="shared" si="98"/>
        <v>674</v>
      </c>
      <c r="L677" t="str">
        <f t="shared" ca="1" si="91"/>
        <v>引数定義（短縮オプションなし）（float）</v>
      </c>
      <c r="M677" s="2" t="str">
        <f t="shared" ca="1" si="90"/>
        <v/>
      </c>
      <c r="N677" s="2" t="str">
        <f t="shared" ca="1" si="92"/>
        <v>○</v>
      </c>
      <c r="O677" s="2" t="str">
        <f t="shared" ca="1" si="95"/>
        <v/>
      </c>
      <c r="P677" s="2" t="str">
        <f t="shared" ca="1" si="96"/>
        <v/>
      </c>
    </row>
    <row r="678" spans="1:16">
      <c r="A678">
        <f t="shared" si="97"/>
        <v>675</v>
      </c>
      <c r="B678" t="str">
        <f ca="1">IFERROR(VLOOKUP($A678,'vbs,vba'!$G:$H,2,FALSE),"")</f>
        <v/>
      </c>
      <c r="C678" t="str">
        <f ca="1">IFERROR(VLOOKUP($A678,python!$I:$J,2,FALSE),"")</f>
        <v>ファイル コピー（ファイル内容+Permission+MetaData）</v>
      </c>
      <c r="D678" t="str">
        <f ca="1">IFERROR(VLOOKUP($A678,bat!$F:$G,2,FALSE),"")</f>
        <v/>
      </c>
      <c r="E678" t="str">
        <f ca="1">IFERROR(VLOOKUP($A678,shell!$F:$G,2,FALSE),"")</f>
        <v/>
      </c>
      <c r="F678" t="str">
        <f t="shared" ca="1" si="93"/>
        <v>ファイル コピー（ファイル内容+Permission+MetaData）</v>
      </c>
      <c r="G678">
        <f ca="1">IF($F678="","",COUNTIF($F$3:$F678,$F678))</f>
        <v>1</v>
      </c>
      <c r="H678">
        <f ca="1">IF(OR(G678&gt;1,G678=""),"",COUNTIF($G$3:$G678,1))</f>
        <v>622</v>
      </c>
      <c r="I678" t="str">
        <f t="shared" ca="1" si="94"/>
        <v>ファイル コピー（ファイル内容+Permission+MetaData）</v>
      </c>
      <c r="K678">
        <f t="shared" si="98"/>
        <v>675</v>
      </c>
      <c r="L678" t="str">
        <f t="shared" ca="1" si="91"/>
        <v>引数定義（短縮オプションなし）（int）</v>
      </c>
      <c r="M678" s="2" t="str">
        <f t="shared" ca="1" si="90"/>
        <v/>
      </c>
      <c r="N678" s="2" t="str">
        <f t="shared" ca="1" si="92"/>
        <v>○</v>
      </c>
      <c r="O678" s="2" t="str">
        <f t="shared" ca="1" si="95"/>
        <v/>
      </c>
      <c r="P678" s="2" t="str">
        <f t="shared" ca="1" si="96"/>
        <v/>
      </c>
    </row>
    <row r="679" spans="1:16">
      <c r="A679">
        <f t="shared" si="97"/>
        <v>676</v>
      </c>
      <c r="B679" t="str">
        <f ca="1">IFERROR(VLOOKUP($A679,'vbs,vba'!$G:$H,2,FALSE),"")</f>
        <v/>
      </c>
      <c r="C679" t="str">
        <f ca="1">IFERROR(VLOOKUP($A679,python!$I:$J,2,FALSE),"")</f>
        <v>ファイル 削除</v>
      </c>
      <c r="D679" t="str">
        <f ca="1">IFERROR(VLOOKUP($A679,bat!$F:$G,2,FALSE),"")</f>
        <v/>
      </c>
      <c r="E679" t="str">
        <f ca="1">IFERROR(VLOOKUP($A679,shell!$F:$G,2,FALSE),"")</f>
        <v/>
      </c>
      <c r="F679" t="str">
        <f t="shared" ca="1" si="93"/>
        <v>ファイル 削除</v>
      </c>
      <c r="G679">
        <f ca="1">IF($F679="","",COUNTIF($F$3:$F679,$F679))</f>
        <v>2</v>
      </c>
      <c r="H679" t="str">
        <f ca="1">IF(OR(G679&gt;1,G679=""),"",COUNTIF($G$3:$G679,1))</f>
        <v/>
      </c>
      <c r="I679" t="str">
        <f t="shared" ca="1" si="94"/>
        <v>ファイル 削除</v>
      </c>
      <c r="K679">
        <f t="shared" si="98"/>
        <v>676</v>
      </c>
      <c r="L679" t="str">
        <f t="shared" ca="1" si="91"/>
        <v>引数定義（短縮オプションなし）（bool (--flag true形式)）</v>
      </c>
      <c r="M679" s="2" t="str">
        <f t="shared" ca="1" si="90"/>
        <v/>
      </c>
      <c r="N679" s="2" t="str">
        <f t="shared" ca="1" si="92"/>
        <v>○</v>
      </c>
      <c r="O679" s="2" t="str">
        <f t="shared" ca="1" si="95"/>
        <v/>
      </c>
      <c r="P679" s="2" t="str">
        <f t="shared" ca="1" si="96"/>
        <v/>
      </c>
    </row>
    <row r="680" spans="1:16">
      <c r="A680">
        <f t="shared" si="97"/>
        <v>677</v>
      </c>
      <c r="B680" t="str">
        <f ca="1">IFERROR(VLOOKUP($A680,'vbs,vba'!$G:$H,2,FALSE),"")</f>
        <v/>
      </c>
      <c r="C680" t="str">
        <f ca="1">IFERROR(VLOOKUP($A680,python!$I:$J,2,FALSE),"")</f>
        <v>ファイル 移動/リネーム</v>
      </c>
      <c r="D680" t="str">
        <f ca="1">IFERROR(VLOOKUP($A680,bat!$F:$G,2,FALSE),"")</f>
        <v/>
      </c>
      <c r="E680" t="str">
        <f ca="1">IFERROR(VLOOKUP($A680,shell!$F:$G,2,FALSE),"")</f>
        <v/>
      </c>
      <c r="F680" t="str">
        <f t="shared" ca="1" si="93"/>
        <v>ファイル 移動/リネーム</v>
      </c>
      <c r="G680">
        <f ca="1">IF($F680="","",COUNTIF($F$3:$F680,$F680))</f>
        <v>2</v>
      </c>
      <c r="H680" t="str">
        <f ca="1">IF(OR(G680&gt;1,G680=""),"",COUNTIF($G$3:$G680,1))</f>
        <v/>
      </c>
      <c r="I680" t="str">
        <f t="shared" ca="1" si="94"/>
        <v>ファイル 移動/リネーム</v>
      </c>
      <c r="K680">
        <f t="shared" si="98"/>
        <v>677</v>
      </c>
      <c r="L680" t="str">
        <f t="shared" ca="1" si="91"/>
        <v>引数定義（短縮オプションなし）（bool (--flag 形式)）</v>
      </c>
      <c r="M680" s="2" t="str">
        <f t="shared" ca="1" si="90"/>
        <v/>
      </c>
      <c r="N680" s="2" t="str">
        <f t="shared" ca="1" si="92"/>
        <v>○</v>
      </c>
      <c r="O680" s="2" t="str">
        <f t="shared" ca="1" si="95"/>
        <v/>
      </c>
      <c r="P680" s="2" t="str">
        <f t="shared" ca="1" si="96"/>
        <v/>
      </c>
    </row>
    <row r="681" spans="1:16">
      <c r="A681">
        <f t="shared" si="97"/>
        <v>678</v>
      </c>
      <c r="B681" t="str">
        <f ca="1">IFERROR(VLOOKUP($A681,'vbs,vba'!$G:$H,2,FALSE),"")</f>
        <v/>
      </c>
      <c r="C681" t="str">
        <f ca="1">IFERROR(VLOOKUP($A681,python!$I:$J,2,FALSE),"")</f>
        <v>ファイル 存在確認</v>
      </c>
      <c r="D681" t="str">
        <f ca="1">IFERROR(VLOOKUP($A681,bat!$F:$G,2,FALSE),"")</f>
        <v/>
      </c>
      <c r="E681" t="str">
        <f ca="1">IFERROR(VLOOKUP($A681,shell!$F:$G,2,FALSE),"")</f>
        <v/>
      </c>
      <c r="F681" t="str">
        <f t="shared" ca="1" si="93"/>
        <v>ファイル 存在確認</v>
      </c>
      <c r="G681">
        <f ca="1">IF($F681="","",COUNTIF($F$3:$F681,$F681))</f>
        <v>1</v>
      </c>
      <c r="H681">
        <f ca="1">IF(OR(G681&gt;1,G681=""),"",COUNTIF($G$3:$G681,1))</f>
        <v>623</v>
      </c>
      <c r="I681" t="str">
        <f t="shared" ca="1" si="94"/>
        <v>ファイル 存在確認</v>
      </c>
      <c r="K681">
        <f t="shared" si="98"/>
        <v>678</v>
      </c>
      <c r="L681" t="str">
        <f t="shared" ca="1" si="91"/>
        <v>引数定義（短縮オプションなし）（enum）</v>
      </c>
      <c r="M681" s="2" t="str">
        <f t="shared" ca="1" si="90"/>
        <v/>
      </c>
      <c r="N681" s="2" t="str">
        <f t="shared" ca="1" si="92"/>
        <v>○</v>
      </c>
      <c r="O681" s="2" t="str">
        <f t="shared" ca="1" si="95"/>
        <v/>
      </c>
      <c r="P681" s="2" t="str">
        <f t="shared" ca="1" si="96"/>
        <v/>
      </c>
    </row>
    <row r="682" spans="1:16">
      <c r="A682">
        <f t="shared" si="97"/>
        <v>679</v>
      </c>
      <c r="B682" t="str">
        <f ca="1">IFERROR(VLOOKUP($A682,'vbs,vba'!$G:$H,2,FALSE),"")</f>
        <v/>
      </c>
      <c r="C682" t="str">
        <f ca="1">IFERROR(VLOOKUP($A682,python!$I:$J,2,FALSE),"")</f>
        <v>ファイル 隠しファイル化</v>
      </c>
      <c r="D682" t="str">
        <f ca="1">IFERROR(VLOOKUP($A682,bat!$F:$G,2,FALSE),"")</f>
        <v/>
      </c>
      <c r="E682" t="str">
        <f ca="1">IFERROR(VLOOKUP($A682,shell!$F:$G,2,FALSE),"")</f>
        <v/>
      </c>
      <c r="F682" t="str">
        <f t="shared" ca="1" si="93"/>
        <v>ファイル 隠しファイル化</v>
      </c>
      <c r="G682">
        <f ca="1">IF($F682="","",COUNTIF($F$3:$F682,$F682))</f>
        <v>2</v>
      </c>
      <c r="H682" t="str">
        <f ca="1">IF(OR(G682&gt;1,G682=""),"",COUNTIF($G$3:$G682,1))</f>
        <v/>
      </c>
      <c r="I682" t="str">
        <f t="shared" ca="1" si="94"/>
        <v>ファイル 隠しファイル化</v>
      </c>
      <c r="K682">
        <f t="shared" si="98"/>
        <v>679</v>
      </c>
      <c r="L682" t="str">
        <f t="shared" ca="1" si="91"/>
        <v>引数取得用変数定義</v>
      </c>
      <c r="M682" s="2" t="str">
        <f t="shared" ca="1" si="90"/>
        <v/>
      </c>
      <c r="N682" s="2" t="str">
        <f t="shared" ca="1" si="92"/>
        <v>○</v>
      </c>
      <c r="O682" s="2" t="str">
        <f t="shared" ca="1" si="95"/>
        <v/>
      </c>
      <c r="P682" s="2" t="str">
        <f t="shared" ca="1" si="96"/>
        <v/>
      </c>
    </row>
    <row r="683" spans="1:16">
      <c r="A683">
        <f t="shared" si="97"/>
        <v>680</v>
      </c>
      <c r="B683" t="str">
        <f ca="1">IFERROR(VLOOKUP($A683,'vbs,vba'!$G:$H,2,FALSE),"")</f>
        <v/>
      </c>
      <c r="C683" t="str">
        <f ca="1">IFERROR(VLOOKUP($A683,python!$I:$J,2,FALSE),"")</f>
        <v>ファイル ファイル名/フォルダ名取得</v>
      </c>
      <c r="D683" t="str">
        <f ca="1">IFERROR(VLOOKUP($A683,bat!$F:$G,2,FALSE),"")</f>
        <v/>
      </c>
      <c r="E683" t="str">
        <f ca="1">IFERROR(VLOOKUP($A683,shell!$F:$G,2,FALSE),"")</f>
        <v/>
      </c>
      <c r="F683" t="str">
        <f t="shared" ca="1" si="93"/>
        <v>ファイル ファイル名/フォルダ名取得</v>
      </c>
      <c r="G683">
        <f ca="1">IF($F683="","",COUNTIF($F$3:$F683,$F683))</f>
        <v>2</v>
      </c>
      <c r="H683" t="str">
        <f ca="1">IF(OR(G683&gt;1,G683=""),"",COUNTIF($G$3:$G683,1))</f>
        <v/>
      </c>
      <c r="I683" t="str">
        <f t="shared" ca="1" si="94"/>
        <v>ファイル ファイル名/フォルダ名取得</v>
      </c>
      <c r="K683">
        <f t="shared" si="98"/>
        <v>680</v>
      </c>
      <c r="L683" t="str">
        <f t="shared" ca="1" si="91"/>
        <v>引数代入（str）</v>
      </c>
      <c r="M683" s="2" t="str">
        <f t="shared" ca="1" si="90"/>
        <v/>
      </c>
      <c r="N683" s="2" t="str">
        <f t="shared" ca="1" si="92"/>
        <v>○</v>
      </c>
      <c r="O683" s="2" t="str">
        <f t="shared" ca="1" si="95"/>
        <v/>
      </c>
      <c r="P683" s="2" t="str">
        <f t="shared" ca="1" si="96"/>
        <v/>
      </c>
    </row>
    <row r="684" spans="1:16">
      <c r="A684">
        <f t="shared" si="97"/>
        <v>681</v>
      </c>
      <c r="B684" t="str">
        <f ca="1">IFERROR(VLOOKUP($A684,'vbs,vba'!$G:$H,2,FALSE),"")</f>
        <v/>
      </c>
      <c r="C684" t="str">
        <f ca="1">IFERROR(VLOOKUP($A684,python!$I:$J,2,FALSE),"")</f>
        <v>ファイル 親フォルダパス取得</v>
      </c>
      <c r="D684" t="str">
        <f ca="1">IFERROR(VLOOKUP($A684,bat!$F:$G,2,FALSE),"")</f>
        <v/>
      </c>
      <c r="E684" t="str">
        <f ca="1">IFERROR(VLOOKUP($A684,shell!$F:$G,2,FALSE),"")</f>
        <v/>
      </c>
      <c r="F684" t="str">
        <f t="shared" ca="1" si="93"/>
        <v>ファイル 親フォルダパス取得</v>
      </c>
      <c r="G684">
        <f ca="1">IF($F684="","",COUNTIF($F$3:$F684,$F684))</f>
        <v>2</v>
      </c>
      <c r="H684" t="str">
        <f ca="1">IF(OR(G684&gt;1,G684=""),"",COUNTIF($G$3:$G684,1))</f>
        <v/>
      </c>
      <c r="I684" t="str">
        <f t="shared" ca="1" si="94"/>
        <v>ファイル 親フォルダパス取得</v>
      </c>
      <c r="K684">
        <f t="shared" si="98"/>
        <v>681</v>
      </c>
      <c r="L684" t="str">
        <f t="shared" ca="1" si="91"/>
        <v>引数代入（float）</v>
      </c>
      <c r="M684" s="2" t="str">
        <f t="shared" ca="1" si="90"/>
        <v/>
      </c>
      <c r="N684" s="2" t="str">
        <f t="shared" ca="1" si="92"/>
        <v>○</v>
      </c>
      <c r="O684" s="2" t="str">
        <f t="shared" ca="1" si="95"/>
        <v/>
      </c>
      <c r="P684" s="2" t="str">
        <f t="shared" ca="1" si="96"/>
        <v/>
      </c>
    </row>
    <row r="685" spans="1:16">
      <c r="A685">
        <f t="shared" si="97"/>
        <v>682</v>
      </c>
      <c r="B685" t="str">
        <f ca="1">IFERROR(VLOOKUP($A685,'vbs,vba'!$G:$H,2,FALSE),"")</f>
        <v/>
      </c>
      <c r="C685" t="str">
        <f ca="1">IFERROR(VLOOKUP($A685,python!$I:$J,2,FALSE),"")</f>
        <v>ファイル ファイルベース名取得</v>
      </c>
      <c r="D685" t="str">
        <f ca="1">IFERROR(VLOOKUP($A685,bat!$F:$G,2,FALSE),"")</f>
        <v/>
      </c>
      <c r="E685" t="str">
        <f ca="1">IFERROR(VLOOKUP($A685,shell!$F:$G,2,FALSE),"")</f>
        <v/>
      </c>
      <c r="F685" t="str">
        <f t="shared" ca="1" si="93"/>
        <v>ファイル ファイルベース名取得</v>
      </c>
      <c r="G685">
        <f ca="1">IF($F685="","",COUNTIF($F$3:$F685,$F685))</f>
        <v>2</v>
      </c>
      <c r="H685" t="str">
        <f ca="1">IF(OR(G685&gt;1,G685=""),"",COUNTIF($G$3:$G685,1))</f>
        <v/>
      </c>
      <c r="I685" t="str">
        <f t="shared" ca="1" si="94"/>
        <v>ファイル ファイルベース名取得</v>
      </c>
      <c r="K685">
        <f t="shared" si="98"/>
        <v>682</v>
      </c>
      <c r="L685" t="str">
        <f t="shared" ca="1" si="91"/>
        <v>引数代入（int）</v>
      </c>
      <c r="M685" s="2" t="str">
        <f t="shared" ca="1" si="90"/>
        <v/>
      </c>
      <c r="N685" s="2" t="str">
        <f t="shared" ca="1" si="92"/>
        <v>○</v>
      </c>
      <c r="O685" s="2" t="str">
        <f t="shared" ca="1" si="95"/>
        <v/>
      </c>
      <c r="P685" s="2" t="str">
        <f t="shared" ca="1" si="96"/>
        <v/>
      </c>
    </row>
    <row r="686" spans="1:16">
      <c r="A686">
        <f t="shared" si="97"/>
        <v>683</v>
      </c>
      <c r="B686" t="str">
        <f ca="1">IFERROR(VLOOKUP($A686,'vbs,vba'!$G:$H,2,FALSE),"")</f>
        <v/>
      </c>
      <c r="C686" t="str">
        <f ca="1">IFERROR(VLOOKUP($A686,python!$I:$J,2,FALSE),"")</f>
        <v>ファイル 拡張子取得</v>
      </c>
      <c r="D686" t="str">
        <f ca="1">IFERROR(VLOOKUP($A686,bat!$F:$G,2,FALSE),"")</f>
        <v/>
      </c>
      <c r="E686" t="str">
        <f ca="1">IFERROR(VLOOKUP($A686,shell!$F:$G,2,FALSE),"")</f>
        <v/>
      </c>
      <c r="F686" t="str">
        <f t="shared" ca="1" si="93"/>
        <v>ファイル 拡張子取得</v>
      </c>
      <c r="G686">
        <f ca="1">IF($F686="","",COUNTIF($F$3:$F686,$F686))</f>
        <v>2</v>
      </c>
      <c r="H686" t="str">
        <f ca="1">IF(OR(G686&gt;1,G686=""),"",COUNTIF($G$3:$G686,1))</f>
        <v/>
      </c>
      <c r="I686" t="str">
        <f t="shared" ca="1" si="94"/>
        <v>ファイル 拡張子取得</v>
      </c>
      <c r="K686">
        <f t="shared" si="98"/>
        <v>683</v>
      </c>
      <c r="L686" t="str">
        <f t="shared" ca="1" si="91"/>
        <v>引数代入（bool）</v>
      </c>
      <c r="M686" s="2" t="str">
        <f t="shared" ca="1" si="90"/>
        <v/>
      </c>
      <c r="N686" s="2" t="str">
        <f t="shared" ca="1" si="92"/>
        <v>○</v>
      </c>
      <c r="O686" s="2" t="str">
        <f t="shared" ca="1" si="95"/>
        <v/>
      </c>
      <c r="P686" s="2" t="str">
        <f t="shared" ca="1" si="96"/>
        <v/>
      </c>
    </row>
    <row r="687" spans="1:16">
      <c r="A687">
        <f t="shared" si="97"/>
        <v>684</v>
      </c>
      <c r="B687" t="str">
        <f ca="1">IFERROR(VLOOKUP($A687,'vbs,vba'!$G:$H,2,FALSE),"")</f>
        <v/>
      </c>
      <c r="C687" t="str">
        <f ca="1">IFERROR(VLOOKUP($A687,python!$I:$J,2,FALSE),"")</f>
        <v>フォルダ コピー（配下全て）</v>
      </c>
      <c r="D687" t="str">
        <f ca="1">IFERROR(VLOOKUP($A687,bat!$F:$G,2,FALSE),"")</f>
        <v/>
      </c>
      <c r="E687" t="str">
        <f ca="1">IFERROR(VLOOKUP($A687,shell!$F:$G,2,FALSE),"")</f>
        <v/>
      </c>
      <c r="F687" t="str">
        <f t="shared" ca="1" si="93"/>
        <v>フォルダ コピー（配下全て）</v>
      </c>
      <c r="G687">
        <f ca="1">IF($F687="","",COUNTIF($F$3:$F687,$F687))</f>
        <v>1</v>
      </c>
      <c r="H687">
        <f ca="1">IF(OR(G687&gt;1,G687=""),"",COUNTIF($G$3:$G687,1))</f>
        <v>624</v>
      </c>
      <c r="I687" t="str">
        <f t="shared" ca="1" si="94"/>
        <v>フォルダ コピー（配下全て）</v>
      </c>
      <c r="K687">
        <f t="shared" si="98"/>
        <v>684</v>
      </c>
      <c r="L687" t="str">
        <f t="shared" ca="1" si="91"/>
        <v>引数代入（enum）</v>
      </c>
      <c r="M687" s="2" t="str">
        <f t="shared" ca="1" si="90"/>
        <v/>
      </c>
      <c r="N687" s="2" t="str">
        <f t="shared" ca="1" si="92"/>
        <v>○</v>
      </c>
      <c r="O687" s="2" t="str">
        <f t="shared" ca="1" si="95"/>
        <v/>
      </c>
      <c r="P687" s="2" t="str">
        <f t="shared" ca="1" si="96"/>
        <v/>
      </c>
    </row>
    <row r="688" spans="1:16">
      <c r="A688">
        <f t="shared" si="97"/>
        <v>685</v>
      </c>
      <c r="B688" t="str">
        <f ca="1">IFERROR(VLOOKUP($A688,'vbs,vba'!$G:$H,2,FALSE),"")</f>
        <v/>
      </c>
      <c r="C688" t="str">
        <f ca="1">IFERROR(VLOOKUP($A688,python!$I:$J,2,FALSE),"")</f>
        <v>フォルダ 削除（空ディレクトリのみ）</v>
      </c>
      <c r="D688" t="str">
        <f ca="1">IFERROR(VLOOKUP($A688,bat!$F:$G,2,FALSE),"")</f>
        <v/>
      </c>
      <c r="E688" t="str">
        <f ca="1">IFERROR(VLOOKUP($A688,shell!$F:$G,2,FALSE),"")</f>
        <v/>
      </c>
      <c r="F688" t="str">
        <f t="shared" ca="1" si="93"/>
        <v>フォルダ 削除（空ディレクトリのみ）</v>
      </c>
      <c r="G688">
        <f ca="1">IF($F688="","",COUNTIF($F$3:$F688,$F688))</f>
        <v>1</v>
      </c>
      <c r="H688">
        <f ca="1">IF(OR(G688&gt;1,G688=""),"",COUNTIF($G$3:$G688,1))</f>
        <v>625</v>
      </c>
      <c r="I688" t="str">
        <f t="shared" ca="1" si="94"/>
        <v>フォルダ 削除（空ディレクトリのみ）</v>
      </c>
      <c r="K688">
        <f t="shared" si="98"/>
        <v>685</v>
      </c>
      <c r="L688" t="str">
        <f t="shared" ca="1" si="91"/>
        <v>属性取得関数定義</v>
      </c>
      <c r="M688" s="2" t="str">
        <f t="shared" ca="1" si="90"/>
        <v/>
      </c>
      <c r="N688" s="2" t="str">
        <f t="shared" ca="1" si="92"/>
        <v>○</v>
      </c>
      <c r="O688" s="2" t="str">
        <f t="shared" ca="1" si="95"/>
        <v/>
      </c>
      <c r="P688" s="2" t="str">
        <f t="shared" ca="1" si="96"/>
        <v/>
      </c>
    </row>
    <row r="689" spans="1:16">
      <c r="A689">
        <f t="shared" si="97"/>
        <v>686</v>
      </c>
      <c r="B689" t="str">
        <f ca="1">IFERROR(VLOOKUP($A689,'vbs,vba'!$G:$H,2,FALSE),"")</f>
        <v/>
      </c>
      <c r="C689" t="str">
        <f ca="1">IFERROR(VLOOKUP($A689,python!$I:$J,2,FALSE),"")</f>
        <v>フォルダ 削除（配下全て）</v>
      </c>
      <c r="D689" t="str">
        <f ca="1">IFERROR(VLOOKUP($A689,bat!$F:$G,2,FALSE),"")</f>
        <v/>
      </c>
      <c r="E689" t="str">
        <f ca="1">IFERROR(VLOOKUP($A689,shell!$F:$G,2,FALSE),"")</f>
        <v/>
      </c>
      <c r="F689" t="str">
        <f t="shared" ca="1" si="93"/>
        <v>フォルダ 削除（配下全て）</v>
      </c>
      <c r="G689">
        <f ca="1">IF($F689="","",COUNTIF($F$3:$F689,$F689))</f>
        <v>1</v>
      </c>
      <c r="H689">
        <f ca="1">IF(OR(G689&gt;1,G689=""),"",COUNTIF($G$3:$G689,1))</f>
        <v>626</v>
      </c>
      <c r="I689" t="str">
        <f t="shared" ca="1" si="94"/>
        <v>フォルダ 削除（配下全て）</v>
      </c>
      <c r="K689">
        <f t="shared" si="98"/>
        <v>686</v>
      </c>
      <c r="L689" t="str">
        <f t="shared" ca="1" si="91"/>
        <v>ファイルオープン</v>
      </c>
      <c r="M689" s="2" t="str">
        <f t="shared" ca="1" si="90"/>
        <v/>
      </c>
      <c r="N689" s="2" t="str">
        <f t="shared" ca="1" si="92"/>
        <v>○</v>
      </c>
      <c r="O689" s="2" t="str">
        <f t="shared" ca="1" si="95"/>
        <v/>
      </c>
      <c r="P689" s="2" t="str">
        <f t="shared" ca="1" si="96"/>
        <v/>
      </c>
    </row>
    <row r="690" spans="1:16">
      <c r="A690">
        <f t="shared" si="97"/>
        <v>687</v>
      </c>
      <c r="B690" t="str">
        <f ca="1">IFERROR(VLOOKUP($A690,'vbs,vba'!$G:$H,2,FALSE),"")</f>
        <v/>
      </c>
      <c r="C690" t="str">
        <f ca="1">IFERROR(VLOOKUP($A690,python!$I:$J,2,FALSE),"")</f>
        <v>フォルダ 作成（単層）</v>
      </c>
      <c r="D690" t="str">
        <f ca="1">IFERROR(VLOOKUP($A690,bat!$F:$G,2,FALSE),"")</f>
        <v/>
      </c>
      <c r="E690" t="str">
        <f ca="1">IFERROR(VLOOKUP($A690,shell!$F:$G,2,FALSE),"")</f>
        <v/>
      </c>
      <c r="F690" t="str">
        <f t="shared" ca="1" si="93"/>
        <v>フォルダ 作成（単層）</v>
      </c>
      <c r="G690">
        <f ca="1">IF($F690="","",COUNTIF($F$3:$F690,$F690))</f>
        <v>1</v>
      </c>
      <c r="H690">
        <f ca="1">IF(OR(G690&gt;1,G690=""),"",COUNTIF($G$3:$G690,1))</f>
        <v>627</v>
      </c>
      <c r="I690" t="str">
        <f t="shared" ca="1" si="94"/>
        <v>フォルダ 作成（単層）</v>
      </c>
      <c r="K690">
        <f t="shared" si="98"/>
        <v>687</v>
      </c>
      <c r="L690" t="str">
        <f t="shared" ca="1" si="91"/>
        <v>ルートのタグ要素取得</v>
      </c>
      <c r="M690" s="2" t="str">
        <f t="shared" ref="M690:M753" ca="1" si="99">IF($L690="","",IF(COUNTIF(B$3:B$1004,$L690)&gt;0,"○",""))</f>
        <v/>
      </c>
      <c r="N690" s="2" t="str">
        <f t="shared" ca="1" si="92"/>
        <v>○</v>
      </c>
      <c r="O690" s="2" t="str">
        <f t="shared" ca="1" si="95"/>
        <v/>
      </c>
      <c r="P690" s="2" t="str">
        <f t="shared" ca="1" si="96"/>
        <v/>
      </c>
    </row>
    <row r="691" spans="1:16">
      <c r="A691">
        <f t="shared" si="97"/>
        <v>688</v>
      </c>
      <c r="B691" t="str">
        <f ca="1">IFERROR(VLOOKUP($A691,'vbs,vba'!$G:$H,2,FALSE),"")</f>
        <v/>
      </c>
      <c r="C691" t="str">
        <f ca="1">IFERROR(VLOOKUP($A691,python!$I:$J,2,FALSE),"")</f>
        <v>フォルダ 作成（複層）</v>
      </c>
      <c r="D691" t="str">
        <f ca="1">IFERROR(VLOOKUP($A691,bat!$F:$G,2,FALSE),"")</f>
        <v/>
      </c>
      <c r="E691" t="str">
        <f ca="1">IFERROR(VLOOKUP($A691,shell!$F:$G,2,FALSE),"")</f>
        <v/>
      </c>
      <c r="F691" t="str">
        <f t="shared" ca="1" si="93"/>
        <v>フォルダ 作成（複層）</v>
      </c>
      <c r="G691">
        <f ca="1">IF($F691="","",COUNTIF($F$3:$F691,$F691))</f>
        <v>1</v>
      </c>
      <c r="H691">
        <f ca="1">IF(OR(G691&gt;1,G691=""),"",COUNTIF($G$3:$G691,1))</f>
        <v>628</v>
      </c>
      <c r="I691" t="str">
        <f t="shared" ca="1" si="94"/>
        <v>フォルダ 作成（複層）</v>
      </c>
      <c r="K691">
        <f t="shared" si="98"/>
        <v>688</v>
      </c>
      <c r="L691" t="str">
        <f t="shared" ca="1" si="91"/>
        <v>タグ要素取得（ループ）</v>
      </c>
      <c r="M691" s="2" t="str">
        <f t="shared" ca="1" si="99"/>
        <v/>
      </c>
      <c r="N691" s="2" t="str">
        <f t="shared" ca="1" si="92"/>
        <v>○</v>
      </c>
      <c r="O691" s="2" t="str">
        <f t="shared" ca="1" si="95"/>
        <v/>
      </c>
      <c r="P691" s="2" t="str">
        <f t="shared" ca="1" si="96"/>
        <v/>
      </c>
    </row>
    <row r="692" spans="1:16">
      <c r="A692">
        <f t="shared" si="97"/>
        <v>689</v>
      </c>
      <c r="B692" t="str">
        <f ca="1">IFERROR(VLOOKUP($A692,'vbs,vba'!$G:$H,2,FALSE),"")</f>
        <v/>
      </c>
      <c r="C692" t="str">
        <f ca="1">IFERROR(VLOOKUP($A692,python!$I:$J,2,FALSE),"")</f>
        <v>フォルダ 移動/リネーム</v>
      </c>
      <c r="D692" t="str">
        <f ca="1">IFERROR(VLOOKUP($A692,bat!$F:$G,2,FALSE),"")</f>
        <v/>
      </c>
      <c r="E692" t="str">
        <f ca="1">IFERROR(VLOOKUP($A692,shell!$F:$G,2,FALSE),"")</f>
        <v/>
      </c>
      <c r="F692" t="str">
        <f t="shared" ca="1" si="93"/>
        <v>フォルダ 移動/リネーム</v>
      </c>
      <c r="G692">
        <f ca="1">IF($F692="","",COUNTIF($F$3:$F692,$F692))</f>
        <v>2</v>
      </c>
      <c r="H692" t="str">
        <f ca="1">IF(OR(G692&gt;1,G692=""),"",COUNTIF($G$3:$G692,1))</f>
        <v/>
      </c>
      <c r="I692" t="str">
        <f t="shared" ca="1" si="94"/>
        <v>フォルダ 移動/リネーム</v>
      </c>
      <c r="K692">
        <f t="shared" si="98"/>
        <v>689</v>
      </c>
      <c r="L692" t="str">
        <f t="shared" ca="1" si="91"/>
        <v>タグ名取得</v>
      </c>
      <c r="M692" s="2" t="str">
        <f t="shared" ca="1" si="99"/>
        <v/>
      </c>
      <c r="N692" s="2" t="str">
        <f t="shared" ca="1" si="92"/>
        <v>○</v>
      </c>
      <c r="O692" s="2" t="str">
        <f t="shared" ca="1" si="95"/>
        <v/>
      </c>
      <c r="P692" s="2" t="str">
        <f t="shared" ca="1" si="96"/>
        <v/>
      </c>
    </row>
    <row r="693" spans="1:16">
      <c r="A693">
        <f t="shared" si="97"/>
        <v>690</v>
      </c>
      <c r="B693" t="str">
        <f ca="1">IFERROR(VLOOKUP($A693,'vbs,vba'!$G:$H,2,FALSE),"")</f>
        <v/>
      </c>
      <c r="C693" t="str">
        <f ca="1">IFERROR(VLOOKUP($A693,python!$I:$J,2,FALSE),"")</f>
        <v>フォルダ 情報取得</v>
      </c>
      <c r="D693" t="str">
        <f ca="1">IFERROR(VLOOKUP($A693,bat!$F:$G,2,FALSE),"")</f>
        <v/>
      </c>
      <c r="E693" t="str">
        <f ca="1">IFERROR(VLOOKUP($A693,shell!$F:$G,2,FALSE),"")</f>
        <v/>
      </c>
      <c r="F693" t="str">
        <f t="shared" ca="1" si="93"/>
        <v>フォルダ 情報取得</v>
      </c>
      <c r="G693">
        <f ca="1">IF($F693="","",COUNTIF($F$3:$F693,$F693))</f>
        <v>2</v>
      </c>
      <c r="H693" t="str">
        <f ca="1">IF(OR(G693&gt;1,G693=""),"",COUNTIF($G$3:$G693,1))</f>
        <v/>
      </c>
      <c r="I693" t="str">
        <f t="shared" ca="1" si="94"/>
        <v>フォルダ 情報取得</v>
      </c>
      <c r="K693">
        <f t="shared" si="98"/>
        <v>690</v>
      </c>
      <c r="L693" t="str">
        <f t="shared" ca="1" si="91"/>
        <v>属性取得</v>
      </c>
      <c r="M693" s="2" t="str">
        <f t="shared" ca="1" si="99"/>
        <v/>
      </c>
      <c r="N693" s="2" t="str">
        <f t="shared" ca="1" si="92"/>
        <v>○</v>
      </c>
      <c r="O693" s="2" t="str">
        <f t="shared" ca="1" si="95"/>
        <v/>
      </c>
      <c r="P693" s="2" t="str">
        <f t="shared" ca="1" si="96"/>
        <v/>
      </c>
    </row>
    <row r="694" spans="1:16">
      <c r="A694">
        <f t="shared" si="97"/>
        <v>691</v>
      </c>
      <c r="B694" t="str">
        <f ca="1">IFERROR(VLOOKUP($A694,'vbs,vba'!$G:$H,2,FALSE),"")</f>
        <v/>
      </c>
      <c r="C694" t="str">
        <f ca="1">IFERROR(VLOOKUP($A694,python!$I:$J,2,FALSE),"")</f>
        <v>フォルダ 存在確認</v>
      </c>
      <c r="D694" t="str">
        <f ca="1">IFERROR(VLOOKUP($A694,bat!$F:$G,2,FALSE),"")</f>
        <v/>
      </c>
      <c r="E694" t="str">
        <f ca="1">IFERROR(VLOOKUP($A694,shell!$F:$G,2,FALSE),"")</f>
        <v/>
      </c>
      <c r="F694" t="str">
        <f t="shared" ca="1" si="93"/>
        <v>フォルダ 存在確認</v>
      </c>
      <c r="G694">
        <f ca="1">IF($F694="","",COUNTIF($F$3:$F694,$F694))</f>
        <v>2</v>
      </c>
      <c r="H694" t="str">
        <f ca="1">IF(OR(G694&gt;1,G694=""),"",COUNTIF($G$3:$G694,1))</f>
        <v/>
      </c>
      <c r="I694" t="str">
        <f t="shared" ca="1" si="94"/>
        <v>フォルダ 存在確認</v>
      </c>
      <c r="K694">
        <f t="shared" si="98"/>
        <v>691</v>
      </c>
      <c r="L694" t="str">
        <f t="shared" ca="1" si="91"/>
        <v>コンテキスト取得</v>
      </c>
      <c r="M694" s="2" t="str">
        <f t="shared" ca="1" si="99"/>
        <v/>
      </c>
      <c r="N694" s="2" t="str">
        <f t="shared" ca="1" si="92"/>
        <v>○</v>
      </c>
      <c r="O694" s="2" t="str">
        <f t="shared" ca="1" si="95"/>
        <v/>
      </c>
      <c r="P694" s="2" t="str">
        <f t="shared" ca="1" si="96"/>
        <v/>
      </c>
    </row>
    <row r="695" spans="1:16">
      <c r="A695">
        <f t="shared" si="97"/>
        <v>692</v>
      </c>
      <c r="B695" t="str">
        <f ca="1">IFERROR(VLOOKUP($A695,'vbs,vba'!$G:$H,2,FALSE),"")</f>
        <v/>
      </c>
      <c r="C695" t="str">
        <f ca="1">IFERROR(VLOOKUP($A695,python!$I:$J,2,FALSE),"")</f>
        <v>フォルダ 親フォルダパス取得</v>
      </c>
      <c r="D695" t="str">
        <f ca="1">IFERROR(VLOOKUP($A695,bat!$F:$G,2,FALSE),"")</f>
        <v/>
      </c>
      <c r="E695" t="str">
        <f ca="1">IFERROR(VLOOKUP($A695,shell!$F:$G,2,FALSE),"")</f>
        <v/>
      </c>
      <c r="F695" t="str">
        <f t="shared" ca="1" si="93"/>
        <v>フォルダ 親フォルダパス取得</v>
      </c>
      <c r="G695">
        <f ca="1">IF($F695="","",COUNTIF($F$3:$F695,$F695))</f>
        <v>2</v>
      </c>
      <c r="H695" t="str">
        <f ca="1">IF(OR(G695&gt;1,G695=""),"",COUNTIF($G$3:$G695,1))</f>
        <v/>
      </c>
      <c r="I695" t="str">
        <f t="shared" ca="1" si="94"/>
        <v>フォルダ 親フォルダパス取得</v>
      </c>
      <c r="K695">
        <f t="shared" si="98"/>
        <v>692</v>
      </c>
      <c r="L695" t="str">
        <f t="shared" ca="1" si="91"/>
        <v xml:space="preserve"> </v>
      </c>
      <c r="M695" s="2" t="str">
        <f t="shared" ca="1" si="99"/>
        <v/>
      </c>
      <c r="N695" s="2" t="str">
        <f t="shared" ca="1" si="92"/>
        <v>○</v>
      </c>
      <c r="O695" s="2" t="str">
        <f t="shared" ca="1" si="95"/>
        <v/>
      </c>
      <c r="P695" s="2" t="str">
        <f t="shared" ca="1" si="96"/>
        <v/>
      </c>
    </row>
    <row r="696" spans="1:16">
      <c r="A696">
        <f t="shared" si="97"/>
        <v>693</v>
      </c>
      <c r="B696" t="str">
        <f ca="1">IFERROR(VLOOKUP($A696,'vbs,vba'!$G:$H,2,FALSE),"")</f>
        <v/>
      </c>
      <c r="C696" t="str">
        <f ca="1">IFERROR(VLOOKUP($A696,python!$I:$J,2,FALSE),"")</f>
        <v>フォルダ 特殊フォルダパス取得</v>
      </c>
      <c r="D696" t="str">
        <f ca="1">IFERROR(VLOOKUP($A696,bat!$F:$G,2,FALSE),"")</f>
        <v/>
      </c>
      <c r="E696" t="str">
        <f ca="1">IFERROR(VLOOKUP($A696,shell!$F:$G,2,FALSE),"")</f>
        <v/>
      </c>
      <c r="F696" t="str">
        <f t="shared" ca="1" si="93"/>
        <v>フォルダ 特殊フォルダパス取得</v>
      </c>
      <c r="G696">
        <f ca="1">IF($F696="","",COUNTIF($F$3:$F696,$F696))</f>
        <v>2</v>
      </c>
      <c r="H696" t="str">
        <f ca="1">IF(OR(G696&gt;1,G696=""),"",COUNTIF($G$3:$G696,1))</f>
        <v/>
      </c>
      <c r="I696" t="str">
        <f t="shared" ca="1" si="94"/>
        <v>フォルダ 特殊フォルダパス取得</v>
      </c>
      <c r="K696">
        <f t="shared" si="98"/>
        <v>693</v>
      </c>
      <c r="L696" t="str">
        <f t="shared" ca="1" si="91"/>
        <v>フォルダ内ファイルリスト取得</v>
      </c>
      <c r="M696" s="2" t="str">
        <f t="shared" ca="1" si="99"/>
        <v/>
      </c>
      <c r="N696" s="2" t="str">
        <f t="shared" ca="1" si="92"/>
        <v>○</v>
      </c>
      <c r="O696" s="2" t="str">
        <f t="shared" ca="1" si="95"/>
        <v/>
      </c>
      <c r="P696" s="2" t="str">
        <f t="shared" ca="1" si="96"/>
        <v/>
      </c>
    </row>
    <row r="697" spans="1:16">
      <c r="A697">
        <f t="shared" si="97"/>
        <v>694</v>
      </c>
      <c r="B697" t="str">
        <f ca="1">IFERROR(VLOOKUP($A697,'vbs,vba'!$G:$H,2,FALSE),"")</f>
        <v/>
      </c>
      <c r="C697" t="str">
        <f ca="1">IFERROR(VLOOKUP($A697,python!$I:$J,2,FALSE),"")</f>
        <v>フォルダ パーミッション変更</v>
      </c>
      <c r="D697" t="str">
        <f ca="1">IFERROR(VLOOKUP($A697,bat!$F:$G,2,FALSE),"")</f>
        <v/>
      </c>
      <c r="E697" t="str">
        <f ca="1">IFERROR(VLOOKUP($A697,shell!$F:$G,2,FALSE),"")</f>
        <v/>
      </c>
      <c r="F697" t="str">
        <f t="shared" ca="1" si="93"/>
        <v>フォルダ パーミッション変更</v>
      </c>
      <c r="G697">
        <f ca="1">IF($F697="","",COUNTIF($F$3:$F697,$F697))</f>
        <v>1</v>
      </c>
      <c r="H697">
        <f ca="1">IF(OR(G697&gt;1,G697=""),"",COUNTIF($G$3:$G697,1))</f>
        <v>629</v>
      </c>
      <c r="I697" t="str">
        <f t="shared" ca="1" si="94"/>
        <v>フォルダ パーミッション変更</v>
      </c>
      <c r="K697">
        <f t="shared" si="98"/>
        <v>694</v>
      </c>
      <c r="L697" t="str">
        <f t="shared" ca="1" si="91"/>
        <v>フォルダ配下ファイル/フォルダリスト取得</v>
      </c>
      <c r="M697" s="2" t="str">
        <f t="shared" ca="1" si="99"/>
        <v/>
      </c>
      <c r="N697" s="2" t="str">
        <f t="shared" ca="1" si="92"/>
        <v>○</v>
      </c>
      <c r="O697" s="2" t="str">
        <f t="shared" ca="1" si="95"/>
        <v/>
      </c>
      <c r="P697" s="2" t="str">
        <f t="shared" ca="1" si="96"/>
        <v/>
      </c>
    </row>
    <row r="698" spans="1:16">
      <c r="A698">
        <f t="shared" si="97"/>
        <v>695</v>
      </c>
      <c r="B698" t="str">
        <f ca="1">IFERROR(VLOOKUP($A698,'vbs,vba'!$G:$H,2,FALSE),"")</f>
        <v/>
      </c>
      <c r="C698" t="str">
        <f ca="1">IFERROR(VLOOKUP($A698,python!$I:$J,2,FALSE),"")</f>
        <v>フォルダ パーミッション確認</v>
      </c>
      <c r="D698" t="str">
        <f ca="1">IFERROR(VLOOKUP($A698,bat!$F:$G,2,FALSE),"")</f>
        <v/>
      </c>
      <c r="E698" t="str">
        <f ca="1">IFERROR(VLOOKUP($A698,shell!$F:$G,2,FALSE),"")</f>
        <v/>
      </c>
      <c r="F698" t="str">
        <f t="shared" ca="1" si="93"/>
        <v>フォルダ パーミッション確認</v>
      </c>
      <c r="G698">
        <f ca="1">IF($F698="","",COUNTIF($F$3:$F698,$F698))</f>
        <v>1</v>
      </c>
      <c r="H698">
        <f ca="1">IF(OR(G698&gt;1,G698=""),"",COUNTIF($G$3:$G698,1))</f>
        <v>630</v>
      </c>
      <c r="I698" t="str">
        <f t="shared" ca="1" si="94"/>
        <v>フォルダ パーミッション確認</v>
      </c>
      <c r="K698">
        <f t="shared" si="98"/>
        <v>695</v>
      </c>
      <c r="L698" t="str">
        <f t="shared" ca="1" si="91"/>
        <v>メインプログラム実行時にのみ処理実行0</v>
      </c>
      <c r="M698" s="2" t="str">
        <f t="shared" ca="1" si="99"/>
        <v/>
      </c>
      <c r="N698" s="2" t="str">
        <f t="shared" ca="1" si="92"/>
        <v/>
      </c>
      <c r="O698" s="2" t="str">
        <f t="shared" ca="1" si="95"/>
        <v/>
      </c>
      <c r="P698" s="2" t="str">
        <f t="shared" ca="1" si="96"/>
        <v/>
      </c>
    </row>
    <row r="699" spans="1:16">
      <c r="A699">
        <f t="shared" si="97"/>
        <v>696</v>
      </c>
      <c r="B699" t="str">
        <f ca="1">IFERROR(VLOOKUP($A699,'vbs,vba'!$G:$H,2,FALSE),"")</f>
        <v/>
      </c>
      <c r="C699" t="str">
        <f ca="1">IFERROR(VLOOKUP($A699,python!$I:$J,2,FALSE),"")</f>
        <v>ファイル/ディレクトリ判別</v>
      </c>
      <c r="D699" t="str">
        <f ca="1">IFERROR(VLOOKUP($A699,bat!$F:$G,2,FALSE),"")</f>
        <v/>
      </c>
      <c r="E699" t="str">
        <f ca="1">IFERROR(VLOOKUP($A699,shell!$F:$G,2,FALSE),"")</f>
        <v/>
      </c>
      <c r="F699" t="str">
        <f t="shared" ca="1" si="93"/>
        <v>ファイル/ディレクトリ判別</v>
      </c>
      <c r="G699">
        <f ca="1">IF($F699="","",COUNTIF($F$3:$F699,$F699))</f>
        <v>1</v>
      </c>
      <c r="H699">
        <f ca="1">IF(OR(G699&gt;1,G699=""),"",COUNTIF($G$3:$G699,1))</f>
        <v>631</v>
      </c>
      <c r="I699" t="str">
        <f t="shared" ca="1" si="94"/>
        <v>ファイル/ディレクトリ判別</v>
      </c>
      <c r="K699">
        <f t="shared" si="98"/>
        <v>696</v>
      </c>
      <c r="L699" t="str">
        <f t="shared" ca="1" si="91"/>
        <v>ブロック脱出</v>
      </c>
      <c r="M699" s="2" t="str">
        <f t="shared" ca="1" si="99"/>
        <v/>
      </c>
      <c r="N699" s="2" t="str">
        <f t="shared" ca="1" si="92"/>
        <v/>
      </c>
      <c r="O699" s="2" t="str">
        <f t="shared" ca="1" si="95"/>
        <v>○</v>
      </c>
      <c r="P699" s="2" t="str">
        <f t="shared" ca="1" si="96"/>
        <v/>
      </c>
    </row>
    <row r="700" spans="1:16">
      <c r="A700">
        <f t="shared" si="97"/>
        <v>697</v>
      </c>
      <c r="B700" t="str">
        <f ca="1">IFERROR(VLOOKUP($A700,'vbs,vba'!$G:$H,2,FALSE),"")</f>
        <v/>
      </c>
      <c r="C700" t="str">
        <f ca="1">IFERROR(VLOOKUP($A700,python!$I:$J,2,FALSE),"")</f>
        <v>実行スクリプト ファイル絶対パス</v>
      </c>
      <c r="D700" t="str">
        <f ca="1">IFERROR(VLOOKUP($A700,bat!$F:$G,2,FALSE),"")</f>
        <v/>
      </c>
      <c r="E700" t="str">
        <f ca="1">IFERROR(VLOOKUP($A700,shell!$F:$G,2,FALSE),"")</f>
        <v/>
      </c>
      <c r="F700" t="str">
        <f t="shared" ca="1" si="93"/>
        <v>実行スクリプト ファイル絶対パス</v>
      </c>
      <c r="G700">
        <f ca="1">IF($F700="","",COUNTIF($F$3:$F700,$F700))</f>
        <v>1</v>
      </c>
      <c r="H700">
        <f ca="1">IF(OR(G700&gt;1,G700=""),"",COUNTIF($G$3:$G700,1))</f>
        <v>632</v>
      </c>
      <c r="I700" t="str">
        <f t="shared" ca="1" si="94"/>
        <v>実行スクリプト ファイル絶対パス</v>
      </c>
      <c r="K700">
        <f t="shared" si="98"/>
        <v>697</v>
      </c>
      <c r="L700" t="str">
        <f t="shared" ca="1" si="91"/>
        <v>ヘルプ</v>
      </c>
      <c r="M700" s="2" t="str">
        <f t="shared" ca="1" si="99"/>
        <v/>
      </c>
      <c r="N700" s="2" t="str">
        <f t="shared" ca="1" si="92"/>
        <v/>
      </c>
      <c r="O700" s="2" t="str">
        <f t="shared" ca="1" si="95"/>
        <v>○</v>
      </c>
      <c r="P700" s="2" t="str">
        <f t="shared" ca="1" si="96"/>
        <v/>
      </c>
    </row>
    <row r="701" spans="1:16">
      <c r="A701">
        <f t="shared" si="97"/>
        <v>698</v>
      </c>
      <c r="B701" t="str">
        <f ca="1">IFERROR(VLOOKUP($A701,'vbs,vba'!$G:$H,2,FALSE),"")</f>
        <v/>
      </c>
      <c r="C701" t="str">
        <f ca="1">IFERROR(VLOOKUP($A701,python!$I:$J,2,FALSE),"")</f>
        <v>実行スクリプト ファイル名</v>
      </c>
      <c r="D701" t="str">
        <f ca="1">IFERROR(VLOOKUP($A701,bat!$F:$G,2,FALSE),"")</f>
        <v/>
      </c>
      <c r="E701" t="str">
        <f ca="1">IFERROR(VLOOKUP($A701,shell!$F:$G,2,FALSE),"")</f>
        <v/>
      </c>
      <c r="F701" t="str">
        <f t="shared" ca="1" si="93"/>
        <v>実行スクリプト ファイル名</v>
      </c>
      <c r="G701">
        <f ca="1">IF($F701="","",COUNTIF($F$3:$F701,$F701))</f>
        <v>1</v>
      </c>
      <c r="H701">
        <f ca="1">IF(OR(G701&gt;1,G701=""),"",COUNTIF($G$3:$G701,1))</f>
        <v>633</v>
      </c>
      <c r="I701" t="str">
        <f t="shared" ca="1" si="94"/>
        <v>実行スクリプト ファイル名</v>
      </c>
      <c r="K701">
        <f t="shared" si="98"/>
        <v>698</v>
      </c>
      <c r="L701" t="str">
        <f t="shared" ca="1" si="91"/>
        <v>if</v>
      </c>
      <c r="M701" s="2" t="str">
        <f t="shared" ca="1" si="99"/>
        <v/>
      </c>
      <c r="N701" s="2" t="str">
        <f t="shared" ca="1" si="92"/>
        <v/>
      </c>
      <c r="O701" s="2" t="str">
        <f t="shared" ca="1" si="95"/>
        <v>○</v>
      </c>
      <c r="P701" s="2" t="str">
        <f t="shared" ca="1" si="96"/>
        <v>○</v>
      </c>
    </row>
    <row r="702" spans="1:16">
      <c r="A702">
        <f t="shared" si="97"/>
        <v>699</v>
      </c>
      <c r="B702" t="str">
        <f ca="1">IFERROR(VLOOKUP($A702,'vbs,vba'!$G:$H,2,FALSE),"")</f>
        <v/>
      </c>
      <c r="C702" t="str">
        <f ca="1">IFERROR(VLOOKUP($A702,python!$I:$J,2,FALSE),"")</f>
        <v>実行スクリプト ファイルパス①</v>
      </c>
      <c r="D702" t="str">
        <f ca="1">IFERROR(VLOOKUP($A702,bat!$F:$G,2,FALSE),"")</f>
        <v/>
      </c>
      <c r="E702" t="str">
        <f ca="1">IFERROR(VLOOKUP($A702,shell!$F:$G,2,FALSE),"")</f>
        <v/>
      </c>
      <c r="F702" t="str">
        <f t="shared" ca="1" si="93"/>
        <v>実行スクリプト ファイルパス①</v>
      </c>
      <c r="G702">
        <f ca="1">IF($F702="","",COUNTIF($F$3:$F702,$F702))</f>
        <v>1</v>
      </c>
      <c r="H702">
        <f ca="1">IF(OR(G702&gt;1,G702=""),"",COUNTIF($G$3:$G702,1))</f>
        <v>634</v>
      </c>
      <c r="I702" t="str">
        <f t="shared" ca="1" si="94"/>
        <v>実行スクリプト ファイルパス①</v>
      </c>
      <c r="K702">
        <f t="shared" si="98"/>
        <v>699</v>
      </c>
      <c r="L702" t="str">
        <f t="shared" ca="1" si="91"/>
        <v>if（否定）</v>
      </c>
      <c r="M702" s="2" t="str">
        <f t="shared" ca="1" si="99"/>
        <v/>
      </c>
      <c r="N702" s="2" t="str">
        <f t="shared" ca="1" si="92"/>
        <v/>
      </c>
      <c r="O702" s="2" t="str">
        <f t="shared" ca="1" si="95"/>
        <v>○</v>
      </c>
      <c r="P702" s="2" t="str">
        <f t="shared" ca="1" si="96"/>
        <v/>
      </c>
    </row>
    <row r="703" spans="1:16">
      <c r="A703">
        <f t="shared" si="97"/>
        <v>700</v>
      </c>
      <c r="B703" t="str">
        <f ca="1">IFERROR(VLOOKUP($A703,'vbs,vba'!$G:$H,2,FALSE),"")</f>
        <v/>
      </c>
      <c r="C703" t="str">
        <f ca="1">IFERROR(VLOOKUP($A703,python!$I:$J,2,FALSE),"")</f>
        <v>実行スクリプト ファイルパス②</v>
      </c>
      <c r="D703" t="str">
        <f ca="1">IFERROR(VLOOKUP($A703,bat!$F:$G,2,FALSE),"")</f>
        <v/>
      </c>
      <c r="E703" t="str">
        <f ca="1">IFERROR(VLOOKUP($A703,shell!$F:$G,2,FALSE),"")</f>
        <v/>
      </c>
      <c r="F703" t="str">
        <f t="shared" ca="1" si="93"/>
        <v>実行スクリプト ファイルパス②</v>
      </c>
      <c r="G703">
        <f ca="1">IF($F703="","",COUNTIF($F$3:$F703,$F703))</f>
        <v>1</v>
      </c>
      <c r="H703">
        <f ca="1">IF(OR(G703&gt;1,G703=""),"",COUNTIF($G$3:$G703,1))</f>
        <v>635</v>
      </c>
      <c r="I703" t="str">
        <f t="shared" ca="1" si="94"/>
        <v>実行スクリプト ファイルパス②</v>
      </c>
      <c r="K703">
        <f t="shared" si="98"/>
        <v>700</v>
      </c>
      <c r="L703" t="str">
        <f t="shared" ca="1" si="91"/>
        <v>for</v>
      </c>
      <c r="M703" s="2" t="str">
        <f t="shared" ca="1" si="99"/>
        <v/>
      </c>
      <c r="N703" s="2" t="str">
        <f t="shared" ca="1" si="92"/>
        <v/>
      </c>
      <c r="O703" s="2" t="str">
        <f t="shared" ca="1" si="95"/>
        <v>○</v>
      </c>
      <c r="P703" s="2" t="str">
        <f t="shared" ca="1" si="96"/>
        <v/>
      </c>
    </row>
    <row r="704" spans="1:16">
      <c r="A704">
        <f t="shared" si="97"/>
        <v>701</v>
      </c>
      <c r="B704" t="str">
        <f ca="1">IFERROR(VLOOKUP($A704,'vbs,vba'!$G:$H,2,FALSE),"")</f>
        <v/>
      </c>
      <c r="C704" t="str">
        <f ca="1">IFERROR(VLOOKUP($A704,python!$I:$J,2,FALSE),"")</f>
        <v>実行スクリプト ファイルベース名①</v>
      </c>
      <c r="D704" t="str">
        <f ca="1">IFERROR(VLOOKUP($A704,bat!$F:$G,2,FALSE),"")</f>
        <v/>
      </c>
      <c r="E704" t="str">
        <f ca="1">IFERROR(VLOOKUP($A704,shell!$F:$G,2,FALSE),"")</f>
        <v/>
      </c>
      <c r="F704" t="str">
        <f t="shared" ca="1" si="93"/>
        <v>実行スクリプト ファイルベース名①</v>
      </c>
      <c r="G704">
        <f ca="1">IF($F704="","",COUNTIF($F$3:$F704,$F704))</f>
        <v>2</v>
      </c>
      <c r="H704" t="str">
        <f ca="1">IF(OR(G704&gt;1,G704=""),"",COUNTIF($G$3:$G704,1))</f>
        <v/>
      </c>
      <c r="I704" t="str">
        <f t="shared" ca="1" si="94"/>
        <v>実行スクリプト ファイルベース名①</v>
      </c>
      <c r="K704">
        <f t="shared" si="98"/>
        <v>701</v>
      </c>
      <c r="L704" t="str">
        <f t="shared" ca="1" si="91"/>
        <v>for(フォルダ内対象)</v>
      </c>
      <c r="M704" s="2" t="str">
        <f t="shared" ca="1" si="99"/>
        <v/>
      </c>
      <c r="N704" s="2" t="str">
        <f t="shared" ca="1" si="92"/>
        <v/>
      </c>
      <c r="O704" s="2" t="str">
        <f t="shared" ca="1" si="95"/>
        <v>○</v>
      </c>
      <c r="P704" s="2" t="str">
        <f t="shared" ca="1" si="96"/>
        <v/>
      </c>
    </row>
    <row r="705" spans="1:16">
      <c r="A705">
        <f t="shared" si="97"/>
        <v>702</v>
      </c>
      <c r="B705" t="str">
        <f ca="1">IFERROR(VLOOKUP($A705,'vbs,vba'!$G:$H,2,FALSE),"")</f>
        <v/>
      </c>
      <c r="C705" t="str">
        <f ca="1">IFERROR(VLOOKUP($A705,python!$I:$J,2,FALSE),"")</f>
        <v>実行スクリプト フォルダパス</v>
      </c>
      <c r="D705" t="str">
        <f ca="1">IFERROR(VLOOKUP($A705,bat!$F:$G,2,FALSE),"")</f>
        <v/>
      </c>
      <c r="E705" t="str">
        <f ca="1">IFERROR(VLOOKUP($A705,shell!$F:$G,2,FALSE),"")</f>
        <v/>
      </c>
      <c r="F705" t="str">
        <f t="shared" ca="1" si="93"/>
        <v>実行スクリプト フォルダパス</v>
      </c>
      <c r="G705">
        <f ca="1">IF($F705="","",COUNTIF($F$3:$F705,$F705))</f>
        <v>1</v>
      </c>
      <c r="H705">
        <f ca="1">IF(OR(G705&gt;1,G705=""),"",COUNTIF($G$3:$G705,1))</f>
        <v>636</v>
      </c>
      <c r="I705" t="str">
        <f t="shared" ca="1" si="94"/>
        <v>実行スクリプト フォルダパス</v>
      </c>
      <c r="K705">
        <f t="shared" si="98"/>
        <v>702</v>
      </c>
      <c r="L705" t="str">
        <f t="shared" ca="1" si="91"/>
        <v>for(フォルダ内のフォルダのみ)</v>
      </c>
      <c r="M705" s="2" t="str">
        <f t="shared" ca="1" si="99"/>
        <v/>
      </c>
      <c r="N705" s="2" t="str">
        <f t="shared" ca="1" si="92"/>
        <v/>
      </c>
      <c r="O705" s="2" t="str">
        <f t="shared" ca="1" si="95"/>
        <v>○</v>
      </c>
      <c r="P705" s="2" t="str">
        <f t="shared" ca="1" si="96"/>
        <v/>
      </c>
    </row>
    <row r="706" spans="1:16">
      <c r="A706">
        <f t="shared" si="97"/>
        <v>703</v>
      </c>
      <c r="B706" t="str">
        <f ca="1">IFERROR(VLOOKUP($A706,'vbs,vba'!$G:$H,2,FALSE),"")</f>
        <v/>
      </c>
      <c r="C706" t="str">
        <f ca="1">IFERROR(VLOOKUP($A706,python!$I:$J,2,FALSE),"")</f>
        <v>作業ディレクトリ フォルダパス</v>
      </c>
      <c r="D706" t="str">
        <f ca="1">IFERROR(VLOOKUP($A706,bat!$F:$G,2,FALSE),"")</f>
        <v/>
      </c>
      <c r="E706" t="str">
        <f ca="1">IFERROR(VLOOKUP($A706,shell!$F:$G,2,FALSE),"")</f>
        <v/>
      </c>
      <c r="F706" t="str">
        <f t="shared" ca="1" si="93"/>
        <v>作業ディレクトリ フォルダパス</v>
      </c>
      <c r="G706">
        <f ca="1">IF($F706="","",COUNTIF($F$3:$F706,$F706))</f>
        <v>1</v>
      </c>
      <c r="H706">
        <f ca="1">IF(OR(G706&gt;1,G706=""),"",COUNTIF($G$3:$G706,1))</f>
        <v>637</v>
      </c>
      <c r="I706" t="str">
        <f t="shared" ca="1" si="94"/>
        <v>作業ディレクトリ フォルダパス</v>
      </c>
      <c r="K706">
        <f t="shared" si="98"/>
        <v>703</v>
      </c>
      <c r="L706" t="str">
        <f t="shared" ca="1" si="91"/>
        <v>for(フォルダ配下の中身全部)</v>
      </c>
      <c r="M706" s="2" t="str">
        <f t="shared" ca="1" si="99"/>
        <v/>
      </c>
      <c r="N706" s="2" t="str">
        <f t="shared" ca="1" si="92"/>
        <v/>
      </c>
      <c r="O706" s="2" t="str">
        <f t="shared" ca="1" si="95"/>
        <v>○</v>
      </c>
      <c r="P706" s="2" t="str">
        <f t="shared" ca="1" si="96"/>
        <v/>
      </c>
    </row>
    <row r="707" spans="1:16">
      <c r="A707">
        <f t="shared" si="97"/>
        <v>704</v>
      </c>
      <c r="B707" t="str">
        <f ca="1">IFERROR(VLOOKUP($A707,'vbs,vba'!$G:$H,2,FALSE),"")</f>
        <v/>
      </c>
      <c r="C707" t="str">
        <f ca="1">IFERROR(VLOOKUP($A707,python!$I:$J,2,FALSE),"")</f>
        <v>プログラム終了</v>
      </c>
      <c r="D707" t="str">
        <f ca="1">IFERROR(VLOOKUP($A707,bat!$F:$G,2,FALSE),"")</f>
        <v/>
      </c>
      <c r="E707" t="str">
        <f ca="1">IFERROR(VLOOKUP($A707,shell!$F:$G,2,FALSE),"")</f>
        <v/>
      </c>
      <c r="F707" t="str">
        <f t="shared" ca="1" si="93"/>
        <v>プログラム終了</v>
      </c>
      <c r="G707">
        <f ca="1">IF($F707="","",COUNTIF($F$3:$F707,$F707))</f>
        <v>1</v>
      </c>
      <c r="H707">
        <f ca="1">IF(OR(G707&gt;1,G707=""),"",COUNTIF($G$3:$G707,1))</f>
        <v>638</v>
      </c>
      <c r="I707" t="str">
        <f t="shared" ca="1" si="94"/>
        <v>プログラム終了</v>
      </c>
      <c r="K707">
        <f t="shared" si="98"/>
        <v>704</v>
      </c>
      <c r="L707" t="str">
        <f t="shared" ca="1" si="91"/>
        <v>for(変数に値を代入してコマンドを実行)</v>
      </c>
      <c r="M707" s="2" t="str">
        <f t="shared" ca="1" si="99"/>
        <v/>
      </c>
      <c r="N707" s="2" t="str">
        <f t="shared" ca="1" si="92"/>
        <v/>
      </c>
      <c r="O707" s="2" t="str">
        <f t="shared" ca="1" si="95"/>
        <v>○</v>
      </c>
      <c r="P707" s="2" t="str">
        <f t="shared" ca="1" si="96"/>
        <v/>
      </c>
    </row>
    <row r="708" spans="1:16">
      <c r="A708">
        <f t="shared" si="97"/>
        <v>705</v>
      </c>
      <c r="B708" t="str">
        <f ca="1">IFERROR(VLOOKUP($A708,'vbs,vba'!$G:$H,2,FALSE),"")</f>
        <v/>
      </c>
      <c r="C708" t="str">
        <f ca="1">IFERROR(VLOOKUP($A708,python!$I:$J,2,FALSE),"")</f>
        <v>スクリプト引数 取得</v>
      </c>
      <c r="D708" t="str">
        <f ca="1">IFERROR(VLOOKUP($A708,bat!$F:$G,2,FALSE),"")</f>
        <v/>
      </c>
      <c r="E708" t="str">
        <f ca="1">IFERROR(VLOOKUP($A708,shell!$F:$G,2,FALSE),"")</f>
        <v/>
      </c>
      <c r="F708" t="str">
        <f t="shared" ca="1" si="93"/>
        <v>スクリプト引数 取得</v>
      </c>
      <c r="G708">
        <f ca="1">IF($F708="","",COUNTIF($F$3:$F708,$F708))</f>
        <v>1</v>
      </c>
      <c r="H708">
        <f ca="1">IF(OR(G708&gt;1,G708=""),"",COUNTIF($G$3:$G708,1))</f>
        <v>639</v>
      </c>
      <c r="I708" t="str">
        <f t="shared" ca="1" si="94"/>
        <v>スクリプト引数 取得</v>
      </c>
      <c r="K708">
        <f t="shared" si="98"/>
        <v>705</v>
      </c>
      <c r="L708" t="str">
        <f t="shared" ref="L708:L771" ca="1" si="100">IFERROR(VLOOKUP($K708,$H:$I,2,FALSE),"")</f>
        <v>for(その他)</v>
      </c>
      <c r="M708" s="2" t="str">
        <f t="shared" ca="1" si="99"/>
        <v/>
      </c>
      <c r="N708" s="2" t="str">
        <f t="shared" ref="N708:N771" ca="1" si="101">IF($L708="","",IF(COUNTIF(C$3:C$1004,$L708)&gt;0,"○",""))</f>
        <v/>
      </c>
      <c r="O708" s="2" t="str">
        <f t="shared" ca="1" si="95"/>
        <v>○</v>
      </c>
      <c r="P708" s="2" t="str">
        <f t="shared" ca="1" si="96"/>
        <v/>
      </c>
    </row>
    <row r="709" spans="1:16">
      <c r="A709">
        <f t="shared" si="97"/>
        <v>706</v>
      </c>
      <c r="B709" t="str">
        <f ca="1">IFERROR(VLOOKUP($A709,'vbs,vba'!$G:$H,2,FALSE),"")</f>
        <v/>
      </c>
      <c r="C709" t="str">
        <f ca="1">IFERROR(VLOOKUP($A709,python!$I:$J,2,FALSE),"")</f>
        <v>スクリプト引数の数 取得</v>
      </c>
      <c r="D709" t="str">
        <f ca="1">IFERROR(VLOOKUP($A709,bat!$F:$G,2,FALSE),"")</f>
        <v/>
      </c>
      <c r="E709" t="str">
        <f ca="1">IFERROR(VLOOKUP($A709,shell!$F:$G,2,FALSE),"")</f>
        <v/>
      </c>
      <c r="F709" t="str">
        <f t="shared" ref="F709:F772" ca="1" si="102">B709&amp;C709&amp;D709&amp;E709</f>
        <v>スクリプト引数の数 取得</v>
      </c>
      <c r="G709">
        <f ca="1">IF($F709="","",COUNTIF($F$3:$F709,$F709))</f>
        <v>1</v>
      </c>
      <c r="H709">
        <f ca="1">IF(OR(G709&gt;1,G709=""),"",COUNTIF($G$3:$G709,1))</f>
        <v>640</v>
      </c>
      <c r="I709" t="str">
        <f t="shared" ref="I709:I772" ca="1" si="103">F709</f>
        <v>スクリプト引数の数 取得</v>
      </c>
      <c r="K709">
        <f t="shared" si="98"/>
        <v>706</v>
      </c>
      <c r="L709" t="str">
        <f t="shared" ca="1" si="100"/>
        <v>出力</v>
      </c>
      <c r="M709" s="2" t="str">
        <f t="shared" ca="1" si="99"/>
        <v/>
      </c>
      <c r="N709" s="2" t="str">
        <f t="shared" ca="1" si="101"/>
        <v/>
      </c>
      <c r="O709" s="2" t="str">
        <f t="shared" ref="O709:O772" ca="1" si="104">IF($L709="","",IF(COUNTIF(D$3:D$1004,$L709)&gt;0,"○",""))</f>
        <v>○</v>
      </c>
      <c r="P709" s="2" t="str">
        <f t="shared" ref="P709:P772" ca="1" si="105">IF($L709="","",IF(COUNTIF(E$3:E$1004,$L709)&gt;0,"○",""))</f>
        <v/>
      </c>
    </row>
    <row r="710" spans="1:16">
      <c r="A710">
        <f t="shared" ref="A710:A773" si="106">A709+1</f>
        <v>707</v>
      </c>
      <c r="B710" t="str">
        <f ca="1">IFERROR(VLOOKUP($A710,'vbs,vba'!$G:$H,2,FALSE),"")</f>
        <v/>
      </c>
      <c r="C710" t="str">
        <f ca="1">IFERROR(VLOOKUP($A710,python!$I:$J,2,FALSE),"")</f>
        <v>モジュール名 取得</v>
      </c>
      <c r="D710" t="str">
        <f ca="1">IFERROR(VLOOKUP($A710,bat!$F:$G,2,FALSE),"")</f>
        <v/>
      </c>
      <c r="E710" t="str">
        <f ca="1">IFERROR(VLOOKUP($A710,shell!$F:$G,2,FALSE),"")</f>
        <v/>
      </c>
      <c r="F710" t="str">
        <f t="shared" ca="1" si="102"/>
        <v>モジュール名 取得</v>
      </c>
      <c r="G710">
        <f ca="1">IF($F710="","",COUNTIF($F$3:$F710,$F710))</f>
        <v>1</v>
      </c>
      <c r="H710">
        <f ca="1">IF(OR(G710&gt;1,G710=""),"",COUNTIF($G$3:$G710,1))</f>
        <v>641</v>
      </c>
      <c r="I710" t="str">
        <f t="shared" ca="1" si="103"/>
        <v>モジュール名 取得</v>
      </c>
      <c r="K710">
        <f t="shared" ref="K710:K773" si="107">K709+1</f>
        <v>707</v>
      </c>
      <c r="L710" t="str">
        <f t="shared" ca="1" si="100"/>
        <v>出力（改行のみ）</v>
      </c>
      <c r="M710" s="2" t="str">
        <f t="shared" ca="1" si="99"/>
        <v/>
      </c>
      <c r="N710" s="2" t="str">
        <f t="shared" ca="1" si="101"/>
        <v/>
      </c>
      <c r="O710" s="2" t="str">
        <f t="shared" ca="1" si="104"/>
        <v>○</v>
      </c>
      <c r="P710" s="2" t="str">
        <f t="shared" ca="1" si="105"/>
        <v/>
      </c>
    </row>
    <row r="711" spans="1:16">
      <c r="A711">
        <f t="shared" si="106"/>
        <v>708</v>
      </c>
      <c r="B711" t="str">
        <f ca="1">IFERROR(VLOOKUP($A711,'vbs,vba'!$G:$H,2,FALSE),"")</f>
        <v/>
      </c>
      <c r="C711" t="str">
        <f ca="1">IFERROR(VLOOKUP($A711,python!$I:$J,2,FALSE),"")</f>
        <v>インポート</v>
      </c>
      <c r="D711" t="str">
        <f ca="1">IFERROR(VLOOKUP($A711,bat!$F:$G,2,FALSE),"")</f>
        <v/>
      </c>
      <c r="E711" t="str">
        <f ca="1">IFERROR(VLOOKUP($A711,shell!$F:$G,2,FALSE),"")</f>
        <v/>
      </c>
      <c r="F711" t="str">
        <f t="shared" ca="1" si="102"/>
        <v>インポート</v>
      </c>
      <c r="G711">
        <f ca="1">IF($F711="","",COUNTIF($F$3:$F711,$F711))</f>
        <v>2</v>
      </c>
      <c r="H711" t="str">
        <f ca="1">IF(OR(G711&gt;1,G711=""),"",COUNTIF($G$3:$G711,1))</f>
        <v/>
      </c>
      <c r="I711" t="str">
        <f t="shared" ca="1" si="103"/>
        <v>インポート</v>
      </c>
      <c r="K711">
        <f t="shared" si="107"/>
        <v>708</v>
      </c>
      <c r="L711" t="str">
        <f t="shared" ca="1" si="100"/>
        <v>出力抑制</v>
      </c>
      <c r="M711" s="2" t="str">
        <f t="shared" ca="1" si="99"/>
        <v/>
      </c>
      <c r="N711" s="2" t="str">
        <f t="shared" ca="1" si="101"/>
        <v/>
      </c>
      <c r="O711" s="2" t="str">
        <f t="shared" ca="1" si="104"/>
        <v>○</v>
      </c>
      <c r="P711" s="2" t="str">
        <f t="shared" ca="1" si="105"/>
        <v/>
      </c>
    </row>
    <row r="712" spans="1:16">
      <c r="A712">
        <f t="shared" si="106"/>
        <v>709</v>
      </c>
      <c r="B712" t="str">
        <f ca="1">IFERROR(VLOOKUP($A712,'vbs,vba'!$G:$H,2,FALSE),"")</f>
        <v/>
      </c>
      <c r="C712" t="str">
        <f ca="1">IFERROR(VLOOKUP($A712,python!$I:$J,2,FALSE),"")</f>
        <v>文字列型→パス型変換</v>
      </c>
      <c r="D712" t="str">
        <f ca="1">IFERROR(VLOOKUP($A712,bat!$F:$G,2,FALSE),"")</f>
        <v/>
      </c>
      <c r="E712" t="str">
        <f ca="1">IFERROR(VLOOKUP($A712,shell!$F:$G,2,FALSE),"")</f>
        <v/>
      </c>
      <c r="F712" t="str">
        <f t="shared" ca="1" si="102"/>
        <v>文字列型→パス型変換</v>
      </c>
      <c r="G712">
        <f ca="1">IF($F712="","",COUNTIF($F$3:$F712,$F712))</f>
        <v>1</v>
      </c>
      <c r="H712">
        <f ca="1">IF(OR(G712&gt;1,G712=""),"",COUNTIF($G$3:$G712,1))</f>
        <v>642</v>
      </c>
      <c r="I712" t="str">
        <f t="shared" ca="1" si="103"/>
        <v>文字列型→パス型変換</v>
      </c>
      <c r="K712">
        <f t="shared" si="107"/>
        <v>709</v>
      </c>
      <c r="L712" t="str">
        <f t="shared" ca="1" si="100"/>
        <v>２分後にシャットダウン</v>
      </c>
      <c r="M712" s="2" t="str">
        <f t="shared" ca="1" si="99"/>
        <v/>
      </c>
      <c r="N712" s="2" t="str">
        <f t="shared" ca="1" si="101"/>
        <v/>
      </c>
      <c r="O712" s="2" t="str">
        <f t="shared" ca="1" si="104"/>
        <v>○</v>
      </c>
      <c r="P712" s="2" t="str">
        <f t="shared" ca="1" si="105"/>
        <v/>
      </c>
    </row>
    <row r="713" spans="1:16">
      <c r="A713">
        <f t="shared" si="106"/>
        <v>710</v>
      </c>
      <c r="B713" t="str">
        <f ca="1">IFERROR(VLOOKUP($A713,'vbs,vba'!$G:$H,2,FALSE),"")</f>
        <v/>
      </c>
      <c r="C713" t="str">
        <f ca="1">IFERROR(VLOOKUP($A713,python!$I:$J,2,FALSE),"")</f>
        <v>パス型→文字列型変換</v>
      </c>
      <c r="D713" t="str">
        <f ca="1">IFERROR(VLOOKUP($A713,bat!$F:$G,2,FALSE),"")</f>
        <v/>
      </c>
      <c r="E713" t="str">
        <f ca="1">IFERROR(VLOOKUP($A713,shell!$F:$G,2,FALSE),"")</f>
        <v/>
      </c>
      <c r="F713" t="str">
        <f t="shared" ca="1" si="102"/>
        <v>パス型→文字列型変換</v>
      </c>
      <c r="G713">
        <f ca="1">IF($F713="","",COUNTIF($F$3:$F713,$F713))</f>
        <v>1</v>
      </c>
      <c r="H713">
        <f ca="1">IF(OR(G713&gt;1,G713=""),"",COUNTIF($G$3:$G713,1))</f>
        <v>643</v>
      </c>
      <c r="I713" t="str">
        <f t="shared" ca="1" si="103"/>
        <v>パス型→文字列型変換</v>
      </c>
      <c r="K713">
        <f t="shared" si="107"/>
        <v>710</v>
      </c>
      <c r="L713" t="str">
        <f t="shared" ca="1" si="100"/>
        <v>２分後に再起動</v>
      </c>
      <c r="M713" s="2" t="str">
        <f t="shared" ca="1" si="99"/>
        <v/>
      </c>
      <c r="N713" s="2" t="str">
        <f t="shared" ca="1" si="101"/>
        <v/>
      </c>
      <c r="O713" s="2" t="str">
        <f t="shared" ca="1" si="104"/>
        <v>○</v>
      </c>
      <c r="P713" s="2" t="str">
        <f t="shared" ca="1" si="105"/>
        <v/>
      </c>
    </row>
    <row r="714" spans="1:16">
      <c r="A714">
        <f t="shared" si="106"/>
        <v>711</v>
      </c>
      <c r="B714" t="str">
        <f ca="1">IFERROR(VLOOKUP($A714,'vbs,vba'!$G:$H,2,FALSE),"")</f>
        <v/>
      </c>
      <c r="C714" t="str">
        <f ca="1">IFERROR(VLOOKUP($A714,python!$I:$J,2,FALSE),"")</f>
        <v>相対パス→絶対パス変換（..除去あり）</v>
      </c>
      <c r="D714" t="str">
        <f ca="1">IFERROR(VLOOKUP($A714,bat!$F:$G,2,FALSE),"")</f>
        <v/>
      </c>
      <c r="E714" t="str">
        <f ca="1">IFERROR(VLOOKUP($A714,shell!$F:$G,2,FALSE),"")</f>
        <v/>
      </c>
      <c r="F714" t="str">
        <f t="shared" ca="1" si="102"/>
        <v>相対パス→絶対パス変換（..除去あり）</v>
      </c>
      <c r="G714">
        <f ca="1">IF($F714="","",COUNTIF($F$3:$F714,$F714))</f>
        <v>1</v>
      </c>
      <c r="H714">
        <f ca="1">IF(OR(G714&gt;1,G714=""),"",COUNTIF($G$3:$G714,1))</f>
        <v>644</v>
      </c>
      <c r="I714" t="str">
        <f t="shared" ca="1" si="103"/>
        <v>相対パス→絶対パス変換（..除去あり）</v>
      </c>
      <c r="K714">
        <f t="shared" si="107"/>
        <v>711</v>
      </c>
      <c r="L714" t="str">
        <f t="shared" ca="1" si="100"/>
        <v>シャットダウンをキャンセル</v>
      </c>
      <c r="M714" s="2" t="str">
        <f t="shared" ca="1" si="99"/>
        <v/>
      </c>
      <c r="N714" s="2" t="str">
        <f t="shared" ca="1" si="101"/>
        <v/>
      </c>
      <c r="O714" s="2" t="str">
        <f t="shared" ca="1" si="104"/>
        <v>○</v>
      </c>
      <c r="P714" s="2" t="str">
        <f t="shared" ca="1" si="105"/>
        <v/>
      </c>
    </row>
    <row r="715" spans="1:16">
      <c r="A715">
        <f t="shared" si="106"/>
        <v>712</v>
      </c>
      <c r="B715" t="str">
        <f ca="1">IFERROR(VLOOKUP($A715,'vbs,vba'!$G:$H,2,FALSE),"")</f>
        <v/>
      </c>
      <c r="C715" t="str">
        <f ca="1">IFERROR(VLOOKUP($A715,python!$I:$J,2,FALSE),"")</f>
        <v>相対パス→絶対パス変換（..除去なし）</v>
      </c>
      <c r="D715" t="str">
        <f ca="1">IFERROR(VLOOKUP($A715,bat!$F:$G,2,FALSE),"")</f>
        <v/>
      </c>
      <c r="E715" t="str">
        <f ca="1">IFERROR(VLOOKUP($A715,shell!$F:$G,2,FALSE),"")</f>
        <v/>
      </c>
      <c r="F715" t="str">
        <f t="shared" ca="1" si="102"/>
        <v>相対パス→絶対パス変換（..除去なし）</v>
      </c>
      <c r="G715">
        <f ca="1">IF($F715="","",COUNTIF($F$3:$F715,$F715))</f>
        <v>1</v>
      </c>
      <c r="H715">
        <f ca="1">IF(OR(G715&gt;1,G715=""),"",COUNTIF($G$3:$G715,1))</f>
        <v>645</v>
      </c>
      <c r="I715" t="str">
        <f t="shared" ca="1" si="103"/>
        <v>相対パス→絶対パス変換（..除去なし）</v>
      </c>
      <c r="K715">
        <f t="shared" si="107"/>
        <v>712</v>
      </c>
      <c r="L715" t="str">
        <f t="shared" ca="1" si="100"/>
        <v>遅延展開変数設定</v>
      </c>
      <c r="M715" s="2" t="str">
        <f t="shared" ca="1" si="99"/>
        <v/>
      </c>
      <c r="N715" s="2" t="str">
        <f t="shared" ca="1" si="101"/>
        <v/>
      </c>
      <c r="O715" s="2" t="str">
        <f t="shared" ca="1" si="104"/>
        <v>○</v>
      </c>
      <c r="P715" s="2" t="str">
        <f t="shared" ca="1" si="105"/>
        <v/>
      </c>
    </row>
    <row r="716" spans="1:16">
      <c r="A716">
        <f t="shared" si="106"/>
        <v>713</v>
      </c>
      <c r="B716" t="str">
        <f ca="1">IFERROR(VLOOKUP($A716,'vbs,vba'!$G:$H,2,FALSE),"")</f>
        <v/>
      </c>
      <c r="C716" t="str">
        <f ca="1">IFERROR(VLOOKUP($A716,python!$I:$J,2,FALSE),"")</f>
        <v>絶対パス→相対パス変換</v>
      </c>
      <c r="D716" t="str">
        <f ca="1">IFERROR(VLOOKUP($A716,bat!$F:$G,2,FALSE),"")</f>
        <v/>
      </c>
      <c r="E716" t="str">
        <f ca="1">IFERROR(VLOOKUP($A716,shell!$F:$G,2,FALSE),"")</f>
        <v/>
      </c>
      <c r="F716" t="str">
        <f t="shared" ca="1" si="102"/>
        <v>絶対パス→相対パス変換</v>
      </c>
      <c r="G716">
        <f ca="1">IF($F716="","",COUNTIF($F$3:$F716,$F716))</f>
        <v>1</v>
      </c>
      <c r="H716">
        <f ca="1">IF(OR(G716&gt;1,G716=""),"",COUNTIF($G$3:$G716,1))</f>
        <v>646</v>
      </c>
      <c r="I716" t="str">
        <f t="shared" ca="1" si="103"/>
        <v>絶対パス→相対パス変換</v>
      </c>
      <c r="K716">
        <f t="shared" si="107"/>
        <v>713</v>
      </c>
      <c r="L716" t="str">
        <f t="shared" ca="1" si="100"/>
        <v>環境変数 設定</v>
      </c>
      <c r="M716" s="2" t="str">
        <f t="shared" ca="1" si="99"/>
        <v/>
      </c>
      <c r="N716" s="2" t="str">
        <f t="shared" ca="1" si="101"/>
        <v/>
      </c>
      <c r="O716" s="2" t="str">
        <f t="shared" ca="1" si="104"/>
        <v>○</v>
      </c>
      <c r="P716" s="2" t="str">
        <f t="shared" ca="1" si="105"/>
        <v/>
      </c>
    </row>
    <row r="717" spans="1:16">
      <c r="A717">
        <f t="shared" si="106"/>
        <v>714</v>
      </c>
      <c r="B717" t="str">
        <f ca="1">IFERROR(VLOOKUP($A717,'vbs,vba'!$G:$H,2,FALSE),"")</f>
        <v/>
      </c>
      <c r="C717" t="str">
        <f ca="1">IFERROR(VLOOKUP($A717,python!$I:$J,2,FALSE),"")</f>
        <v>絶対パス判定</v>
      </c>
      <c r="D717" t="str">
        <f ca="1">IFERROR(VLOOKUP($A717,bat!$F:$G,2,FALSE),"")</f>
        <v/>
      </c>
      <c r="E717" t="str">
        <f ca="1">IFERROR(VLOOKUP($A717,shell!$F:$G,2,FALSE),"")</f>
        <v/>
      </c>
      <c r="F717" t="str">
        <f t="shared" ca="1" si="102"/>
        <v>絶対パス判定</v>
      </c>
      <c r="G717">
        <f ca="1">IF($F717="","",COUNTIF($F$3:$F717,$F717))</f>
        <v>1</v>
      </c>
      <c r="H717">
        <f ca="1">IF(OR(G717&gt;1,G717=""),"",COUNTIF($G$3:$G717,1))</f>
        <v>647</v>
      </c>
      <c r="I717" t="str">
        <f t="shared" ca="1" si="103"/>
        <v>絶対パス判定</v>
      </c>
      <c r="K717">
        <f t="shared" si="107"/>
        <v>714</v>
      </c>
      <c r="L717" t="str">
        <f t="shared" ca="1" si="100"/>
        <v>環境変数 解除</v>
      </c>
      <c r="M717" s="2" t="str">
        <f t="shared" ca="1" si="99"/>
        <v/>
      </c>
      <c r="N717" s="2" t="str">
        <f t="shared" ca="1" si="101"/>
        <v/>
      </c>
      <c r="O717" s="2" t="str">
        <f t="shared" ca="1" si="104"/>
        <v>○</v>
      </c>
      <c r="P717" s="2" t="str">
        <f t="shared" ca="1" si="105"/>
        <v/>
      </c>
    </row>
    <row r="718" spans="1:16">
      <c r="A718">
        <f t="shared" si="106"/>
        <v>715</v>
      </c>
      <c r="B718" t="str">
        <f ca="1">IFERROR(VLOOKUP($A718,'vbs,vba'!$G:$H,2,FALSE),"")</f>
        <v/>
      </c>
      <c r="C718" t="str">
        <f ca="1">IFERROR(VLOOKUP($A718,python!$I:$J,2,FALSE),"")</f>
        <v>ファイル存在確認</v>
      </c>
      <c r="D718" t="str">
        <f ca="1">IFERROR(VLOOKUP($A718,bat!$F:$G,2,FALSE),"")</f>
        <v/>
      </c>
      <c r="E718" t="str">
        <f ca="1">IFERROR(VLOOKUP($A718,shell!$F:$G,2,FALSE),"")</f>
        <v/>
      </c>
      <c r="F718" t="str">
        <f t="shared" ca="1" si="102"/>
        <v>ファイル存在確認</v>
      </c>
      <c r="G718">
        <f ca="1">IF($F718="","",COUNTIF($F$3:$F718,$F718))</f>
        <v>1</v>
      </c>
      <c r="H718">
        <f ca="1">IF(OR(G718&gt;1,G718=""),"",COUNTIF($G$3:$G718,1))</f>
        <v>648</v>
      </c>
      <c r="I718" t="str">
        <f t="shared" ca="1" si="103"/>
        <v>ファイル存在確認</v>
      </c>
      <c r="K718">
        <f t="shared" si="107"/>
        <v>715</v>
      </c>
      <c r="L718" t="str">
        <f t="shared" ca="1" si="100"/>
        <v>環境変数 存在確認</v>
      </c>
      <c r="M718" s="2" t="str">
        <f t="shared" ca="1" si="99"/>
        <v/>
      </c>
      <c r="N718" s="2" t="str">
        <f t="shared" ca="1" si="101"/>
        <v/>
      </c>
      <c r="O718" s="2" t="str">
        <f t="shared" ca="1" si="104"/>
        <v>○</v>
      </c>
      <c r="P718" s="2" t="str">
        <f t="shared" ca="1" si="105"/>
        <v/>
      </c>
    </row>
    <row r="719" spans="1:16">
      <c r="A719">
        <f t="shared" si="106"/>
        <v>716</v>
      </c>
      <c r="B719" t="str">
        <f ca="1">IFERROR(VLOOKUP($A719,'vbs,vba'!$G:$H,2,FALSE),"")</f>
        <v/>
      </c>
      <c r="C719" t="str">
        <f ca="1">IFERROR(VLOOKUP($A719,python!$I:$J,2,FALSE),"")</f>
        <v>親ディレクトリパス取得</v>
      </c>
      <c r="D719" t="str">
        <f ca="1">IFERROR(VLOOKUP($A719,bat!$F:$G,2,FALSE),"")</f>
        <v/>
      </c>
      <c r="E719" t="str">
        <f ca="1">IFERROR(VLOOKUP($A719,shell!$F:$G,2,FALSE),"")</f>
        <v/>
      </c>
      <c r="F719" t="str">
        <f t="shared" ca="1" si="102"/>
        <v>親ディレクトリパス取得</v>
      </c>
      <c r="G719">
        <f ca="1">IF($F719="","",COUNTIF($F$3:$F719,$F719))</f>
        <v>1</v>
      </c>
      <c r="H719">
        <f ca="1">IF(OR(G719&gt;1,G719=""),"",COUNTIF($G$3:$G719,1))</f>
        <v>649</v>
      </c>
      <c r="I719" t="str">
        <f t="shared" ca="1" si="103"/>
        <v>親ディレクトリパス取得</v>
      </c>
      <c r="K719">
        <f t="shared" si="107"/>
        <v>716</v>
      </c>
      <c r="L719" t="str">
        <f t="shared" ca="1" si="100"/>
        <v>Windows 60秒後にシャットダウン</v>
      </c>
      <c r="M719" s="2" t="str">
        <f t="shared" ca="1" si="99"/>
        <v/>
      </c>
      <c r="N719" s="2" t="str">
        <f t="shared" ca="1" si="101"/>
        <v/>
      </c>
      <c r="O719" s="2" t="str">
        <f t="shared" ca="1" si="104"/>
        <v>○</v>
      </c>
      <c r="P719" s="2" t="str">
        <f t="shared" ca="1" si="105"/>
        <v/>
      </c>
    </row>
    <row r="720" spans="1:16">
      <c r="A720">
        <f t="shared" si="106"/>
        <v>717</v>
      </c>
      <c r="B720" t="str">
        <f ca="1">IFERROR(VLOOKUP($A720,'vbs,vba'!$G:$H,2,FALSE),"")</f>
        <v/>
      </c>
      <c r="C720" t="str">
        <f ca="1">IFERROR(VLOOKUP($A720,python!$I:$J,2,FALSE),"")</f>
        <v>親ディレクトリパス取得(１階層以上)</v>
      </c>
      <c r="D720" t="str">
        <f ca="1">IFERROR(VLOOKUP($A720,bat!$F:$G,2,FALSE),"")</f>
        <v/>
      </c>
      <c r="E720" t="str">
        <f ca="1">IFERROR(VLOOKUP($A720,shell!$F:$G,2,FALSE),"")</f>
        <v/>
      </c>
      <c r="F720" t="str">
        <f t="shared" ca="1" si="102"/>
        <v>親ディレクトリパス取得(１階層以上)</v>
      </c>
      <c r="G720">
        <f ca="1">IF($F720="","",COUNTIF($F$3:$F720,$F720))</f>
        <v>1</v>
      </c>
      <c r="H720">
        <f ca="1">IF(OR(G720&gt;1,G720=""),"",COUNTIF($G$3:$G720,1))</f>
        <v>650</v>
      </c>
      <c r="I720" t="str">
        <f t="shared" ca="1" si="103"/>
        <v>親ディレクトリパス取得(１階層以上)</v>
      </c>
      <c r="K720">
        <f t="shared" si="107"/>
        <v>717</v>
      </c>
      <c r="L720" t="str">
        <f t="shared" ca="1" si="100"/>
        <v>Windows 60秒後に再起動</v>
      </c>
      <c r="M720" s="2" t="str">
        <f t="shared" ca="1" si="99"/>
        <v/>
      </c>
      <c r="N720" s="2" t="str">
        <f t="shared" ca="1" si="101"/>
        <v/>
      </c>
      <c r="O720" s="2" t="str">
        <f t="shared" ca="1" si="104"/>
        <v>○</v>
      </c>
      <c r="P720" s="2" t="str">
        <f t="shared" ca="1" si="105"/>
        <v/>
      </c>
    </row>
    <row r="721" spans="1:16">
      <c r="A721">
        <f t="shared" si="106"/>
        <v>718</v>
      </c>
      <c r="B721" t="str">
        <f ca="1">IFERROR(VLOOKUP($A721,'vbs,vba'!$G:$H,2,FALSE),"")</f>
        <v/>
      </c>
      <c r="C721" t="str">
        <f ca="1">IFERROR(VLOOKUP($A721,python!$I:$J,2,FALSE),"")</f>
        <v>親ディレクトリパス取得(２階層以上)</v>
      </c>
      <c r="D721" t="str">
        <f ca="1">IFERROR(VLOOKUP($A721,bat!$F:$G,2,FALSE),"")</f>
        <v/>
      </c>
      <c r="E721" t="str">
        <f ca="1">IFERROR(VLOOKUP($A721,shell!$F:$G,2,FALSE),"")</f>
        <v/>
      </c>
      <c r="F721" t="str">
        <f t="shared" ca="1" si="102"/>
        <v>親ディレクトリパス取得(２階層以上)</v>
      </c>
      <c r="G721">
        <f ca="1">IF($F721="","",COUNTIF($F$3:$F721,$F721))</f>
        <v>1</v>
      </c>
      <c r="H721">
        <f ca="1">IF(OR(G721&gt;1,G721=""),"",COUNTIF($G$3:$G721,1))</f>
        <v>651</v>
      </c>
      <c r="I721" t="str">
        <f t="shared" ca="1" si="103"/>
        <v>親ディレクトリパス取得(２階層以上)</v>
      </c>
      <c r="K721">
        <f t="shared" si="107"/>
        <v>718</v>
      </c>
      <c r="L721" t="str">
        <f t="shared" ca="1" si="100"/>
        <v>変数VARの値全体</v>
      </c>
      <c r="M721" s="2" t="str">
        <f t="shared" ca="1" si="99"/>
        <v/>
      </c>
      <c r="N721" s="2" t="str">
        <f t="shared" ca="1" si="101"/>
        <v/>
      </c>
      <c r="O721" s="2" t="str">
        <f t="shared" ca="1" si="104"/>
        <v>○</v>
      </c>
      <c r="P721" s="2" t="str">
        <f t="shared" ca="1" si="105"/>
        <v/>
      </c>
    </row>
    <row r="722" spans="1:16">
      <c r="A722">
        <f t="shared" si="106"/>
        <v>719</v>
      </c>
      <c r="B722" t="str">
        <f ca="1">IFERROR(VLOOKUP($A722,'vbs,vba'!$G:$H,2,FALSE),"")</f>
        <v/>
      </c>
      <c r="C722" t="str">
        <f ca="1">IFERROR(VLOOKUP($A722,python!$I:$J,2,FALSE),"")</f>
        <v>親ディレクトリパス取得(３階層以上)</v>
      </c>
      <c r="D722" t="str">
        <f ca="1">IFERROR(VLOOKUP($A722,bat!$F:$G,2,FALSE),"")</f>
        <v/>
      </c>
      <c r="E722" t="str">
        <f ca="1">IFERROR(VLOOKUP($A722,shell!$F:$G,2,FALSE),"")</f>
        <v/>
      </c>
      <c r="F722" t="str">
        <f t="shared" ca="1" si="102"/>
        <v>親ディレクトリパス取得(３階層以上)</v>
      </c>
      <c r="G722">
        <f ca="1">IF($F722="","",COUNTIF($F$3:$F722,$F722))</f>
        <v>1</v>
      </c>
      <c r="H722">
        <f ca="1">IF(OR(G722&gt;1,G722=""),"",COUNTIF($G$3:$G722,1))</f>
        <v>652</v>
      </c>
      <c r="I722" t="str">
        <f t="shared" ca="1" si="103"/>
        <v>親ディレクトリパス取得(３階層以上)</v>
      </c>
      <c r="K722">
        <f t="shared" si="107"/>
        <v>719</v>
      </c>
      <c r="L722" t="str">
        <f t="shared" ca="1" si="100"/>
        <v>m文字目から、最後まで</v>
      </c>
      <c r="M722" s="2" t="str">
        <f t="shared" ca="1" si="99"/>
        <v/>
      </c>
      <c r="N722" s="2" t="str">
        <f t="shared" ca="1" si="101"/>
        <v/>
      </c>
      <c r="O722" s="2" t="str">
        <f t="shared" ca="1" si="104"/>
        <v>○</v>
      </c>
      <c r="P722" s="2" t="str">
        <f t="shared" ca="1" si="105"/>
        <v/>
      </c>
    </row>
    <row r="723" spans="1:16">
      <c r="A723">
        <f t="shared" si="106"/>
        <v>720</v>
      </c>
      <c r="B723" t="str">
        <f ca="1">IFERROR(VLOOKUP($A723,'vbs,vba'!$G:$H,2,FALSE),"")</f>
        <v/>
      </c>
      <c r="C723" t="str">
        <f ca="1">IFERROR(VLOOKUP($A723,python!$I:$J,2,FALSE),"")</f>
        <v>親ディレクトリパス取得(トップから1階層以下)</v>
      </c>
      <c r="D723" t="str">
        <f ca="1">IFERROR(VLOOKUP($A723,bat!$F:$G,2,FALSE),"")</f>
        <v/>
      </c>
      <c r="E723" t="str">
        <f ca="1">IFERROR(VLOOKUP($A723,shell!$F:$G,2,FALSE),"")</f>
        <v/>
      </c>
      <c r="F723" t="str">
        <f t="shared" ca="1" si="102"/>
        <v>親ディレクトリパス取得(トップから1階層以下)</v>
      </c>
      <c r="G723">
        <f ca="1">IF($F723="","",COUNTIF($F$3:$F723,$F723))</f>
        <v>1</v>
      </c>
      <c r="H723">
        <f ca="1">IF(OR(G723&gt;1,G723=""),"",COUNTIF($G$3:$G723,1))</f>
        <v>653</v>
      </c>
      <c r="I723" t="str">
        <f t="shared" ca="1" si="103"/>
        <v>親ディレクトリパス取得(トップから1階層以下)</v>
      </c>
      <c r="K723">
        <f t="shared" si="107"/>
        <v>720</v>
      </c>
      <c r="L723" t="str">
        <f t="shared" ca="1" si="100"/>
        <v>m文字目から、n文字分</v>
      </c>
      <c r="M723" s="2" t="str">
        <f t="shared" ca="1" si="99"/>
        <v/>
      </c>
      <c r="N723" s="2" t="str">
        <f t="shared" ca="1" si="101"/>
        <v/>
      </c>
      <c r="O723" s="2" t="str">
        <f t="shared" ca="1" si="104"/>
        <v>○</v>
      </c>
      <c r="P723" s="2" t="str">
        <f t="shared" ca="1" si="105"/>
        <v/>
      </c>
    </row>
    <row r="724" spans="1:16">
      <c r="A724">
        <f t="shared" si="106"/>
        <v>721</v>
      </c>
      <c r="B724" t="str">
        <f ca="1">IFERROR(VLOOKUP($A724,'vbs,vba'!$G:$H,2,FALSE),"")</f>
        <v/>
      </c>
      <c r="C724" t="str">
        <f ca="1">IFERROR(VLOOKUP($A724,python!$I:$J,2,FALSE),"")</f>
        <v>親ディレクトリパス取得(トップから2階層以下)</v>
      </c>
      <c r="D724" t="str">
        <f ca="1">IFERROR(VLOOKUP($A724,bat!$F:$G,2,FALSE),"")</f>
        <v/>
      </c>
      <c r="E724" t="str">
        <f ca="1">IFERROR(VLOOKUP($A724,shell!$F:$G,2,FALSE),"")</f>
        <v/>
      </c>
      <c r="F724" t="str">
        <f t="shared" ca="1" si="102"/>
        <v>親ディレクトリパス取得(トップから2階層以下)</v>
      </c>
      <c r="G724">
        <f ca="1">IF($F724="","",COUNTIF($F$3:$F724,$F724))</f>
        <v>1</v>
      </c>
      <c r="H724">
        <f ca="1">IF(OR(G724&gt;1,G724=""),"",COUNTIF($G$3:$G724,1))</f>
        <v>654</v>
      </c>
      <c r="I724" t="str">
        <f t="shared" ca="1" si="103"/>
        <v>親ディレクトリパス取得(トップから2階層以下)</v>
      </c>
      <c r="K724">
        <f t="shared" si="107"/>
        <v>721</v>
      </c>
      <c r="L724" t="str">
        <f t="shared" ca="1" si="100"/>
        <v>m文字目から、最後のn文字分を除いたもの</v>
      </c>
      <c r="M724" s="2" t="str">
        <f t="shared" ca="1" si="99"/>
        <v/>
      </c>
      <c r="N724" s="2" t="str">
        <f t="shared" ca="1" si="101"/>
        <v/>
      </c>
      <c r="O724" s="2" t="str">
        <f t="shared" ca="1" si="104"/>
        <v>○</v>
      </c>
      <c r="P724" s="2" t="str">
        <f t="shared" ca="1" si="105"/>
        <v/>
      </c>
    </row>
    <row r="725" spans="1:16">
      <c r="A725">
        <f t="shared" si="106"/>
        <v>722</v>
      </c>
      <c r="B725" t="str">
        <f ca="1">IFERROR(VLOOKUP($A725,'vbs,vba'!$G:$H,2,FALSE),"")</f>
        <v/>
      </c>
      <c r="C725" t="str">
        <f ca="1">IFERROR(VLOOKUP($A725,python!$I:$J,2,FALSE),"")</f>
        <v>ファイル名取得</v>
      </c>
      <c r="D725" t="str">
        <f ca="1">IFERROR(VLOOKUP($A725,bat!$F:$G,2,FALSE),"")</f>
        <v/>
      </c>
      <c r="E725" t="str">
        <f ca="1">IFERROR(VLOOKUP($A725,shell!$F:$G,2,FALSE),"")</f>
        <v/>
      </c>
      <c r="F725" t="str">
        <f t="shared" ca="1" si="102"/>
        <v>ファイル名取得</v>
      </c>
      <c r="G725">
        <f ca="1">IF($F725="","",COUNTIF($F$3:$F725,$F725))</f>
        <v>1</v>
      </c>
      <c r="H725">
        <f ca="1">IF(OR(G725&gt;1,G725=""),"",COUNTIF($G$3:$G725,1))</f>
        <v>655</v>
      </c>
      <c r="I725" t="str">
        <f t="shared" ca="1" si="103"/>
        <v>ファイル名取得</v>
      </c>
      <c r="K725">
        <f t="shared" si="107"/>
        <v>722</v>
      </c>
      <c r="L725" t="str">
        <f t="shared" ca="1" si="100"/>
        <v>後ろからm文字目から、最後まで</v>
      </c>
      <c r="M725" s="2" t="str">
        <f t="shared" ca="1" si="99"/>
        <v/>
      </c>
      <c r="N725" s="2" t="str">
        <f t="shared" ca="1" si="101"/>
        <v/>
      </c>
      <c r="O725" s="2" t="str">
        <f t="shared" ca="1" si="104"/>
        <v>○</v>
      </c>
      <c r="P725" s="2" t="str">
        <f t="shared" ca="1" si="105"/>
        <v/>
      </c>
    </row>
    <row r="726" spans="1:16">
      <c r="A726">
        <f t="shared" si="106"/>
        <v>723</v>
      </c>
      <c r="B726" t="str">
        <f ca="1">IFERROR(VLOOKUP($A726,'vbs,vba'!$G:$H,2,FALSE),"")</f>
        <v/>
      </c>
      <c r="C726" t="str">
        <f ca="1">IFERROR(VLOOKUP($A726,python!$I:$J,2,FALSE),"")</f>
        <v>ファイルベース名取得</v>
      </c>
      <c r="D726" t="str">
        <f ca="1">IFERROR(VLOOKUP($A726,bat!$F:$G,2,FALSE),"")</f>
        <v/>
      </c>
      <c r="E726" t="str">
        <f ca="1">IFERROR(VLOOKUP($A726,shell!$F:$G,2,FALSE),"")</f>
        <v/>
      </c>
      <c r="F726" t="str">
        <f t="shared" ca="1" si="102"/>
        <v>ファイルベース名取得</v>
      </c>
      <c r="G726">
        <f ca="1">IF($F726="","",COUNTIF($F$3:$F726,$F726))</f>
        <v>1</v>
      </c>
      <c r="H726">
        <f ca="1">IF(OR(G726&gt;1,G726=""),"",COUNTIF($G$3:$G726,1))</f>
        <v>656</v>
      </c>
      <c r="I726" t="str">
        <f t="shared" ca="1" si="103"/>
        <v>ファイルベース名取得</v>
      </c>
      <c r="K726">
        <f t="shared" si="107"/>
        <v>723</v>
      </c>
      <c r="L726" t="str">
        <f t="shared" ca="1" si="100"/>
        <v>後ろからm文字目から、n文字分</v>
      </c>
      <c r="M726" s="2" t="str">
        <f t="shared" ca="1" si="99"/>
        <v/>
      </c>
      <c r="N726" s="2" t="str">
        <f t="shared" ca="1" si="101"/>
        <v/>
      </c>
      <c r="O726" s="2" t="str">
        <f t="shared" ca="1" si="104"/>
        <v>○</v>
      </c>
      <c r="P726" s="2" t="str">
        <f t="shared" ca="1" si="105"/>
        <v/>
      </c>
    </row>
    <row r="727" spans="1:16">
      <c r="A727">
        <f t="shared" si="106"/>
        <v>724</v>
      </c>
      <c r="B727" t="str">
        <f ca="1">IFERROR(VLOOKUP($A727,'vbs,vba'!$G:$H,2,FALSE),"")</f>
        <v/>
      </c>
      <c r="C727" t="str">
        <f ca="1">IFERROR(VLOOKUP($A727,python!$I:$J,2,FALSE),"")</f>
        <v>拡張子取得</v>
      </c>
      <c r="D727" t="str">
        <f ca="1">IFERROR(VLOOKUP($A727,bat!$F:$G,2,FALSE),"")</f>
        <v/>
      </c>
      <c r="E727" t="str">
        <f ca="1">IFERROR(VLOOKUP($A727,shell!$F:$G,2,FALSE),"")</f>
        <v/>
      </c>
      <c r="F727" t="str">
        <f t="shared" ca="1" si="102"/>
        <v>拡張子取得</v>
      </c>
      <c r="G727">
        <f ca="1">IF($F727="","",COUNTIF($F$3:$F727,$F727))</f>
        <v>1</v>
      </c>
      <c r="H727">
        <f ca="1">IF(OR(G727&gt;1,G727=""),"",COUNTIF($G$3:$G727,1))</f>
        <v>657</v>
      </c>
      <c r="I727" t="str">
        <f t="shared" ca="1" si="103"/>
        <v>拡張子取得</v>
      </c>
      <c r="K727">
        <f t="shared" si="107"/>
        <v>724</v>
      </c>
      <c r="L727" t="str">
        <f t="shared" ca="1" si="100"/>
        <v>後ろからm文字目から、最後のn文字分を除いたもの</v>
      </c>
      <c r="M727" s="2" t="str">
        <f t="shared" ca="1" si="99"/>
        <v/>
      </c>
      <c r="N727" s="2" t="str">
        <f t="shared" ca="1" si="101"/>
        <v/>
      </c>
      <c r="O727" s="2" t="str">
        <f t="shared" ca="1" si="104"/>
        <v>○</v>
      </c>
      <c r="P727" s="2" t="str">
        <f t="shared" ca="1" si="105"/>
        <v/>
      </c>
    </row>
    <row r="728" spans="1:16">
      <c r="A728">
        <f t="shared" si="106"/>
        <v>725</v>
      </c>
      <c r="B728" t="str">
        <f ca="1">IFERROR(VLOOKUP($A728,'vbs,vba'!$G:$H,2,FALSE),"")</f>
        <v/>
      </c>
      <c r="C728" t="str">
        <f ca="1">IFERROR(VLOOKUP($A728,python!$I:$J,2,FALSE),"")</f>
        <v>拡張子取得（複数ピリオド時）</v>
      </c>
      <c r="D728" t="str">
        <f ca="1">IFERROR(VLOOKUP($A728,bat!$F:$G,2,FALSE),"")</f>
        <v/>
      </c>
      <c r="E728" t="str">
        <f ca="1">IFERROR(VLOOKUP($A728,shell!$F:$G,2,FALSE),"")</f>
        <v/>
      </c>
      <c r="F728" t="str">
        <f t="shared" ca="1" si="102"/>
        <v>拡張子取得（複数ピリオド時）</v>
      </c>
      <c r="G728">
        <f ca="1">IF($F728="","",COUNTIF($F$3:$F728,$F728))</f>
        <v>1</v>
      </c>
      <c r="H728">
        <f ca="1">IF(OR(G728&gt;1,G728=""),"",COUNTIF($G$3:$G728,1))</f>
        <v>658</v>
      </c>
      <c r="I728" t="str">
        <f t="shared" ca="1" si="103"/>
        <v>拡張子取得（複数ピリオド時）</v>
      </c>
      <c r="K728">
        <f t="shared" si="107"/>
        <v>725</v>
      </c>
      <c r="L728" t="str">
        <f t="shared" ca="1" si="100"/>
        <v>文字c1を文字c2に置換</v>
      </c>
      <c r="M728" s="2" t="str">
        <f t="shared" ca="1" si="99"/>
        <v/>
      </c>
      <c r="N728" s="2" t="str">
        <f t="shared" ca="1" si="101"/>
        <v/>
      </c>
      <c r="O728" s="2" t="str">
        <f t="shared" ca="1" si="104"/>
        <v>○</v>
      </c>
      <c r="P728" s="2" t="str">
        <f t="shared" ca="1" si="105"/>
        <v/>
      </c>
    </row>
    <row r="729" spans="1:16">
      <c r="A729">
        <f t="shared" si="106"/>
        <v>726</v>
      </c>
      <c r="B729" t="str">
        <f ca="1">IFERROR(VLOOKUP($A729,'vbs,vba'!$G:$H,2,FALSE),"")</f>
        <v/>
      </c>
      <c r="C729" t="str">
        <f ca="1">IFERROR(VLOOKUP($A729,python!$I:$J,2,FALSE),"")</f>
        <v>カレントディレクトリ取得</v>
      </c>
      <c r="D729" t="str">
        <f ca="1">IFERROR(VLOOKUP($A729,bat!$F:$G,2,FALSE),"")</f>
        <v/>
      </c>
      <c r="E729" t="str">
        <f ca="1">IFERROR(VLOOKUP($A729,shell!$F:$G,2,FALSE),"")</f>
        <v/>
      </c>
      <c r="F729" t="str">
        <f t="shared" ca="1" si="102"/>
        <v>カレントディレクトリ取得</v>
      </c>
      <c r="G729">
        <f ca="1">IF($F729="","",COUNTIF($F$3:$F729,$F729))</f>
        <v>1</v>
      </c>
      <c r="H729">
        <f ca="1">IF(OR(G729&gt;1,G729=""),"",COUNTIF($G$3:$G729,1))</f>
        <v>659</v>
      </c>
      <c r="I729" t="str">
        <f t="shared" ca="1" si="103"/>
        <v>カレントディレクトリ取得</v>
      </c>
      <c r="K729">
        <f t="shared" si="107"/>
        <v>726</v>
      </c>
      <c r="L729" t="str">
        <f t="shared" ca="1" si="100"/>
        <v>文字列そのまま</v>
      </c>
      <c r="M729" s="2" t="str">
        <f t="shared" ca="1" si="99"/>
        <v/>
      </c>
      <c r="N729" s="2" t="str">
        <f t="shared" ca="1" si="101"/>
        <v/>
      </c>
      <c r="O729" s="2" t="str">
        <f t="shared" ca="1" si="104"/>
        <v>○</v>
      </c>
      <c r="P729" s="2" t="str">
        <f t="shared" ca="1" si="105"/>
        <v/>
      </c>
    </row>
    <row r="730" spans="1:16">
      <c r="A730">
        <f t="shared" si="106"/>
        <v>727</v>
      </c>
      <c r="B730" t="str">
        <f ca="1">IFERROR(VLOOKUP($A730,'vbs,vba'!$G:$H,2,FALSE),"")</f>
        <v/>
      </c>
      <c r="C730" t="str">
        <f ca="1">IFERROR(VLOOKUP($A730,python!$I:$J,2,FALSE),"")</f>
        <v>パス結合</v>
      </c>
      <c r="D730" t="str">
        <f ca="1">IFERROR(VLOOKUP($A730,bat!$F:$G,2,FALSE),"")</f>
        <v/>
      </c>
      <c r="E730" t="str">
        <f ca="1">IFERROR(VLOOKUP($A730,shell!$F:$G,2,FALSE),"")</f>
        <v/>
      </c>
      <c r="F730" t="str">
        <f t="shared" ca="1" si="102"/>
        <v>パス結合</v>
      </c>
      <c r="G730">
        <f ca="1">IF($F730="","",COUNTIF($F$3:$F730,$F730))</f>
        <v>1</v>
      </c>
      <c r="H730">
        <f ca="1">IF(OR(G730&gt;1,G730=""),"",COUNTIF($G$3:$G730,1))</f>
        <v>660</v>
      </c>
      <c r="I730" t="str">
        <f t="shared" ca="1" si="103"/>
        <v>パス結合</v>
      </c>
      <c r="K730">
        <f t="shared" si="107"/>
        <v>727</v>
      </c>
      <c r="L730" t="str">
        <f t="shared" ca="1" si="100"/>
        <v>すべての引用句</v>
      </c>
      <c r="M730" s="2" t="str">
        <f t="shared" ca="1" si="99"/>
        <v/>
      </c>
      <c r="N730" s="2" t="str">
        <f t="shared" ca="1" si="101"/>
        <v/>
      </c>
      <c r="O730" s="2" t="str">
        <f t="shared" ca="1" si="104"/>
        <v>○</v>
      </c>
      <c r="P730" s="2" t="str">
        <f t="shared" ca="1" si="105"/>
        <v/>
      </c>
    </row>
    <row r="731" spans="1:16">
      <c r="A731">
        <f t="shared" si="106"/>
        <v>728</v>
      </c>
      <c r="B731" t="str">
        <f ca="1">IFERROR(VLOOKUP($A731,'vbs,vba'!$G:$H,2,FALSE),"")</f>
        <v/>
      </c>
      <c r="C731" t="str">
        <f ca="1">IFERROR(VLOOKUP($A731,python!$I:$J,2,FALSE),"")</f>
        <v>ディレクトリ作成</v>
      </c>
      <c r="D731" t="str">
        <f ca="1">IFERROR(VLOOKUP($A731,bat!$F:$G,2,FALSE),"")</f>
        <v/>
      </c>
      <c r="E731" t="str">
        <f ca="1">IFERROR(VLOOKUP($A731,shell!$F:$G,2,FALSE),"")</f>
        <v/>
      </c>
      <c r="F731" t="str">
        <f t="shared" ca="1" si="102"/>
        <v>ディレクトリ作成</v>
      </c>
      <c r="G731">
        <f ca="1">IF($F731="","",COUNTIF($F$3:$F731,$F731))</f>
        <v>1</v>
      </c>
      <c r="H731">
        <f ca="1">IF(OR(G731&gt;1,G731=""),"",COUNTIF($G$3:$G731,1))</f>
        <v>661</v>
      </c>
      <c r="I731" t="str">
        <f t="shared" ca="1" si="103"/>
        <v>ディレクトリ作成</v>
      </c>
      <c r="K731">
        <f t="shared" si="107"/>
        <v>728</v>
      </c>
      <c r="L731" t="str">
        <f t="shared" ca="1" si="100"/>
        <v>完全修飾パス名</v>
      </c>
      <c r="M731" s="2" t="str">
        <f t="shared" ca="1" si="99"/>
        <v/>
      </c>
      <c r="N731" s="2" t="str">
        <f t="shared" ca="1" si="101"/>
        <v/>
      </c>
      <c r="O731" s="2" t="str">
        <f t="shared" ca="1" si="104"/>
        <v>○</v>
      </c>
      <c r="P731" s="2" t="str">
        <f t="shared" ca="1" si="105"/>
        <v/>
      </c>
    </row>
    <row r="732" spans="1:16">
      <c r="A732">
        <f t="shared" si="106"/>
        <v>729</v>
      </c>
      <c r="B732" t="str">
        <f ca="1">IFERROR(VLOOKUP($A732,'vbs,vba'!$G:$H,2,FALSE),"")</f>
        <v/>
      </c>
      <c r="C732" t="str">
        <f ca="1">IFERROR(VLOOKUP($A732,python!$I:$J,2,FALSE),"")</f>
        <v>ファイル作成</v>
      </c>
      <c r="D732" t="str">
        <f ca="1">IFERROR(VLOOKUP($A732,bat!$F:$G,2,FALSE),"")</f>
        <v/>
      </c>
      <c r="E732" t="str">
        <f ca="1">IFERROR(VLOOKUP($A732,shell!$F:$G,2,FALSE),"")</f>
        <v/>
      </c>
      <c r="F732" t="str">
        <f t="shared" ca="1" si="102"/>
        <v>ファイル作成</v>
      </c>
      <c r="G732">
        <f ca="1">IF($F732="","",COUNTIF($F$3:$F732,$F732))</f>
        <v>1</v>
      </c>
      <c r="H732">
        <f ca="1">IF(OR(G732&gt;1,G732=""),"",COUNTIF($G$3:$G732,1))</f>
        <v>662</v>
      </c>
      <c r="I732" t="str">
        <f t="shared" ca="1" si="103"/>
        <v>ファイル作成</v>
      </c>
      <c r="K732">
        <f t="shared" si="107"/>
        <v>729</v>
      </c>
      <c r="L732" t="str">
        <f t="shared" ca="1" si="100"/>
        <v>ドライブ文字</v>
      </c>
      <c r="M732" s="2" t="str">
        <f t="shared" ca="1" si="99"/>
        <v/>
      </c>
      <c r="N732" s="2" t="str">
        <f t="shared" ca="1" si="101"/>
        <v/>
      </c>
      <c r="O732" s="2" t="str">
        <f t="shared" ca="1" si="104"/>
        <v>○</v>
      </c>
      <c r="P732" s="2" t="str">
        <f t="shared" ca="1" si="105"/>
        <v/>
      </c>
    </row>
    <row r="733" spans="1:16">
      <c r="A733">
        <f t="shared" si="106"/>
        <v>730</v>
      </c>
      <c r="B733" t="str">
        <f ca="1">IFERROR(VLOOKUP($A733,'vbs,vba'!$G:$H,2,FALSE),"")</f>
        <v/>
      </c>
      <c r="C733" t="str">
        <f ca="1">IFERROR(VLOOKUP($A733,python!$I:$J,2,FALSE),"")</f>
        <v>インポート</v>
      </c>
      <c r="D733" t="str">
        <f ca="1">IFERROR(VLOOKUP($A733,bat!$F:$G,2,FALSE),"")</f>
        <v/>
      </c>
      <c r="E733" t="str">
        <f ca="1">IFERROR(VLOOKUP($A733,shell!$F:$G,2,FALSE),"")</f>
        <v/>
      </c>
      <c r="F733" t="str">
        <f t="shared" ca="1" si="102"/>
        <v>インポート</v>
      </c>
      <c r="G733">
        <f ca="1">IF($F733="","",COUNTIF($F$3:$F733,$F733))</f>
        <v>3</v>
      </c>
      <c r="H733" t="str">
        <f ca="1">IF(OR(G733&gt;1,G733=""),"",COUNTIF($G$3:$G733,1))</f>
        <v/>
      </c>
      <c r="I733" t="str">
        <f t="shared" ca="1" si="103"/>
        <v>インポート</v>
      </c>
      <c r="K733">
        <f t="shared" si="107"/>
        <v>730</v>
      </c>
      <c r="L733" t="str">
        <f t="shared" ca="1" si="100"/>
        <v>パス</v>
      </c>
      <c r="M733" s="2" t="str">
        <f t="shared" ca="1" si="99"/>
        <v/>
      </c>
      <c r="N733" s="2" t="str">
        <f t="shared" ca="1" si="101"/>
        <v/>
      </c>
      <c r="O733" s="2" t="str">
        <f t="shared" ca="1" si="104"/>
        <v>○</v>
      </c>
      <c r="P733" s="2" t="str">
        <f t="shared" ca="1" si="105"/>
        <v/>
      </c>
    </row>
    <row r="734" spans="1:16">
      <c r="A734">
        <f t="shared" si="106"/>
        <v>731</v>
      </c>
      <c r="B734" t="str">
        <f ca="1">IFERROR(VLOOKUP($A734,'vbs,vba'!$G:$H,2,FALSE),"")</f>
        <v/>
      </c>
      <c r="C734" t="str">
        <f ca="1">IFERROR(VLOOKUP($A734,python!$I:$J,2,FALSE),"")</f>
        <v>基礎設定</v>
      </c>
      <c r="D734" t="str">
        <f ca="1">IFERROR(VLOOKUP($A734,bat!$F:$G,2,FALSE),"")</f>
        <v/>
      </c>
      <c r="E734" t="str">
        <f ca="1">IFERROR(VLOOKUP($A734,shell!$F:$G,2,FALSE),"")</f>
        <v/>
      </c>
      <c r="F734" t="str">
        <f t="shared" ca="1" si="102"/>
        <v>基礎設定</v>
      </c>
      <c r="G734">
        <f ca="1">IF($F734="","",COUNTIF($F$3:$F734,$F734))</f>
        <v>1</v>
      </c>
      <c r="H734">
        <f ca="1">IF(OR(G734&gt;1,G734=""),"",COUNTIF($G$3:$G734,1))</f>
        <v>663</v>
      </c>
      <c r="I734" t="str">
        <f t="shared" ca="1" si="103"/>
        <v>基礎設定</v>
      </c>
      <c r="K734">
        <f t="shared" si="107"/>
        <v>731</v>
      </c>
      <c r="L734" t="str">
        <f t="shared" ca="1" si="100"/>
        <v>ディレクトリパス</v>
      </c>
      <c r="M734" s="2" t="str">
        <f t="shared" ca="1" si="99"/>
        <v/>
      </c>
      <c r="N734" s="2" t="str">
        <f t="shared" ca="1" si="101"/>
        <v/>
      </c>
      <c r="O734" s="2" t="str">
        <f t="shared" ca="1" si="104"/>
        <v>○</v>
      </c>
      <c r="P734" s="2" t="str">
        <f t="shared" ca="1" si="105"/>
        <v/>
      </c>
    </row>
    <row r="735" spans="1:16">
      <c r="A735">
        <f t="shared" si="106"/>
        <v>732</v>
      </c>
      <c r="B735" t="str">
        <f ca="1">IFERROR(VLOOKUP($A735,'vbs,vba'!$G:$H,2,FALSE),"")</f>
        <v/>
      </c>
      <c r="C735" t="str">
        <f ca="1">IFERROR(VLOOKUP($A735,python!$I:$J,2,FALSE),"")</f>
        <v>ロガー設定</v>
      </c>
      <c r="D735" t="str">
        <f ca="1">IFERROR(VLOOKUP($A735,bat!$F:$G,2,FALSE),"")</f>
        <v/>
      </c>
      <c r="E735" t="str">
        <f ca="1">IFERROR(VLOOKUP($A735,shell!$F:$G,2,FALSE),"")</f>
        <v/>
      </c>
      <c r="F735" t="str">
        <f t="shared" ca="1" si="102"/>
        <v>ロガー設定</v>
      </c>
      <c r="G735">
        <f ca="1">IF($F735="","",COUNTIF($F$3:$F735,$F735))</f>
        <v>1</v>
      </c>
      <c r="H735">
        <f ca="1">IF(OR(G735&gt;1,G735=""),"",COUNTIF($G$3:$G735,1))</f>
        <v>664</v>
      </c>
      <c r="I735" t="str">
        <f t="shared" ca="1" si="103"/>
        <v>ロガー設定</v>
      </c>
      <c r="K735">
        <f t="shared" si="107"/>
        <v>732</v>
      </c>
      <c r="L735" t="str">
        <f t="shared" ca="1" si="100"/>
        <v>ファイル名</v>
      </c>
      <c r="M735" s="2" t="str">
        <f t="shared" ca="1" si="99"/>
        <v/>
      </c>
      <c r="N735" s="2" t="str">
        <f t="shared" ca="1" si="101"/>
        <v/>
      </c>
      <c r="O735" s="2" t="str">
        <f t="shared" ca="1" si="104"/>
        <v>○</v>
      </c>
      <c r="P735" s="2" t="str">
        <f t="shared" ca="1" si="105"/>
        <v/>
      </c>
    </row>
    <row r="736" spans="1:16">
      <c r="A736">
        <f t="shared" si="106"/>
        <v>733</v>
      </c>
      <c r="B736" t="str">
        <f ca="1">IFERROR(VLOOKUP($A736,'vbs,vba'!$G:$H,2,FALSE),"")</f>
        <v/>
      </c>
      <c r="C736" t="str">
        <f ca="1">IFERROR(VLOOKUP($A736,python!$I:$J,2,FALSE),"")</f>
        <v>ログ出力(DEBUG)</v>
      </c>
      <c r="D736" t="str">
        <f ca="1">IFERROR(VLOOKUP($A736,bat!$F:$G,2,FALSE),"")</f>
        <v/>
      </c>
      <c r="E736" t="str">
        <f ca="1">IFERROR(VLOOKUP($A736,shell!$F:$G,2,FALSE),"")</f>
        <v/>
      </c>
      <c r="F736" t="str">
        <f t="shared" ca="1" si="102"/>
        <v>ログ出力(DEBUG)</v>
      </c>
      <c r="G736">
        <f ca="1">IF($F736="","",COUNTIF($F$3:$F736,$F736))</f>
        <v>1</v>
      </c>
      <c r="H736">
        <f ca="1">IF(OR(G736&gt;1,G736=""),"",COUNTIF($G$3:$G736,1))</f>
        <v>665</v>
      </c>
      <c r="I736" t="str">
        <f t="shared" ca="1" si="103"/>
        <v>ログ出力(DEBUG)</v>
      </c>
      <c r="K736">
        <f t="shared" si="107"/>
        <v>733</v>
      </c>
      <c r="L736" t="str">
        <f t="shared" ca="1" si="100"/>
        <v>ファイル拡張子</v>
      </c>
      <c r="M736" s="2" t="str">
        <f t="shared" ca="1" si="99"/>
        <v/>
      </c>
      <c r="N736" s="2" t="str">
        <f t="shared" ca="1" si="101"/>
        <v/>
      </c>
      <c r="O736" s="2" t="str">
        <f t="shared" ca="1" si="104"/>
        <v>○</v>
      </c>
      <c r="P736" s="2" t="str">
        <f t="shared" ca="1" si="105"/>
        <v/>
      </c>
    </row>
    <row r="737" spans="1:16">
      <c r="A737">
        <f t="shared" si="106"/>
        <v>734</v>
      </c>
      <c r="B737" t="str">
        <f ca="1">IFERROR(VLOOKUP($A737,'vbs,vba'!$G:$H,2,FALSE),"")</f>
        <v/>
      </c>
      <c r="C737" t="str">
        <f ca="1">IFERROR(VLOOKUP($A737,python!$I:$J,2,FALSE),"")</f>
        <v>ログ出力(INFO)</v>
      </c>
      <c r="D737" t="str">
        <f ca="1">IFERROR(VLOOKUP($A737,bat!$F:$G,2,FALSE),"")</f>
        <v/>
      </c>
      <c r="E737" t="str">
        <f ca="1">IFERROR(VLOOKUP($A737,shell!$F:$G,2,FALSE),"")</f>
        <v/>
      </c>
      <c r="F737" t="str">
        <f t="shared" ca="1" si="102"/>
        <v>ログ出力(INFO)</v>
      </c>
      <c r="G737">
        <f ca="1">IF($F737="","",COUNTIF($F$3:$F737,$F737))</f>
        <v>1</v>
      </c>
      <c r="H737">
        <f ca="1">IF(OR(G737&gt;1,G737=""),"",COUNTIF($G$3:$G737,1))</f>
        <v>666</v>
      </c>
      <c r="I737" t="str">
        <f t="shared" ca="1" si="103"/>
        <v>ログ出力(INFO)</v>
      </c>
      <c r="K737">
        <f t="shared" si="107"/>
        <v>734</v>
      </c>
      <c r="L737" t="str">
        <f t="shared" ca="1" si="100"/>
        <v>ファイル名.拡張子</v>
      </c>
      <c r="M737" s="2" t="str">
        <f t="shared" ca="1" si="99"/>
        <v/>
      </c>
      <c r="N737" s="2" t="str">
        <f t="shared" ca="1" si="101"/>
        <v/>
      </c>
      <c r="O737" s="2" t="str">
        <f t="shared" ca="1" si="104"/>
        <v>○</v>
      </c>
      <c r="P737" s="2" t="str">
        <f t="shared" ca="1" si="105"/>
        <v/>
      </c>
    </row>
    <row r="738" spans="1:16">
      <c r="A738">
        <f t="shared" si="106"/>
        <v>735</v>
      </c>
      <c r="B738" t="str">
        <f ca="1">IFERROR(VLOOKUP($A738,'vbs,vba'!$G:$H,2,FALSE),"")</f>
        <v/>
      </c>
      <c r="C738" t="str">
        <f ca="1">IFERROR(VLOOKUP($A738,python!$I:$J,2,FALSE),"")</f>
        <v>ログ出力(WARNING)</v>
      </c>
      <c r="D738" t="str">
        <f ca="1">IFERROR(VLOOKUP($A738,bat!$F:$G,2,FALSE),"")</f>
        <v/>
      </c>
      <c r="E738" t="str">
        <f ca="1">IFERROR(VLOOKUP($A738,shell!$F:$G,2,FALSE),"")</f>
        <v/>
      </c>
      <c r="F738" t="str">
        <f t="shared" ca="1" si="102"/>
        <v>ログ出力(WARNING)</v>
      </c>
      <c r="G738">
        <f ca="1">IF($F738="","",COUNTIF($F$3:$F738,$F738))</f>
        <v>1</v>
      </c>
      <c r="H738">
        <f ca="1">IF(OR(G738&gt;1,G738=""),"",COUNTIF($G$3:$G738,1))</f>
        <v>667</v>
      </c>
      <c r="I738" t="str">
        <f t="shared" ca="1" si="103"/>
        <v>ログ出力(WARNING)</v>
      </c>
      <c r="K738">
        <f t="shared" si="107"/>
        <v>735</v>
      </c>
      <c r="L738" t="str">
        <f t="shared" ca="1" si="100"/>
        <v>フォルダ名</v>
      </c>
      <c r="M738" s="2" t="str">
        <f t="shared" ca="1" si="99"/>
        <v/>
      </c>
      <c r="N738" s="2" t="str">
        <f t="shared" ca="1" si="101"/>
        <v/>
      </c>
      <c r="O738" s="2" t="str">
        <f t="shared" ca="1" si="104"/>
        <v>○</v>
      </c>
      <c r="P738" s="2" t="str">
        <f t="shared" ca="1" si="105"/>
        <v/>
      </c>
    </row>
    <row r="739" spans="1:16">
      <c r="A739">
        <f t="shared" si="106"/>
        <v>736</v>
      </c>
      <c r="B739" t="str">
        <f ca="1">IFERROR(VLOOKUP($A739,'vbs,vba'!$G:$H,2,FALSE),"")</f>
        <v/>
      </c>
      <c r="C739" t="str">
        <f ca="1">IFERROR(VLOOKUP($A739,python!$I:$J,2,FALSE),"")</f>
        <v>ログ出力(ERROR)</v>
      </c>
      <c r="D739" t="str">
        <f ca="1">IFERROR(VLOOKUP($A739,bat!$F:$G,2,FALSE),"")</f>
        <v/>
      </c>
      <c r="E739" t="str">
        <f ca="1">IFERROR(VLOOKUP($A739,shell!$F:$G,2,FALSE),"")</f>
        <v/>
      </c>
      <c r="F739" t="str">
        <f t="shared" ca="1" si="102"/>
        <v>ログ出力(ERROR)</v>
      </c>
      <c r="G739">
        <f ca="1">IF($F739="","",COUNTIF($F$3:$F739,$F739))</f>
        <v>1</v>
      </c>
      <c r="H739">
        <f ca="1">IF(OR(G739&gt;1,G739=""),"",COUNTIF($G$3:$G739,1))</f>
        <v>668</v>
      </c>
      <c r="I739" t="str">
        <f t="shared" ca="1" si="103"/>
        <v>ログ出力(ERROR)</v>
      </c>
      <c r="K739">
        <f t="shared" si="107"/>
        <v>736</v>
      </c>
      <c r="L739" t="str">
        <f t="shared" ca="1" si="100"/>
        <v>短いパス</v>
      </c>
      <c r="M739" s="2" t="str">
        <f t="shared" ca="1" si="99"/>
        <v/>
      </c>
      <c r="N739" s="2" t="str">
        <f t="shared" ca="1" si="101"/>
        <v/>
      </c>
      <c r="O739" s="2" t="str">
        <f t="shared" ca="1" si="104"/>
        <v>○</v>
      </c>
      <c r="P739" s="2" t="str">
        <f t="shared" ca="1" si="105"/>
        <v/>
      </c>
    </row>
    <row r="740" spans="1:16">
      <c r="A740">
        <f t="shared" si="106"/>
        <v>737</v>
      </c>
      <c r="B740" t="str">
        <f ca="1">IFERROR(VLOOKUP($A740,'vbs,vba'!$G:$H,2,FALSE),"")</f>
        <v/>
      </c>
      <c r="C740" t="str">
        <f ca="1">IFERROR(VLOOKUP($A740,python!$I:$J,2,FALSE),"")</f>
        <v>ログ出力(CRITICAL)</v>
      </c>
      <c r="D740" t="str">
        <f ca="1">IFERROR(VLOOKUP($A740,bat!$F:$G,2,FALSE),"")</f>
        <v/>
      </c>
      <c r="E740" t="str">
        <f ca="1">IFERROR(VLOOKUP($A740,shell!$F:$G,2,FALSE),"")</f>
        <v/>
      </c>
      <c r="F740" t="str">
        <f t="shared" ca="1" si="102"/>
        <v>ログ出力(CRITICAL)</v>
      </c>
      <c r="G740">
        <f ca="1">IF($F740="","",COUNTIF($F$3:$F740,$F740))</f>
        <v>1</v>
      </c>
      <c r="H740">
        <f ca="1">IF(OR(G740&gt;1,G740=""),"",COUNTIF($G$3:$G740,1))</f>
        <v>669</v>
      </c>
      <c r="I740" t="str">
        <f t="shared" ca="1" si="103"/>
        <v>ログ出力(CRITICAL)</v>
      </c>
      <c r="K740">
        <f t="shared" si="107"/>
        <v>737</v>
      </c>
      <c r="L740" t="str">
        <f t="shared" ca="1" si="100"/>
        <v>ファイル属性</v>
      </c>
      <c r="M740" s="2" t="str">
        <f t="shared" ca="1" si="99"/>
        <v/>
      </c>
      <c r="N740" s="2" t="str">
        <f t="shared" ca="1" si="101"/>
        <v/>
      </c>
      <c r="O740" s="2" t="str">
        <f t="shared" ca="1" si="104"/>
        <v>○</v>
      </c>
      <c r="P740" s="2" t="str">
        <f t="shared" ca="1" si="105"/>
        <v/>
      </c>
    </row>
    <row r="741" spans="1:16">
      <c r="A741">
        <f t="shared" si="106"/>
        <v>738</v>
      </c>
      <c r="B741" t="str">
        <f ca="1">IFERROR(VLOOKUP($A741,'vbs,vba'!$G:$H,2,FALSE),"")</f>
        <v/>
      </c>
      <c r="C741" t="str">
        <f ca="1">IFERROR(VLOOKUP($A741,python!$I:$J,2,FALSE),"")</f>
        <v>インポート</v>
      </c>
      <c r="D741" t="str">
        <f ca="1">IFERROR(VLOOKUP($A741,bat!$F:$G,2,FALSE),"")</f>
        <v/>
      </c>
      <c r="E741" t="str">
        <f ca="1">IFERROR(VLOOKUP($A741,shell!$F:$G,2,FALSE),"")</f>
        <v/>
      </c>
      <c r="F741" t="str">
        <f t="shared" ca="1" si="102"/>
        <v>インポート</v>
      </c>
      <c r="G741">
        <f ca="1">IF($F741="","",COUNTIF($F$3:$F741,$F741))</f>
        <v>4</v>
      </c>
      <c r="H741" t="str">
        <f ca="1">IF(OR(G741&gt;1,G741=""),"",COUNTIF($G$3:$G741,1))</f>
        <v/>
      </c>
      <c r="I741" t="str">
        <f t="shared" ca="1" si="103"/>
        <v>インポート</v>
      </c>
      <c r="K741">
        <f t="shared" si="107"/>
        <v>738</v>
      </c>
      <c r="L741" t="str">
        <f t="shared" ca="1" si="100"/>
        <v>ファイル日付/時刻</v>
      </c>
      <c r="M741" s="2" t="str">
        <f t="shared" ca="1" si="99"/>
        <v/>
      </c>
      <c r="N741" s="2" t="str">
        <f t="shared" ca="1" si="101"/>
        <v/>
      </c>
      <c r="O741" s="2" t="str">
        <f t="shared" ca="1" si="104"/>
        <v>○</v>
      </c>
      <c r="P741" s="2" t="str">
        <f t="shared" ca="1" si="105"/>
        <v/>
      </c>
    </row>
    <row r="742" spans="1:16">
      <c r="A742">
        <f t="shared" si="106"/>
        <v>739</v>
      </c>
      <c r="B742" t="str">
        <f ca="1">IFERROR(VLOOKUP($A742,'vbs,vba'!$G:$H,2,FALSE),"")</f>
        <v/>
      </c>
      <c r="C742" t="str">
        <f ca="1">IFERROR(VLOOKUP($A742,python!$I:$J,2,FALSE),"")</f>
        <v>パーサー用関数定義</v>
      </c>
      <c r="D742" t="str">
        <f ca="1">IFERROR(VLOOKUP($A742,bat!$F:$G,2,FALSE),"")</f>
        <v/>
      </c>
      <c r="E742" t="str">
        <f ca="1">IFERROR(VLOOKUP($A742,shell!$F:$G,2,FALSE),"")</f>
        <v/>
      </c>
      <c r="F742" t="str">
        <f t="shared" ca="1" si="102"/>
        <v>パーサー用関数定義</v>
      </c>
      <c r="G742">
        <f ca="1">IF($F742="","",COUNTIF($F$3:$F742,$F742))</f>
        <v>1</v>
      </c>
      <c r="H742">
        <f ca="1">IF(OR(G742&gt;1,G742=""),"",COUNTIF($G$3:$G742,1))</f>
        <v>670</v>
      </c>
      <c r="I742" t="str">
        <f t="shared" ca="1" si="103"/>
        <v>パーサー用関数定義</v>
      </c>
      <c r="K742">
        <f t="shared" si="107"/>
        <v>739</v>
      </c>
      <c r="L742" t="str">
        <f t="shared" ca="1" si="100"/>
        <v>ファイルサイズ</v>
      </c>
      <c r="M742" s="2" t="str">
        <f t="shared" ca="1" si="99"/>
        <v/>
      </c>
      <c r="N742" s="2" t="str">
        <f t="shared" ca="1" si="101"/>
        <v/>
      </c>
      <c r="O742" s="2" t="str">
        <f t="shared" ca="1" si="104"/>
        <v>○</v>
      </c>
      <c r="P742" s="2" t="str">
        <f t="shared" ca="1" si="105"/>
        <v/>
      </c>
    </row>
    <row r="743" spans="1:16">
      <c r="A743">
        <f t="shared" si="106"/>
        <v>740</v>
      </c>
      <c r="B743" t="str">
        <f ca="1">IFERROR(VLOOKUP($A743,'vbs,vba'!$G:$H,2,FALSE),"")</f>
        <v/>
      </c>
      <c r="C743" t="str">
        <f ca="1">IFERROR(VLOOKUP($A743,python!$I:$J,2,FALSE),"")</f>
        <v>パーサー定義</v>
      </c>
      <c r="D743" t="str">
        <f ca="1">IFERROR(VLOOKUP($A743,bat!$F:$G,2,FALSE),"")</f>
        <v/>
      </c>
      <c r="E743" t="str">
        <f ca="1">IFERROR(VLOOKUP($A743,shell!$F:$G,2,FALSE),"")</f>
        <v/>
      </c>
      <c r="F743" t="str">
        <f t="shared" ca="1" si="102"/>
        <v>パーサー定義</v>
      </c>
      <c r="G743">
        <f ca="1">IF($F743="","",COUNTIF($F$3:$F743,$F743))</f>
        <v>1</v>
      </c>
      <c r="H743">
        <f ca="1">IF(OR(G743&gt;1,G743=""),"",COUNTIF($G$3:$G743,1))</f>
        <v>671</v>
      </c>
      <c r="I743" t="str">
        <f t="shared" ca="1" si="103"/>
        <v>パーサー定義</v>
      </c>
      <c r="K743">
        <f t="shared" si="107"/>
        <v>740</v>
      </c>
      <c r="L743" t="str">
        <f t="shared" ca="1" si="100"/>
        <v>ファイル 移動</v>
      </c>
      <c r="M743" s="2" t="str">
        <f t="shared" ca="1" si="99"/>
        <v/>
      </c>
      <c r="N743" s="2" t="str">
        <f t="shared" ca="1" si="101"/>
        <v/>
      </c>
      <c r="O743" s="2" t="str">
        <f t="shared" ca="1" si="104"/>
        <v>○</v>
      </c>
      <c r="P743" s="2" t="str">
        <f t="shared" ca="1" si="105"/>
        <v/>
      </c>
    </row>
    <row r="744" spans="1:16">
      <c r="A744">
        <f t="shared" si="106"/>
        <v>741</v>
      </c>
      <c r="B744" t="str">
        <f ca="1">IFERROR(VLOOKUP($A744,'vbs,vba'!$G:$H,2,FALSE),"")</f>
        <v/>
      </c>
      <c r="C744" t="str">
        <f ca="1">IFERROR(VLOOKUP($A744,python!$I:$J,2,FALSE),"")</f>
        <v>引数定義（短縮オプションあり）</v>
      </c>
      <c r="D744" t="str">
        <f ca="1">IFERROR(VLOOKUP($A744,bat!$F:$G,2,FALSE),"")</f>
        <v/>
      </c>
      <c r="E744" t="str">
        <f ca="1">IFERROR(VLOOKUP($A744,shell!$F:$G,2,FALSE),"")</f>
        <v/>
      </c>
      <c r="F744" t="str">
        <f t="shared" ca="1" si="102"/>
        <v>引数定義（短縮オプションあり）</v>
      </c>
      <c r="G744">
        <f ca="1">IF($F744="","",COUNTIF($F$3:$F744,$F744))</f>
        <v>1</v>
      </c>
      <c r="H744">
        <f ca="1">IF(OR(G744&gt;1,G744=""),"",COUNTIF($G$3:$G744,1))</f>
        <v>672</v>
      </c>
      <c r="I744" t="str">
        <f t="shared" ca="1" si="103"/>
        <v>引数定義（短縮オプションあり）</v>
      </c>
      <c r="K744">
        <f t="shared" si="107"/>
        <v>741</v>
      </c>
      <c r="L744" t="str">
        <f t="shared" ca="1" si="100"/>
        <v>ファイル コピー</v>
      </c>
      <c r="M744" s="2" t="str">
        <f t="shared" ca="1" si="99"/>
        <v/>
      </c>
      <c r="N744" s="2" t="str">
        <f t="shared" ca="1" si="101"/>
        <v/>
      </c>
      <c r="O744" s="2" t="str">
        <f t="shared" ca="1" si="104"/>
        <v>○</v>
      </c>
      <c r="P744" s="2" t="str">
        <f t="shared" ca="1" si="105"/>
        <v/>
      </c>
    </row>
    <row r="745" spans="1:16">
      <c r="A745">
        <f t="shared" si="106"/>
        <v>742</v>
      </c>
      <c r="B745" t="str">
        <f ca="1">IFERROR(VLOOKUP($A745,'vbs,vba'!$G:$H,2,FALSE),"")</f>
        <v/>
      </c>
      <c r="C745" t="str">
        <f ca="1">IFERROR(VLOOKUP($A745,python!$I:$J,2,FALSE),"")</f>
        <v>引数定義（短縮オプションなし）（str）</v>
      </c>
      <c r="D745" t="str">
        <f ca="1">IFERROR(VLOOKUP($A745,bat!$F:$G,2,FALSE),"")</f>
        <v/>
      </c>
      <c r="E745" t="str">
        <f ca="1">IFERROR(VLOOKUP($A745,shell!$F:$G,2,FALSE),"")</f>
        <v/>
      </c>
      <c r="F745" t="str">
        <f t="shared" ca="1" si="102"/>
        <v>引数定義（短縮オプションなし）（str）</v>
      </c>
      <c r="G745">
        <f ca="1">IF($F745="","",COUNTIF($F$3:$F745,$F745))</f>
        <v>1</v>
      </c>
      <c r="H745">
        <f ca="1">IF(OR(G745&gt;1,G745=""),"",COUNTIF($G$3:$G745,1))</f>
        <v>673</v>
      </c>
      <c r="I745" t="str">
        <f t="shared" ca="1" si="103"/>
        <v>引数定義（短縮オプションなし）（str）</v>
      </c>
      <c r="K745">
        <f t="shared" si="107"/>
        <v>742</v>
      </c>
      <c r="L745" t="str">
        <f t="shared" ca="1" si="100"/>
        <v>フォルダ 名称変更</v>
      </c>
      <c r="M745" s="2" t="str">
        <f t="shared" ca="1" si="99"/>
        <v/>
      </c>
      <c r="N745" s="2" t="str">
        <f t="shared" ca="1" si="101"/>
        <v/>
      </c>
      <c r="O745" s="2" t="str">
        <f t="shared" ca="1" si="104"/>
        <v>○</v>
      </c>
      <c r="P745" s="2" t="str">
        <f t="shared" ca="1" si="105"/>
        <v/>
      </c>
    </row>
    <row r="746" spans="1:16">
      <c r="A746">
        <f t="shared" si="106"/>
        <v>743</v>
      </c>
      <c r="B746" t="str">
        <f ca="1">IFERROR(VLOOKUP($A746,'vbs,vba'!$G:$H,2,FALSE),"")</f>
        <v/>
      </c>
      <c r="C746" t="str">
        <f ca="1">IFERROR(VLOOKUP($A746,python!$I:$J,2,FALSE),"")</f>
        <v>引数定義（短縮オプションなし）（float）</v>
      </c>
      <c r="D746" t="str">
        <f ca="1">IFERROR(VLOOKUP($A746,bat!$F:$G,2,FALSE),"")</f>
        <v/>
      </c>
      <c r="E746" t="str">
        <f ca="1">IFERROR(VLOOKUP($A746,shell!$F:$G,2,FALSE),"")</f>
        <v/>
      </c>
      <c r="F746" t="str">
        <f t="shared" ca="1" si="102"/>
        <v>引数定義（短縮オプションなし）（float）</v>
      </c>
      <c r="G746">
        <f ca="1">IF($F746="","",COUNTIF($F$3:$F746,$F746))</f>
        <v>1</v>
      </c>
      <c r="H746">
        <f ca="1">IF(OR(G746&gt;1,G746=""),"",COUNTIF($G$3:$G746,1))</f>
        <v>674</v>
      </c>
      <c r="I746" t="str">
        <f t="shared" ca="1" si="103"/>
        <v>引数定義（短縮オプションなし）（float）</v>
      </c>
      <c r="K746">
        <f t="shared" si="107"/>
        <v>743</v>
      </c>
      <c r="L746" t="str">
        <f t="shared" ca="1" si="100"/>
        <v>フォルダ 移動</v>
      </c>
      <c r="M746" s="2" t="str">
        <f t="shared" ca="1" si="99"/>
        <v/>
      </c>
      <c r="N746" s="2" t="str">
        <f t="shared" ca="1" si="101"/>
        <v/>
      </c>
      <c r="O746" s="2" t="str">
        <f t="shared" ca="1" si="104"/>
        <v>○</v>
      </c>
      <c r="P746" s="2" t="str">
        <f t="shared" ca="1" si="105"/>
        <v/>
      </c>
    </row>
    <row r="747" spans="1:16">
      <c r="A747">
        <f t="shared" si="106"/>
        <v>744</v>
      </c>
      <c r="B747" t="str">
        <f ca="1">IFERROR(VLOOKUP($A747,'vbs,vba'!$G:$H,2,FALSE),"")</f>
        <v/>
      </c>
      <c r="C747" t="str">
        <f ca="1">IFERROR(VLOOKUP($A747,python!$I:$J,2,FALSE),"")</f>
        <v>引数定義（短縮オプションなし）（int）</v>
      </c>
      <c r="D747" t="str">
        <f ca="1">IFERROR(VLOOKUP($A747,bat!$F:$G,2,FALSE),"")</f>
        <v/>
      </c>
      <c r="E747" t="str">
        <f ca="1">IFERROR(VLOOKUP($A747,shell!$F:$G,2,FALSE),"")</f>
        <v/>
      </c>
      <c r="F747" t="str">
        <f t="shared" ca="1" si="102"/>
        <v>引数定義（短縮オプションなし）（int）</v>
      </c>
      <c r="G747">
        <f ca="1">IF($F747="","",COUNTIF($F$3:$F747,$F747))</f>
        <v>1</v>
      </c>
      <c r="H747">
        <f ca="1">IF(OR(G747&gt;1,G747=""),"",COUNTIF($G$3:$G747,1))</f>
        <v>675</v>
      </c>
      <c r="I747" t="str">
        <f t="shared" ca="1" si="103"/>
        <v>引数定義（短縮オプションなし）（int）</v>
      </c>
      <c r="K747">
        <f t="shared" si="107"/>
        <v>744</v>
      </c>
      <c r="L747" t="str">
        <f t="shared" ca="1" si="100"/>
        <v>フォルダ同期</v>
      </c>
      <c r="M747" s="2" t="str">
        <f t="shared" ca="1" si="99"/>
        <v/>
      </c>
      <c r="N747" s="2" t="str">
        <f t="shared" ca="1" si="101"/>
        <v/>
      </c>
      <c r="O747" s="2" t="str">
        <f t="shared" ca="1" si="104"/>
        <v>○</v>
      </c>
      <c r="P747" s="2" t="str">
        <f t="shared" ca="1" si="105"/>
        <v/>
      </c>
    </row>
    <row r="748" spans="1:16">
      <c r="A748">
        <f t="shared" si="106"/>
        <v>745</v>
      </c>
      <c r="B748" t="str">
        <f ca="1">IFERROR(VLOOKUP($A748,'vbs,vba'!$G:$H,2,FALSE),"")</f>
        <v/>
      </c>
      <c r="C748" t="str">
        <f ca="1">IFERROR(VLOOKUP($A748,python!$I:$J,2,FALSE),"")</f>
        <v>引数定義（短縮オプションなし）（bool (--flag true形式)）</v>
      </c>
      <c r="D748" t="str">
        <f ca="1">IFERROR(VLOOKUP($A748,bat!$F:$G,2,FALSE),"")</f>
        <v/>
      </c>
      <c r="E748" t="str">
        <f ca="1">IFERROR(VLOOKUP($A748,shell!$F:$G,2,FALSE),"")</f>
        <v/>
      </c>
      <c r="F748" t="str">
        <f t="shared" ca="1" si="102"/>
        <v>引数定義（短縮オプションなし）（bool (--flag true形式)）</v>
      </c>
      <c r="G748">
        <f ca="1">IF($F748="","",COUNTIF($F$3:$F748,$F748))</f>
        <v>1</v>
      </c>
      <c r="H748">
        <f ca="1">IF(OR(G748&gt;1,G748=""),"",COUNTIF($G$3:$G748,1))</f>
        <v>676</v>
      </c>
      <c r="I748" t="str">
        <f t="shared" ca="1" si="103"/>
        <v>引数定義（短縮オプションなし）（bool (--flag true形式)）</v>
      </c>
      <c r="K748">
        <f t="shared" si="107"/>
        <v>745</v>
      </c>
      <c r="L748" t="str">
        <f t="shared" ca="1" si="100"/>
        <v>ファイル＆フォルダ ツリー取得(ファイル＆フォルダ)</v>
      </c>
      <c r="M748" s="2" t="str">
        <f t="shared" ca="1" si="99"/>
        <v/>
      </c>
      <c r="N748" s="2" t="str">
        <f t="shared" ca="1" si="101"/>
        <v/>
      </c>
      <c r="O748" s="2" t="str">
        <f t="shared" ca="1" si="104"/>
        <v>○</v>
      </c>
      <c r="P748" s="2" t="str">
        <f t="shared" ca="1" si="105"/>
        <v/>
      </c>
    </row>
    <row r="749" spans="1:16">
      <c r="A749">
        <f t="shared" si="106"/>
        <v>746</v>
      </c>
      <c r="B749" t="str">
        <f ca="1">IFERROR(VLOOKUP($A749,'vbs,vba'!$G:$H,2,FALSE),"")</f>
        <v/>
      </c>
      <c r="C749" t="str">
        <f ca="1">IFERROR(VLOOKUP($A749,python!$I:$J,2,FALSE),"")</f>
        <v>引数定義（短縮オプションなし）（bool (--flag 形式)）</v>
      </c>
      <c r="D749" t="str">
        <f ca="1">IFERROR(VLOOKUP($A749,bat!$F:$G,2,FALSE),"")</f>
        <v/>
      </c>
      <c r="E749" t="str">
        <f ca="1">IFERROR(VLOOKUP($A749,shell!$F:$G,2,FALSE),"")</f>
        <v/>
      </c>
      <c r="F749" t="str">
        <f t="shared" ca="1" si="102"/>
        <v>引数定義（短縮オプションなし）（bool (--flag 形式)）</v>
      </c>
      <c r="G749">
        <f ca="1">IF($F749="","",COUNTIF($F$3:$F749,$F749))</f>
        <v>1</v>
      </c>
      <c r="H749">
        <f ca="1">IF(OR(G749&gt;1,G749=""),"",COUNTIF($G$3:$G749,1))</f>
        <v>677</v>
      </c>
      <c r="I749" t="str">
        <f t="shared" ca="1" si="103"/>
        <v>引数定義（短縮オプションなし）（bool (--flag 形式)）</v>
      </c>
      <c r="K749">
        <f t="shared" si="107"/>
        <v>746</v>
      </c>
      <c r="L749" t="str">
        <f t="shared" ca="1" si="100"/>
        <v>ファイル＆フォルダ ツリー取得(フォルダのみ)</v>
      </c>
      <c r="M749" s="2" t="str">
        <f t="shared" ca="1" si="99"/>
        <v/>
      </c>
      <c r="N749" s="2" t="str">
        <f t="shared" ca="1" si="101"/>
        <v/>
      </c>
      <c r="O749" s="2" t="str">
        <f t="shared" ca="1" si="104"/>
        <v>○</v>
      </c>
      <c r="P749" s="2" t="str">
        <f t="shared" ca="1" si="105"/>
        <v/>
      </c>
    </row>
    <row r="750" spans="1:16">
      <c r="A750">
        <f t="shared" si="106"/>
        <v>747</v>
      </c>
      <c r="B750" t="str">
        <f ca="1">IFERROR(VLOOKUP($A750,'vbs,vba'!$G:$H,2,FALSE),"")</f>
        <v/>
      </c>
      <c r="C750" t="str">
        <f ca="1">IFERROR(VLOOKUP($A750,python!$I:$J,2,FALSE),"")</f>
        <v>引数定義（短縮オプションなし）（enum）</v>
      </c>
      <c r="D750" t="str">
        <f ca="1">IFERROR(VLOOKUP($A750,bat!$F:$G,2,FALSE),"")</f>
        <v/>
      </c>
      <c r="E750" t="str">
        <f ca="1">IFERROR(VLOOKUP($A750,shell!$F:$G,2,FALSE),"")</f>
        <v/>
      </c>
      <c r="F750" t="str">
        <f t="shared" ca="1" si="102"/>
        <v>引数定義（短縮オプションなし）（enum）</v>
      </c>
      <c r="G750">
        <f ca="1">IF($F750="","",COUNTIF($F$3:$F750,$F750))</f>
        <v>1</v>
      </c>
      <c r="H750">
        <f ca="1">IF(OR(G750&gt;1,G750=""),"",COUNTIF($G$3:$G750,1))</f>
        <v>678</v>
      </c>
      <c r="I750" t="str">
        <f t="shared" ca="1" si="103"/>
        <v>引数定義（短縮オプションなし）（enum）</v>
      </c>
      <c r="K750">
        <f t="shared" si="107"/>
        <v>747</v>
      </c>
      <c r="L750" t="str">
        <f t="shared" ca="1" si="100"/>
        <v>パス一覧取得(ファイル＆フォルダ)</v>
      </c>
      <c r="M750" s="2" t="str">
        <f t="shared" ca="1" si="99"/>
        <v/>
      </c>
      <c r="N750" s="2" t="str">
        <f t="shared" ca="1" si="101"/>
        <v/>
      </c>
      <c r="O750" s="2" t="str">
        <f t="shared" ca="1" si="104"/>
        <v>○</v>
      </c>
      <c r="P750" s="2" t="str">
        <f t="shared" ca="1" si="105"/>
        <v/>
      </c>
    </row>
    <row r="751" spans="1:16">
      <c r="A751">
        <f t="shared" si="106"/>
        <v>748</v>
      </c>
      <c r="B751" t="str">
        <f ca="1">IFERROR(VLOOKUP($A751,'vbs,vba'!$G:$H,2,FALSE),"")</f>
        <v/>
      </c>
      <c r="C751" t="str">
        <f ca="1">IFERROR(VLOOKUP($A751,python!$I:$J,2,FALSE),"")</f>
        <v>引数取得用変数定義</v>
      </c>
      <c r="D751" t="str">
        <f ca="1">IFERROR(VLOOKUP($A751,bat!$F:$G,2,FALSE),"")</f>
        <v/>
      </c>
      <c r="E751" t="str">
        <f ca="1">IFERROR(VLOOKUP($A751,shell!$F:$G,2,FALSE),"")</f>
        <v/>
      </c>
      <c r="F751" t="str">
        <f t="shared" ca="1" si="102"/>
        <v>引数取得用変数定義</v>
      </c>
      <c r="G751">
        <f ca="1">IF($F751="","",COUNTIF($F$3:$F751,$F751))</f>
        <v>1</v>
      </c>
      <c r="H751">
        <f ca="1">IF(OR(G751&gt;1,G751=""),"",COUNTIF($G$3:$G751,1))</f>
        <v>679</v>
      </c>
      <c r="I751" t="str">
        <f t="shared" ca="1" si="103"/>
        <v>引数取得用変数定義</v>
      </c>
      <c r="K751">
        <f t="shared" si="107"/>
        <v>748</v>
      </c>
      <c r="L751" t="str">
        <f t="shared" ca="1" si="100"/>
        <v>パス一覧取得(フォルダのみ)</v>
      </c>
      <c r="M751" s="2" t="str">
        <f t="shared" ca="1" si="99"/>
        <v/>
      </c>
      <c r="N751" s="2" t="str">
        <f t="shared" ca="1" si="101"/>
        <v/>
      </c>
      <c r="O751" s="2" t="str">
        <f t="shared" ca="1" si="104"/>
        <v>○</v>
      </c>
      <c r="P751" s="2" t="str">
        <f t="shared" ca="1" si="105"/>
        <v/>
      </c>
    </row>
    <row r="752" spans="1:16">
      <c r="A752">
        <f t="shared" si="106"/>
        <v>749</v>
      </c>
      <c r="B752" t="str">
        <f ca="1">IFERROR(VLOOKUP($A752,'vbs,vba'!$G:$H,2,FALSE),"")</f>
        <v/>
      </c>
      <c r="C752" t="str">
        <f ca="1">IFERROR(VLOOKUP($A752,python!$I:$J,2,FALSE),"")</f>
        <v>引数代入（str）</v>
      </c>
      <c r="D752" t="str">
        <f ca="1">IFERROR(VLOOKUP($A752,bat!$F:$G,2,FALSE),"")</f>
        <v/>
      </c>
      <c r="E752" t="str">
        <f ca="1">IFERROR(VLOOKUP($A752,shell!$F:$G,2,FALSE),"")</f>
        <v/>
      </c>
      <c r="F752" t="str">
        <f t="shared" ca="1" si="102"/>
        <v>引数代入（str）</v>
      </c>
      <c r="G752">
        <f ca="1">IF($F752="","",COUNTIF($F$3:$F752,$F752))</f>
        <v>1</v>
      </c>
      <c r="H752">
        <f ca="1">IF(OR(G752&gt;1,G752=""),"",COUNTIF($G$3:$G752,1))</f>
        <v>680</v>
      </c>
      <c r="I752" t="str">
        <f t="shared" ca="1" si="103"/>
        <v>引数代入（str）</v>
      </c>
      <c r="K752">
        <f t="shared" si="107"/>
        <v>749</v>
      </c>
      <c r="L752" t="str">
        <f t="shared" ca="1" si="100"/>
        <v>パス一覧取得(ファイルのみ)</v>
      </c>
      <c r="M752" s="2" t="str">
        <f t="shared" ca="1" si="99"/>
        <v/>
      </c>
      <c r="N752" s="2" t="str">
        <f t="shared" ca="1" si="101"/>
        <v/>
      </c>
      <c r="O752" s="2" t="str">
        <f t="shared" ca="1" si="104"/>
        <v>○</v>
      </c>
      <c r="P752" s="2" t="str">
        <f t="shared" ca="1" si="105"/>
        <v/>
      </c>
    </row>
    <row r="753" spans="1:16">
      <c r="A753">
        <f t="shared" si="106"/>
        <v>750</v>
      </c>
      <c r="B753" t="str">
        <f ca="1">IFERROR(VLOOKUP($A753,'vbs,vba'!$G:$H,2,FALSE),"")</f>
        <v/>
      </c>
      <c r="C753" t="str">
        <f ca="1">IFERROR(VLOOKUP($A753,python!$I:$J,2,FALSE),"")</f>
        <v>引数代入（float）</v>
      </c>
      <c r="D753" t="str">
        <f ca="1">IFERROR(VLOOKUP($A753,bat!$F:$G,2,FALSE),"")</f>
        <v/>
      </c>
      <c r="E753" t="str">
        <f ca="1">IFERROR(VLOOKUP($A753,shell!$F:$G,2,FALSE),"")</f>
        <v/>
      </c>
      <c r="F753" t="str">
        <f t="shared" ca="1" si="102"/>
        <v>引数代入（float）</v>
      </c>
      <c r="G753">
        <f ca="1">IF($F753="","",COUNTIF($F$3:$F753,$F753))</f>
        <v>1</v>
      </c>
      <c r="H753">
        <f ca="1">IF(OR(G753&gt;1,G753=""),"",COUNTIF($G$3:$G753,1))</f>
        <v>681</v>
      </c>
      <c r="I753" t="str">
        <f t="shared" ca="1" si="103"/>
        <v>引数代入（float）</v>
      </c>
      <c r="K753">
        <f t="shared" si="107"/>
        <v>750</v>
      </c>
      <c r="L753" t="str">
        <f t="shared" ca="1" si="100"/>
        <v>パス一覧取得(.c、.hファイルのみ)</v>
      </c>
      <c r="M753" s="2" t="str">
        <f t="shared" ca="1" si="99"/>
        <v/>
      </c>
      <c r="N753" s="2" t="str">
        <f t="shared" ca="1" si="101"/>
        <v/>
      </c>
      <c r="O753" s="2" t="str">
        <f t="shared" ca="1" si="104"/>
        <v>○</v>
      </c>
      <c r="P753" s="2" t="str">
        <f t="shared" ca="1" si="105"/>
        <v/>
      </c>
    </row>
    <row r="754" spans="1:16">
      <c r="A754">
        <f t="shared" si="106"/>
        <v>751</v>
      </c>
      <c r="B754" t="str">
        <f ca="1">IFERROR(VLOOKUP($A754,'vbs,vba'!$G:$H,2,FALSE),"")</f>
        <v/>
      </c>
      <c r="C754" t="str">
        <f ca="1">IFERROR(VLOOKUP($A754,python!$I:$J,2,FALSE),"")</f>
        <v>引数代入（int）</v>
      </c>
      <c r="D754" t="str">
        <f ca="1">IFERROR(VLOOKUP($A754,bat!$F:$G,2,FALSE),"")</f>
        <v/>
      </c>
      <c r="E754" t="str">
        <f ca="1">IFERROR(VLOOKUP($A754,shell!$F:$G,2,FALSE),"")</f>
        <v/>
      </c>
      <c r="F754" t="str">
        <f t="shared" ca="1" si="102"/>
        <v>引数代入（int）</v>
      </c>
      <c r="G754">
        <f ca="1">IF($F754="","",COUNTIF($F$3:$F754,$F754))</f>
        <v>1</v>
      </c>
      <c r="H754">
        <f ca="1">IF(OR(G754&gt;1,G754=""),"",COUNTIF($G$3:$G754,1))</f>
        <v>682</v>
      </c>
      <c r="I754" t="str">
        <f t="shared" ca="1" si="103"/>
        <v>引数代入（int）</v>
      </c>
      <c r="K754">
        <f t="shared" si="107"/>
        <v>751</v>
      </c>
      <c r="L754" t="str">
        <f t="shared" ca="1" si="100"/>
        <v>シンボリックリンク作成（フォルダ）</v>
      </c>
      <c r="M754" s="2" t="str">
        <f t="shared" ref="M754:M817" ca="1" si="108">IF($L754="","",IF(COUNTIF(B$3:B$1004,$L754)&gt;0,"○",""))</f>
        <v/>
      </c>
      <c r="N754" s="2" t="str">
        <f t="shared" ca="1" si="101"/>
        <v/>
      </c>
      <c r="O754" s="2" t="str">
        <f t="shared" ca="1" si="104"/>
        <v>○</v>
      </c>
      <c r="P754" s="2" t="str">
        <f t="shared" ca="1" si="105"/>
        <v/>
      </c>
    </row>
    <row r="755" spans="1:16">
      <c r="A755">
        <f t="shared" si="106"/>
        <v>752</v>
      </c>
      <c r="B755" t="str">
        <f ca="1">IFERROR(VLOOKUP($A755,'vbs,vba'!$G:$H,2,FALSE),"")</f>
        <v/>
      </c>
      <c r="C755" t="str">
        <f ca="1">IFERROR(VLOOKUP($A755,python!$I:$J,2,FALSE),"")</f>
        <v>引数代入（bool）</v>
      </c>
      <c r="D755" t="str">
        <f ca="1">IFERROR(VLOOKUP($A755,bat!$F:$G,2,FALSE),"")</f>
        <v/>
      </c>
      <c r="E755" t="str">
        <f ca="1">IFERROR(VLOOKUP($A755,shell!$F:$G,2,FALSE),"")</f>
        <v/>
      </c>
      <c r="F755" t="str">
        <f t="shared" ca="1" si="102"/>
        <v>引数代入（bool）</v>
      </c>
      <c r="G755">
        <f ca="1">IF($F755="","",COUNTIF($F$3:$F755,$F755))</f>
        <v>1</v>
      </c>
      <c r="H755">
        <f ca="1">IF(OR(G755&gt;1,G755=""),"",COUNTIF($G$3:$G755,1))</f>
        <v>683</v>
      </c>
      <c r="I755" t="str">
        <f t="shared" ca="1" si="103"/>
        <v>引数代入（bool）</v>
      </c>
      <c r="K755">
        <f t="shared" si="107"/>
        <v>752</v>
      </c>
      <c r="L755" t="str">
        <f t="shared" ca="1" si="100"/>
        <v>シンボリックリンク作成（ファイル）</v>
      </c>
      <c r="M755" s="2" t="str">
        <f t="shared" ca="1" si="108"/>
        <v/>
      </c>
      <c r="N755" s="2" t="str">
        <f t="shared" ca="1" si="101"/>
        <v/>
      </c>
      <c r="O755" s="2" t="str">
        <f t="shared" ca="1" si="104"/>
        <v>○</v>
      </c>
      <c r="P755" s="2" t="str">
        <f t="shared" ca="1" si="105"/>
        <v/>
      </c>
    </row>
    <row r="756" spans="1:16">
      <c r="A756">
        <f t="shared" si="106"/>
        <v>753</v>
      </c>
      <c r="B756" t="str">
        <f ca="1">IFERROR(VLOOKUP($A756,'vbs,vba'!$G:$H,2,FALSE),"")</f>
        <v/>
      </c>
      <c r="C756" t="str">
        <f ca="1">IFERROR(VLOOKUP($A756,python!$I:$J,2,FALSE),"")</f>
        <v>引数代入（enum）</v>
      </c>
      <c r="D756" t="str">
        <f ca="1">IFERROR(VLOOKUP($A756,bat!$F:$G,2,FALSE),"")</f>
        <v/>
      </c>
      <c r="E756" t="str">
        <f ca="1">IFERROR(VLOOKUP($A756,shell!$F:$G,2,FALSE),"")</f>
        <v/>
      </c>
      <c r="F756" t="str">
        <f t="shared" ca="1" si="102"/>
        <v>引数代入（enum）</v>
      </c>
      <c r="G756">
        <f ca="1">IF($F756="","",COUNTIF($F$3:$F756,$F756))</f>
        <v>1</v>
      </c>
      <c r="H756">
        <f ca="1">IF(OR(G756&gt;1,G756=""),"",COUNTIF($G$3:$G756,1))</f>
        <v>684</v>
      </c>
      <c r="I756" t="str">
        <f t="shared" ca="1" si="103"/>
        <v>引数代入（enum）</v>
      </c>
      <c r="K756">
        <f t="shared" si="107"/>
        <v>753</v>
      </c>
      <c r="L756" t="str">
        <f t="shared" ca="1" si="100"/>
        <v>ショートカットファイル作成（フォルダ/ファイル）</v>
      </c>
      <c r="M756" s="2" t="str">
        <f t="shared" ca="1" si="108"/>
        <v/>
      </c>
      <c r="N756" s="2" t="str">
        <f t="shared" ca="1" si="101"/>
        <v/>
      </c>
      <c r="O756" s="2" t="str">
        <f t="shared" ca="1" si="104"/>
        <v>○</v>
      </c>
      <c r="P756" s="2" t="str">
        <f t="shared" ca="1" si="105"/>
        <v/>
      </c>
    </row>
    <row r="757" spans="1:16">
      <c r="A757">
        <f t="shared" si="106"/>
        <v>754</v>
      </c>
      <c r="B757" t="str">
        <f ca="1">IFERROR(VLOOKUP($A757,'vbs,vba'!$G:$H,2,FALSE),"")</f>
        <v/>
      </c>
      <c r="C757" t="str">
        <f ca="1">IFERROR(VLOOKUP($A757,python!$I:$J,2,FALSE),"")</f>
        <v>インポート</v>
      </c>
      <c r="D757" t="str">
        <f ca="1">IFERROR(VLOOKUP($A757,bat!$F:$G,2,FALSE),"")</f>
        <v/>
      </c>
      <c r="E757" t="str">
        <f ca="1">IFERROR(VLOOKUP($A757,shell!$F:$G,2,FALSE),"")</f>
        <v/>
      </c>
      <c r="F757" t="str">
        <f t="shared" ca="1" si="102"/>
        <v>インポート</v>
      </c>
      <c r="G757">
        <f ca="1">IF($F757="","",COUNTIF($F$3:$F757,$F757))</f>
        <v>5</v>
      </c>
      <c r="H757" t="str">
        <f ca="1">IF(OR(G757&gt;1,G757=""),"",COUNTIF($G$3:$G757,1))</f>
        <v/>
      </c>
      <c r="I757" t="str">
        <f t="shared" ca="1" si="103"/>
        <v>インポート</v>
      </c>
      <c r="K757">
        <f t="shared" si="107"/>
        <v>754</v>
      </c>
      <c r="L757" t="str">
        <f t="shared" ca="1" si="100"/>
        <v>システム属性設定</v>
      </c>
      <c r="M757" s="2" t="str">
        <f t="shared" ca="1" si="108"/>
        <v/>
      </c>
      <c r="N757" s="2" t="str">
        <f t="shared" ca="1" si="101"/>
        <v/>
      </c>
      <c r="O757" s="2" t="str">
        <f t="shared" ca="1" si="104"/>
        <v>○</v>
      </c>
      <c r="P757" s="2" t="str">
        <f t="shared" ca="1" si="105"/>
        <v/>
      </c>
    </row>
    <row r="758" spans="1:16">
      <c r="A758">
        <f t="shared" si="106"/>
        <v>755</v>
      </c>
      <c r="B758" t="str">
        <f ca="1">IFERROR(VLOOKUP($A758,'vbs,vba'!$G:$H,2,FALSE),"")</f>
        <v/>
      </c>
      <c r="C758" t="str">
        <f ca="1">IFERROR(VLOOKUP($A758,python!$I:$J,2,FALSE),"")</f>
        <v>属性取得関数定義</v>
      </c>
      <c r="D758" t="str">
        <f ca="1">IFERROR(VLOOKUP($A758,bat!$F:$G,2,FALSE),"")</f>
        <v/>
      </c>
      <c r="E758" t="str">
        <f ca="1">IFERROR(VLOOKUP($A758,shell!$F:$G,2,FALSE),"")</f>
        <v/>
      </c>
      <c r="F758" t="str">
        <f t="shared" ca="1" si="102"/>
        <v>属性取得関数定義</v>
      </c>
      <c r="G758">
        <f ca="1">IF($F758="","",COUNTIF($F$3:$F758,$F758))</f>
        <v>1</v>
      </c>
      <c r="H758">
        <f ca="1">IF(OR(G758&gt;1,G758=""),"",COUNTIF($G$3:$G758,1))</f>
        <v>685</v>
      </c>
      <c r="I758" t="str">
        <f t="shared" ca="1" si="103"/>
        <v>属性取得関数定義</v>
      </c>
      <c r="K758">
        <f t="shared" si="107"/>
        <v>755</v>
      </c>
      <c r="L758" t="str">
        <f t="shared" ca="1" si="100"/>
        <v>システム属性解除</v>
      </c>
      <c r="M758" s="2" t="str">
        <f t="shared" ca="1" si="108"/>
        <v/>
      </c>
      <c r="N758" s="2" t="str">
        <f t="shared" ca="1" si="101"/>
        <v/>
      </c>
      <c r="O758" s="2" t="str">
        <f t="shared" ca="1" si="104"/>
        <v>○</v>
      </c>
      <c r="P758" s="2" t="str">
        <f t="shared" ca="1" si="105"/>
        <v/>
      </c>
    </row>
    <row r="759" spans="1:16">
      <c r="A759">
        <f t="shared" si="106"/>
        <v>756</v>
      </c>
      <c r="B759" t="str">
        <f ca="1">IFERROR(VLOOKUP($A759,'vbs,vba'!$G:$H,2,FALSE),"")</f>
        <v/>
      </c>
      <c r="C759" t="str">
        <f ca="1">IFERROR(VLOOKUP($A759,python!$I:$J,2,FALSE),"")</f>
        <v>ファイルオープン</v>
      </c>
      <c r="D759" t="str">
        <f ca="1">IFERROR(VLOOKUP($A759,bat!$F:$G,2,FALSE),"")</f>
        <v/>
      </c>
      <c r="E759" t="str">
        <f ca="1">IFERROR(VLOOKUP($A759,shell!$F:$G,2,FALSE),"")</f>
        <v/>
      </c>
      <c r="F759" t="str">
        <f t="shared" ca="1" si="102"/>
        <v>ファイルオープン</v>
      </c>
      <c r="G759">
        <f ca="1">IF($F759="","",COUNTIF($F$3:$F759,$F759))</f>
        <v>1</v>
      </c>
      <c r="H759">
        <f ca="1">IF(OR(G759&gt;1,G759=""),"",COUNTIF($G$3:$G759,1))</f>
        <v>686</v>
      </c>
      <c r="I759" t="str">
        <f t="shared" ca="1" si="103"/>
        <v>ファイルオープン</v>
      </c>
      <c r="K759">
        <f t="shared" si="107"/>
        <v>756</v>
      </c>
      <c r="L759" t="str">
        <f t="shared" ca="1" si="100"/>
        <v>隠し属性設定</v>
      </c>
      <c r="M759" s="2" t="str">
        <f t="shared" ca="1" si="108"/>
        <v/>
      </c>
      <c r="N759" s="2" t="str">
        <f t="shared" ca="1" si="101"/>
        <v/>
      </c>
      <c r="O759" s="2" t="str">
        <f t="shared" ca="1" si="104"/>
        <v>○</v>
      </c>
      <c r="P759" s="2" t="str">
        <f t="shared" ca="1" si="105"/>
        <v/>
      </c>
    </row>
    <row r="760" spans="1:16">
      <c r="A760">
        <f t="shared" si="106"/>
        <v>757</v>
      </c>
      <c r="B760" t="str">
        <f ca="1">IFERROR(VLOOKUP($A760,'vbs,vba'!$G:$H,2,FALSE),"")</f>
        <v/>
      </c>
      <c r="C760" t="str">
        <f ca="1">IFERROR(VLOOKUP($A760,python!$I:$J,2,FALSE),"")</f>
        <v>ルートのタグ要素取得</v>
      </c>
      <c r="D760" t="str">
        <f ca="1">IFERROR(VLOOKUP($A760,bat!$F:$G,2,FALSE),"")</f>
        <v/>
      </c>
      <c r="E760" t="str">
        <f ca="1">IFERROR(VLOOKUP($A760,shell!$F:$G,2,FALSE),"")</f>
        <v/>
      </c>
      <c r="F760" t="str">
        <f t="shared" ca="1" si="102"/>
        <v>ルートのタグ要素取得</v>
      </c>
      <c r="G760">
        <f ca="1">IF($F760="","",COUNTIF($F$3:$F760,$F760))</f>
        <v>1</v>
      </c>
      <c r="H760">
        <f ca="1">IF(OR(G760&gt;1,G760=""),"",COUNTIF($G$3:$G760,1))</f>
        <v>687</v>
      </c>
      <c r="I760" t="str">
        <f t="shared" ca="1" si="103"/>
        <v>ルートのタグ要素取得</v>
      </c>
      <c r="K760">
        <f t="shared" si="107"/>
        <v>757</v>
      </c>
      <c r="L760" t="str">
        <f t="shared" ca="1" si="100"/>
        <v>隠し属性解除</v>
      </c>
      <c r="M760" s="2" t="str">
        <f t="shared" ca="1" si="108"/>
        <v/>
      </c>
      <c r="N760" s="2" t="str">
        <f t="shared" ca="1" si="101"/>
        <v/>
      </c>
      <c r="O760" s="2" t="str">
        <f t="shared" ca="1" si="104"/>
        <v>○</v>
      </c>
      <c r="P760" s="2" t="str">
        <f t="shared" ca="1" si="105"/>
        <v/>
      </c>
    </row>
    <row r="761" spans="1:16">
      <c r="A761">
        <f t="shared" si="106"/>
        <v>758</v>
      </c>
      <c r="B761" t="str">
        <f ca="1">IFERROR(VLOOKUP($A761,'vbs,vba'!$G:$H,2,FALSE),"")</f>
        <v/>
      </c>
      <c r="C761" t="str">
        <f ca="1">IFERROR(VLOOKUP($A761,python!$I:$J,2,FALSE),"")</f>
        <v>タグ要素取得（ループ）</v>
      </c>
      <c r="D761" t="str">
        <f ca="1">IFERROR(VLOOKUP($A761,bat!$F:$G,2,FALSE),"")</f>
        <v/>
      </c>
      <c r="E761" t="str">
        <f ca="1">IFERROR(VLOOKUP($A761,shell!$F:$G,2,FALSE),"")</f>
        <v/>
      </c>
      <c r="F761" t="str">
        <f t="shared" ca="1" si="102"/>
        <v>タグ要素取得（ループ）</v>
      </c>
      <c r="G761">
        <f ca="1">IF($F761="","",COUNTIF($F$3:$F761,$F761))</f>
        <v>1</v>
      </c>
      <c r="H761">
        <f ca="1">IF(OR(G761&gt;1,G761=""),"",COUNTIF($G$3:$G761,1))</f>
        <v>688</v>
      </c>
      <c r="I761" t="str">
        <f t="shared" ca="1" si="103"/>
        <v>タグ要素取得（ループ）</v>
      </c>
      <c r="K761">
        <f t="shared" si="107"/>
        <v>758</v>
      </c>
      <c r="L761" t="str">
        <f t="shared" ca="1" si="100"/>
        <v>静的IPアドレス化</v>
      </c>
      <c r="M761" s="2" t="str">
        <f t="shared" ca="1" si="108"/>
        <v/>
      </c>
      <c r="N761" s="2" t="str">
        <f t="shared" ca="1" si="101"/>
        <v/>
      </c>
      <c r="O761" s="2" t="str">
        <f t="shared" ca="1" si="104"/>
        <v>○</v>
      </c>
      <c r="P761" s="2" t="str">
        <f t="shared" ca="1" si="105"/>
        <v/>
      </c>
    </row>
    <row r="762" spans="1:16">
      <c r="A762">
        <f t="shared" si="106"/>
        <v>759</v>
      </c>
      <c r="B762" t="str">
        <f ca="1">IFERROR(VLOOKUP($A762,'vbs,vba'!$G:$H,2,FALSE),"")</f>
        <v/>
      </c>
      <c r="C762" t="str">
        <f ca="1">IFERROR(VLOOKUP($A762,python!$I:$J,2,FALSE),"")</f>
        <v>タグ名取得</v>
      </c>
      <c r="D762" t="str">
        <f ca="1">IFERROR(VLOOKUP($A762,bat!$F:$G,2,FALSE),"")</f>
        <v/>
      </c>
      <c r="E762" t="str">
        <f ca="1">IFERROR(VLOOKUP($A762,shell!$F:$G,2,FALSE),"")</f>
        <v/>
      </c>
      <c r="F762" t="str">
        <f t="shared" ca="1" si="102"/>
        <v>タグ名取得</v>
      </c>
      <c r="G762">
        <f ca="1">IF($F762="","",COUNTIF($F$3:$F762,$F762))</f>
        <v>1</v>
      </c>
      <c r="H762">
        <f ca="1">IF(OR(G762&gt;1,G762=""),"",COUNTIF($G$3:$G762,1))</f>
        <v>689</v>
      </c>
      <c r="I762" t="str">
        <f t="shared" ca="1" si="103"/>
        <v>タグ名取得</v>
      </c>
      <c r="K762">
        <f t="shared" si="107"/>
        <v>759</v>
      </c>
      <c r="L762" t="str">
        <f t="shared" ca="1" si="100"/>
        <v>動的IPアドレス化0</v>
      </c>
      <c r="M762" s="2" t="str">
        <f t="shared" ca="1" si="108"/>
        <v/>
      </c>
      <c r="N762" s="2" t="str">
        <f t="shared" ca="1" si="101"/>
        <v/>
      </c>
      <c r="O762" s="2" t="str">
        <f t="shared" ca="1" si="104"/>
        <v/>
      </c>
      <c r="P762" s="2" t="str">
        <f t="shared" ca="1" si="105"/>
        <v/>
      </c>
    </row>
    <row r="763" spans="1:16">
      <c r="A763">
        <f t="shared" si="106"/>
        <v>760</v>
      </c>
      <c r="B763" t="str">
        <f ca="1">IFERROR(VLOOKUP($A763,'vbs,vba'!$G:$H,2,FALSE),"")</f>
        <v/>
      </c>
      <c r="C763" t="str">
        <f ca="1">IFERROR(VLOOKUP($A763,python!$I:$J,2,FALSE),"")</f>
        <v>属性取得</v>
      </c>
      <c r="D763" t="str">
        <f ca="1">IFERROR(VLOOKUP($A763,bat!$F:$G,2,FALSE),"")</f>
        <v/>
      </c>
      <c r="E763" t="str">
        <f ca="1">IFERROR(VLOOKUP($A763,shell!$F:$G,2,FALSE),"")</f>
        <v/>
      </c>
      <c r="F763" t="str">
        <f t="shared" ca="1" si="102"/>
        <v>属性取得</v>
      </c>
      <c r="G763">
        <f ca="1">IF($F763="","",COUNTIF($F$3:$F763,$F763))</f>
        <v>1</v>
      </c>
      <c r="H763">
        <f ca="1">IF(OR(G763&gt;1,G763=""),"",COUNTIF($G$3:$G763,1))</f>
        <v>690</v>
      </c>
      <c r="I763" t="str">
        <f t="shared" ca="1" si="103"/>
        <v>属性取得</v>
      </c>
      <c r="K763">
        <f t="shared" si="107"/>
        <v>760</v>
      </c>
      <c r="L763" t="str">
        <f t="shared" ca="1" si="100"/>
        <v>シェバン(shebang)</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IFERROR(VLOOKUP($A764,python!$I:$J,2,FALSE),"")</f>
        <v>コンテキスト取得</v>
      </c>
      <c r="D764" t="str">
        <f ca="1">IFERROR(VLOOKUP($A764,bat!$F:$G,2,FALSE),"")</f>
        <v/>
      </c>
      <c r="E764" t="str">
        <f ca="1">IFERROR(VLOOKUP($A764,shell!$F:$G,2,FALSE),"")</f>
        <v/>
      </c>
      <c r="F764" t="str">
        <f t="shared" ca="1" si="102"/>
        <v>コンテキスト取得</v>
      </c>
      <c r="G764">
        <f ca="1">IF($F764="","",COUNTIF($F$3:$F764,$F764))</f>
        <v>1</v>
      </c>
      <c r="H764">
        <f ca="1">IF(OR(G764&gt;1,G764=""),"",COUNTIF($G$3:$G764,1))</f>
        <v>691</v>
      </c>
      <c r="I764" t="str">
        <f t="shared" ca="1" si="103"/>
        <v>コンテキスト取得</v>
      </c>
      <c r="K764">
        <f t="shared" si="107"/>
        <v>761</v>
      </c>
      <c r="L764" t="str">
        <f t="shared" ca="1" si="100"/>
        <v>コマンド実行(非エイリアス)</v>
      </c>
      <c r="M764" s="2" t="str">
        <f t="shared" ca="1" si="108"/>
        <v/>
      </c>
      <c r="N764" s="2" t="str">
        <f t="shared" ca="1" si="101"/>
        <v/>
      </c>
      <c r="O764" s="2" t="str">
        <f t="shared" ca="1" si="104"/>
        <v/>
      </c>
      <c r="P764" s="2" t="str">
        <f t="shared" ca="1" si="105"/>
        <v>○</v>
      </c>
    </row>
    <row r="765" spans="1:16">
      <c r="A765">
        <f t="shared" si="106"/>
        <v>762</v>
      </c>
      <c r="B765" t="str">
        <f ca="1">IFERROR(VLOOKUP($A765,'vbs,vba'!$G:$H,2,FALSE),"")</f>
        <v/>
      </c>
      <c r="C765" t="str">
        <f ca="1">IFERROR(VLOOKUP($A765,python!$I:$J,2,FALSE),"")</f>
        <v xml:space="preserve"> </v>
      </c>
      <c r="D765" t="str">
        <f ca="1">IFERROR(VLOOKUP($A765,bat!$F:$G,2,FALSE),"")</f>
        <v/>
      </c>
      <c r="E765" t="str">
        <f ca="1">IFERROR(VLOOKUP($A765,shell!$F:$G,2,FALSE),"")</f>
        <v/>
      </c>
      <c r="F765" t="str">
        <f t="shared" ca="1" si="102"/>
        <v xml:space="preserve"> </v>
      </c>
      <c r="G765">
        <f ca="1">IF($F765="","",COUNTIF($F$3:$F765,$F765))</f>
        <v>1</v>
      </c>
      <c r="H765">
        <f ca="1">IF(OR(G765&gt;1,G765=""),"",COUNTIF($G$3:$G765,1))</f>
        <v>692</v>
      </c>
      <c r="I765" t="str">
        <f t="shared" ca="1" si="103"/>
        <v xml:space="preserve"> </v>
      </c>
      <c r="K765">
        <f t="shared" si="107"/>
        <v>762</v>
      </c>
      <c r="L765" t="str">
        <f t="shared" ca="1" si="100"/>
        <v>コマンド実行(直近実行コマンド)</v>
      </c>
      <c r="M765" s="2" t="str">
        <f t="shared" ca="1" si="108"/>
        <v/>
      </c>
      <c r="N765" s="2" t="str">
        <f t="shared" ca="1" si="101"/>
        <v/>
      </c>
      <c r="O765" s="2" t="str">
        <f t="shared" ca="1" si="104"/>
        <v/>
      </c>
      <c r="P765" s="2" t="str">
        <f t="shared" ca="1" si="105"/>
        <v>○</v>
      </c>
    </row>
    <row r="766" spans="1:16">
      <c r="A766">
        <f t="shared" si="106"/>
        <v>763</v>
      </c>
      <c r="B766" t="str">
        <f ca="1">IFERROR(VLOOKUP($A766,'vbs,vba'!$G:$H,2,FALSE),"")</f>
        <v/>
      </c>
      <c r="C766" t="str">
        <f ca="1">IFERROR(VLOOKUP($A766,python!$I:$J,2,FALSE),"")</f>
        <v>ユーザフォルダパス</v>
      </c>
      <c r="D766" t="str">
        <f ca="1">IFERROR(VLOOKUP($A766,bat!$F:$G,2,FALSE),"")</f>
        <v/>
      </c>
      <c r="E766" t="str">
        <f ca="1">IFERROR(VLOOKUP($A766,shell!$F:$G,2,FALSE),"")</f>
        <v/>
      </c>
      <c r="F766" t="str">
        <f t="shared" ca="1" si="102"/>
        <v>ユーザフォルダパス</v>
      </c>
      <c r="G766">
        <f ca="1">IF($F766="","",COUNTIF($F$3:$F766,$F766))</f>
        <v>2</v>
      </c>
      <c r="H766" t="str">
        <f ca="1">IF(OR(G766&gt;1,G766=""),"",COUNTIF($G$3:$G766,1))</f>
        <v/>
      </c>
      <c r="I766" t="str">
        <f t="shared" ca="1" si="103"/>
        <v>ユーザフォルダパス</v>
      </c>
      <c r="K766">
        <f t="shared" si="107"/>
        <v>763</v>
      </c>
      <c r="L766" t="str">
        <f t="shared" ca="1" si="100"/>
        <v>コマンド実行(直前コマンド)</v>
      </c>
      <c r="M766" s="2" t="str">
        <f t="shared" ca="1" si="108"/>
        <v/>
      </c>
      <c r="N766" s="2" t="str">
        <f t="shared" ca="1" si="101"/>
        <v/>
      </c>
      <c r="O766" s="2" t="str">
        <f t="shared" ca="1" si="104"/>
        <v/>
      </c>
      <c r="P766" s="2" t="str">
        <f t="shared" ca="1" si="105"/>
        <v>○</v>
      </c>
    </row>
    <row r="767" spans="1:16">
      <c r="A767">
        <f t="shared" si="106"/>
        <v>764</v>
      </c>
      <c r="B767" t="str">
        <f ca="1">IFERROR(VLOOKUP($A767,'vbs,vba'!$G:$H,2,FALSE),"")</f>
        <v/>
      </c>
      <c r="C767" t="str">
        <f ca="1">IFERROR(VLOOKUP($A767,python!$I:$J,2,FALSE),"")</f>
        <v>フォルダ内ファイルリスト取得</v>
      </c>
      <c r="D767" t="str">
        <f ca="1">IFERROR(VLOOKUP($A767,bat!$F:$G,2,FALSE),"")</f>
        <v/>
      </c>
      <c r="E767" t="str">
        <f ca="1">IFERROR(VLOOKUP($A767,shell!$F:$G,2,FALSE),"")</f>
        <v/>
      </c>
      <c r="F767" t="str">
        <f t="shared" ca="1" si="102"/>
        <v>フォルダ内ファイルリスト取得</v>
      </c>
      <c r="G767">
        <f ca="1">IF($F767="","",COUNTIF($F$3:$F767,$F767))</f>
        <v>1</v>
      </c>
      <c r="H767">
        <f ca="1">IF(OR(G767&gt;1,G767=""),"",COUNTIF($G$3:$G767,1))</f>
        <v>693</v>
      </c>
      <c r="I767" t="str">
        <f t="shared" ca="1" si="103"/>
        <v>フォルダ内ファイルリスト取得</v>
      </c>
      <c r="K767">
        <f t="shared" si="107"/>
        <v>764</v>
      </c>
      <c r="L767" t="str">
        <f t="shared" ca="1" si="100"/>
        <v>直前コマンドの最初の引数</v>
      </c>
      <c r="M767" s="2" t="str">
        <f t="shared" ca="1" si="108"/>
        <v/>
      </c>
      <c r="N767" s="2" t="str">
        <f t="shared" ca="1" si="101"/>
        <v/>
      </c>
      <c r="O767" s="2" t="str">
        <f t="shared" ca="1" si="104"/>
        <v/>
      </c>
      <c r="P767" s="2" t="str">
        <f t="shared" ca="1" si="105"/>
        <v>○</v>
      </c>
    </row>
    <row r="768" spans="1:16">
      <c r="A768">
        <f t="shared" si="106"/>
        <v>765</v>
      </c>
      <c r="B768" t="str">
        <f ca="1">IFERROR(VLOOKUP($A768,'vbs,vba'!$G:$H,2,FALSE),"")</f>
        <v/>
      </c>
      <c r="C768" t="str">
        <f ca="1">IFERROR(VLOOKUP($A768,python!$I:$J,2,FALSE),"")</f>
        <v>フォルダ配下ファイル/フォルダリスト取得</v>
      </c>
      <c r="D768" t="str">
        <f ca="1">IFERROR(VLOOKUP($A768,bat!$F:$G,2,FALSE),"")</f>
        <v/>
      </c>
      <c r="E768" t="str">
        <f ca="1">IFERROR(VLOOKUP($A768,shell!$F:$G,2,FALSE),"")</f>
        <v/>
      </c>
      <c r="F768" t="str">
        <f t="shared" ca="1" si="102"/>
        <v>フォルダ配下ファイル/フォルダリスト取得</v>
      </c>
      <c r="G768">
        <f ca="1">IF($F768="","",COUNTIF($F$3:$F768,$F768))</f>
        <v>1</v>
      </c>
      <c r="H768">
        <f ca="1">IF(OR(G768&gt;1,G768=""),"",COUNTIF($G$3:$G768,1))</f>
        <v>694</v>
      </c>
      <c r="I768" t="str">
        <f t="shared" ca="1" si="103"/>
        <v>フォルダ配下ファイル/フォルダリスト取得</v>
      </c>
      <c r="K768">
        <f t="shared" si="107"/>
        <v>765</v>
      </c>
      <c r="L768" t="str">
        <f t="shared" ca="1" si="100"/>
        <v>直前コマンドの最終の引数</v>
      </c>
      <c r="M768" s="2" t="str">
        <f t="shared" ca="1" si="108"/>
        <v/>
      </c>
      <c r="N768" s="2" t="str">
        <f t="shared" ca="1" si="101"/>
        <v/>
      </c>
      <c r="O768" s="2" t="str">
        <f t="shared" ca="1" si="104"/>
        <v/>
      </c>
      <c r="P768" s="2" t="str">
        <f t="shared" ca="1" si="105"/>
        <v>○</v>
      </c>
    </row>
    <row r="769" spans="1:16">
      <c r="A769">
        <f t="shared" si="106"/>
        <v>766</v>
      </c>
      <c r="B769" t="str">
        <f ca="1">IFERROR(VLOOKUP($A769,'vbs,vba'!$G:$H,2,FALSE),"")</f>
        <v/>
      </c>
      <c r="C769" t="str">
        <f ca="1">IFERROR(VLOOKUP($A769,python!$I:$J,2,FALSE),"")</f>
        <v>メインプログラム実行時にのみ処理実行</v>
      </c>
      <c r="D769">
        <f ca="1">IFERROR(VLOOKUP($A769,bat!$F:$G,2,FALSE),"")</f>
        <v>0</v>
      </c>
      <c r="E769" t="str">
        <f ca="1">IFERROR(VLOOKUP($A769,shell!$F:$G,2,FALSE),"")</f>
        <v/>
      </c>
      <c r="F769" t="str">
        <f t="shared" ca="1" si="102"/>
        <v>メインプログラム実行時にのみ処理実行0</v>
      </c>
      <c r="G769">
        <f ca="1">IF($F769="","",COUNTIF($F$3:$F769,$F769))</f>
        <v>1</v>
      </c>
      <c r="H769">
        <f ca="1">IF(OR(G769&gt;1,G769=""),"",COUNTIF($G$3:$G769,1))</f>
        <v>695</v>
      </c>
      <c r="I769" t="str">
        <f t="shared" ca="1" si="103"/>
        <v>メインプログラム実行時にのみ処理実行0</v>
      </c>
      <c r="K769">
        <f t="shared" si="107"/>
        <v>766</v>
      </c>
      <c r="L769" t="str">
        <f t="shared" ca="1" si="100"/>
        <v>直前コマンドの全引数</v>
      </c>
      <c r="M769" s="2" t="str">
        <f t="shared" ca="1" si="108"/>
        <v/>
      </c>
      <c r="N769" s="2" t="str">
        <f t="shared" ca="1" si="101"/>
        <v/>
      </c>
      <c r="O769" s="2" t="str">
        <f t="shared" ca="1" si="104"/>
        <v/>
      </c>
      <c r="P769" s="2" t="str">
        <f t="shared" ca="1" si="105"/>
        <v>○</v>
      </c>
    </row>
    <row r="770" spans="1:16">
      <c r="A770">
        <f t="shared" si="106"/>
        <v>767</v>
      </c>
      <c r="B770" t="str">
        <f ca="1">IFERROR(VLOOKUP($A770,'vbs,vba'!$G:$H,2,FALSE),"")</f>
        <v/>
      </c>
      <c r="C770" t="str">
        <f ca="1">IFERROR(VLOOKUP($A770,python!$I:$J,2,FALSE),"")</f>
        <v/>
      </c>
      <c r="D770" t="str">
        <f ca="1">IFERROR(VLOOKUP($A770,bat!$F:$G,2,FALSE),"")</f>
        <v>変数定義</v>
      </c>
      <c r="E770" t="str">
        <f ca="1">IFERROR(VLOOKUP($A770,shell!$F:$G,2,FALSE),"")</f>
        <v/>
      </c>
      <c r="F770" t="str">
        <f t="shared" ca="1" si="102"/>
        <v>変数定義</v>
      </c>
      <c r="G770">
        <f ca="1">IF($F770="","",COUNTIF($F$3:$F770,$F770))</f>
        <v>2</v>
      </c>
      <c r="H770" t="str">
        <f ca="1">IF(OR(G770&gt;1,G770=""),"",COUNTIF($G$3:$G770,1))</f>
        <v/>
      </c>
      <c r="I770" t="str">
        <f t="shared" ca="1" si="103"/>
        <v>変数定義</v>
      </c>
      <c r="K770">
        <f t="shared" si="107"/>
        <v>767</v>
      </c>
      <c r="L770" t="str">
        <f t="shared" ca="1" si="100"/>
        <v>直前コマンドの全引数(最終引数を除く)</v>
      </c>
      <c r="M770" s="2" t="str">
        <f t="shared" ca="1" si="108"/>
        <v/>
      </c>
      <c r="N770" s="2" t="str">
        <f t="shared" ca="1" si="101"/>
        <v/>
      </c>
      <c r="O770" s="2" t="str">
        <f t="shared" ca="1" si="104"/>
        <v/>
      </c>
      <c r="P770" s="2" t="str">
        <f t="shared" ca="1" si="105"/>
        <v>○</v>
      </c>
    </row>
    <row r="771" spans="1:16">
      <c r="A771">
        <f t="shared" si="106"/>
        <v>768</v>
      </c>
      <c r="B771" t="str">
        <f ca="1">IFERROR(VLOOKUP($A771,'vbs,vba'!$G:$H,2,FALSE),"")</f>
        <v/>
      </c>
      <c r="C771" t="str">
        <f ca="1">IFERROR(VLOOKUP($A771,python!$I:$J,2,FALSE),"")</f>
        <v/>
      </c>
      <c r="D771" t="str">
        <f ca="1">IFERROR(VLOOKUP($A771,bat!$F:$G,2,FALSE),"")</f>
        <v>列挙型定義</v>
      </c>
      <c r="E771" t="str">
        <f ca="1">IFERROR(VLOOKUP($A771,shell!$F:$G,2,FALSE),"")</f>
        <v/>
      </c>
      <c r="F771" t="str">
        <f t="shared" ca="1" si="102"/>
        <v>列挙型定義</v>
      </c>
      <c r="G771">
        <f ca="1">IF($F771="","",COUNTIF($F$3:$F771,$F771))</f>
        <v>2</v>
      </c>
      <c r="H771" t="str">
        <f ca="1">IF(OR(G771&gt;1,G771=""),"",COUNTIF($G$3:$G771,1))</f>
        <v/>
      </c>
      <c r="I771" t="str">
        <f t="shared" ca="1" si="103"/>
        <v>列挙型定義</v>
      </c>
      <c r="K771">
        <f t="shared" si="107"/>
        <v>768</v>
      </c>
      <c r="L771" t="str">
        <f t="shared" ca="1" si="100"/>
        <v>直前コマンドの最終引数</v>
      </c>
      <c r="M771" s="2" t="str">
        <f t="shared" ca="1" si="108"/>
        <v/>
      </c>
      <c r="N771" s="2" t="str">
        <f t="shared" ca="1" si="101"/>
        <v/>
      </c>
      <c r="O771" s="2" t="str">
        <f t="shared" ca="1" si="104"/>
        <v/>
      </c>
      <c r="P771" s="2" t="str">
        <f t="shared" ca="1" si="105"/>
        <v>○</v>
      </c>
    </row>
    <row r="772" spans="1:16">
      <c r="A772">
        <f t="shared" si="106"/>
        <v>769</v>
      </c>
      <c r="B772" t="str">
        <f ca="1">IFERROR(VLOOKUP($A772,'vbs,vba'!$G:$H,2,FALSE),"")</f>
        <v/>
      </c>
      <c r="C772" t="str">
        <f ca="1">IFERROR(VLOOKUP($A772,python!$I:$J,2,FALSE),"")</f>
        <v/>
      </c>
      <c r="D772" t="str">
        <f ca="1">IFERROR(VLOOKUP($A772,bat!$F:$G,2,FALSE),"")</f>
        <v>ブロック脱出</v>
      </c>
      <c r="E772" t="str">
        <f ca="1">IFERROR(VLOOKUP($A772,shell!$F:$G,2,FALSE),"")</f>
        <v/>
      </c>
      <c r="F772" t="str">
        <f t="shared" ca="1" si="102"/>
        <v>ブロック脱出</v>
      </c>
      <c r="G772">
        <f ca="1">IF($F772="","",COUNTIF($F$3:$F772,$F772))</f>
        <v>1</v>
      </c>
      <c r="H772">
        <f ca="1">IF(OR(G772&gt;1,G772=""),"",COUNTIF($G$3:$G772,1))</f>
        <v>696</v>
      </c>
      <c r="I772" t="str">
        <f t="shared" ca="1" si="103"/>
        <v>ブロック脱出</v>
      </c>
      <c r="K772">
        <f t="shared" si="107"/>
        <v>769</v>
      </c>
      <c r="L772" t="str">
        <f t="shared" ref="L772:L835" ca="1" si="109">IFERROR(VLOOKUP($K772,$H:$I,2,FALSE),"")</f>
        <v>直前コマンドの実行結果</v>
      </c>
      <c r="M772" s="2" t="str">
        <f t="shared" ca="1" si="108"/>
        <v/>
      </c>
      <c r="N772" s="2" t="str">
        <f t="shared" ref="N772:N835" ca="1" si="110">IF($L772="","",IF(COUNTIF(C$3:C$1004,$L772)&gt;0,"○",""))</f>
        <v/>
      </c>
      <c r="O772" s="2" t="str">
        <f t="shared" ca="1" si="104"/>
        <v/>
      </c>
      <c r="P772" s="2" t="str">
        <f t="shared" ca="1" si="105"/>
        <v>○</v>
      </c>
    </row>
    <row r="773" spans="1:16">
      <c r="A773">
        <f t="shared" si="106"/>
        <v>770</v>
      </c>
      <c r="B773" t="str">
        <f ca="1">IFERROR(VLOOKUP($A773,'vbs,vba'!$G:$H,2,FALSE),"")</f>
        <v/>
      </c>
      <c r="C773" t="str">
        <f ca="1">IFERROR(VLOOKUP($A773,python!$I:$J,2,FALSE),"")</f>
        <v/>
      </c>
      <c r="D773" t="str">
        <f ca="1">IFERROR(VLOOKUP($A773,bat!$F:$G,2,FALSE),"")</f>
        <v>ヘルプ</v>
      </c>
      <c r="E773" t="str">
        <f ca="1">IFERROR(VLOOKUP($A773,shell!$F:$G,2,FALSE),"")</f>
        <v/>
      </c>
      <c r="F773" t="str">
        <f t="shared" ref="F773:F836" ca="1" si="111">B773&amp;C773&amp;D773&amp;E773</f>
        <v>ヘルプ</v>
      </c>
      <c r="G773">
        <f ca="1">IF($F773="","",COUNTIF($F$3:$F773,$F773))</f>
        <v>1</v>
      </c>
      <c r="H773">
        <f ca="1">IF(OR(G773&gt;1,G773=""),"",COUNTIF($G$3:$G773,1))</f>
        <v>697</v>
      </c>
      <c r="I773" t="str">
        <f t="shared" ref="I773:I836" ca="1" si="112">F773</f>
        <v>ヘルプ</v>
      </c>
      <c r="K773">
        <f t="shared" si="107"/>
        <v>770</v>
      </c>
      <c r="L773" t="str">
        <f t="shared" ca="1" si="109"/>
        <v>シェルのPID</v>
      </c>
      <c r="M773" s="2" t="str">
        <f t="shared" ca="1" si="108"/>
        <v/>
      </c>
      <c r="N773" s="2" t="str">
        <f t="shared" ca="1" si="110"/>
        <v/>
      </c>
      <c r="O773" s="2" t="str">
        <f t="shared" ref="O773:O836" ca="1" si="113">IF($L773="","",IF(COUNTIF(D$3:D$1004,$L773)&gt;0,"○",""))</f>
        <v/>
      </c>
      <c r="P773" s="2" t="str">
        <f t="shared" ref="P773:P836" ca="1" si="114">IF($L773="","",IF(COUNTIF(E$3:E$1004,$L773)&gt;0,"○",""))</f>
        <v>○</v>
      </c>
    </row>
    <row r="774" spans="1:16">
      <c r="A774">
        <f t="shared" ref="A774:A837" si="115">A773+1</f>
        <v>771</v>
      </c>
      <c r="B774" t="str">
        <f ca="1">IFERROR(VLOOKUP($A774,'vbs,vba'!$G:$H,2,FALSE),"")</f>
        <v/>
      </c>
      <c r="C774" t="str">
        <f ca="1">IFERROR(VLOOKUP($A774,python!$I:$J,2,FALSE),"")</f>
        <v/>
      </c>
      <c r="D774" t="str">
        <f ca="1">IFERROR(VLOOKUP($A774,bat!$F:$G,2,FALSE),"")</f>
        <v>if</v>
      </c>
      <c r="E774" t="str">
        <f ca="1">IFERROR(VLOOKUP($A774,shell!$F:$G,2,FALSE),"")</f>
        <v/>
      </c>
      <c r="F774" t="str">
        <f t="shared" ca="1" si="111"/>
        <v>if</v>
      </c>
      <c r="G774">
        <f ca="1">IF($F774="","",COUNTIF($F$3:$F774,$F774))</f>
        <v>1</v>
      </c>
      <c r="H774">
        <f ca="1">IF(OR(G774&gt;1,G774=""),"",COUNTIF($G$3:$G774,1))</f>
        <v>698</v>
      </c>
      <c r="I774" t="str">
        <f t="shared" ca="1" si="112"/>
        <v>if</v>
      </c>
      <c r="K774">
        <f t="shared" ref="K774:K837" si="116">K773+1</f>
        <v>771</v>
      </c>
      <c r="L774" t="str">
        <f t="shared" ca="1" si="109"/>
        <v>直近n番目に実行したコマンド</v>
      </c>
      <c r="M774" s="2" t="str">
        <f t="shared" ca="1" si="108"/>
        <v/>
      </c>
      <c r="N774" s="2" t="str">
        <f t="shared" ca="1" si="110"/>
        <v/>
      </c>
      <c r="O774" s="2" t="str">
        <f t="shared" ca="1" si="113"/>
        <v/>
      </c>
      <c r="P774" s="2" t="str">
        <f t="shared" ca="1" si="114"/>
        <v>○</v>
      </c>
    </row>
    <row r="775" spans="1:16">
      <c r="A775">
        <f t="shared" si="115"/>
        <v>772</v>
      </c>
      <c r="B775" t="str">
        <f ca="1">IFERROR(VLOOKUP($A775,'vbs,vba'!$G:$H,2,FALSE),"")</f>
        <v/>
      </c>
      <c r="C775" t="str">
        <f ca="1">IFERROR(VLOOKUP($A775,python!$I:$J,2,FALSE),"")</f>
        <v/>
      </c>
      <c r="D775" t="str">
        <f ca="1">IFERROR(VLOOKUP($A775,bat!$F:$G,2,FALSE),"")</f>
        <v>if（否定）</v>
      </c>
      <c r="E775" t="str">
        <f ca="1">IFERROR(VLOOKUP($A775,shell!$F:$G,2,FALSE),"")</f>
        <v/>
      </c>
      <c r="F775" t="str">
        <f t="shared" ca="1" si="111"/>
        <v>if（否定）</v>
      </c>
      <c r="G775">
        <f ca="1">IF($F775="","",COUNTIF($F$3:$F775,$F775))</f>
        <v>1</v>
      </c>
      <c r="H775">
        <f ca="1">IF(OR(G775&gt;1,G775=""),"",COUNTIF($G$3:$G775,1))</f>
        <v>699</v>
      </c>
      <c r="I775" t="str">
        <f t="shared" ca="1" si="112"/>
        <v>if（否定）</v>
      </c>
      <c r="K775">
        <f t="shared" si="116"/>
        <v>772</v>
      </c>
      <c r="L775" t="str">
        <f t="shared" ca="1" si="109"/>
        <v>直近n番目に実行したコマンド(ヒストリ)</v>
      </c>
      <c r="M775" s="2" t="str">
        <f t="shared" ca="1" si="108"/>
        <v/>
      </c>
      <c r="N775" s="2" t="str">
        <f t="shared" ca="1" si="110"/>
        <v/>
      </c>
      <c r="O775" s="2" t="str">
        <f t="shared" ca="1" si="113"/>
        <v/>
      </c>
      <c r="P775" s="2" t="str">
        <f t="shared" ca="1" si="114"/>
        <v>○</v>
      </c>
    </row>
    <row r="776" spans="1:16">
      <c r="A776">
        <f t="shared" si="115"/>
        <v>773</v>
      </c>
      <c r="B776" t="str">
        <f ca="1">IFERROR(VLOOKUP($A776,'vbs,vba'!$G:$H,2,FALSE),"")</f>
        <v/>
      </c>
      <c r="C776" t="str">
        <f ca="1">IFERROR(VLOOKUP($A776,python!$I:$J,2,FALSE),"")</f>
        <v/>
      </c>
      <c r="D776" t="str">
        <f ca="1">IFERROR(VLOOKUP($A776,bat!$F:$G,2,FALSE),"")</f>
        <v>for</v>
      </c>
      <c r="E776" t="str">
        <f ca="1">IFERROR(VLOOKUP($A776,shell!$F:$G,2,FALSE),"")</f>
        <v/>
      </c>
      <c r="F776" t="str">
        <f t="shared" ca="1" si="111"/>
        <v>for</v>
      </c>
      <c r="G776">
        <f ca="1">IF($F776="","",COUNTIF($F$3:$F776,$F776))</f>
        <v>1</v>
      </c>
      <c r="H776">
        <f ca="1">IF(OR(G776&gt;1,G776=""),"",COUNTIF($G$3:$G776,1))</f>
        <v>700</v>
      </c>
      <c r="I776" t="str">
        <f t="shared" ca="1" si="112"/>
        <v>for</v>
      </c>
      <c r="K776">
        <f t="shared" si="116"/>
        <v>773</v>
      </c>
      <c r="L776" t="str">
        <f t="shared" ca="1" si="109"/>
        <v>直前コマンド最終引数のファイルベース名</v>
      </c>
      <c r="M776" s="2" t="str">
        <f t="shared" ca="1" si="108"/>
        <v/>
      </c>
      <c r="N776" s="2" t="str">
        <f t="shared" ca="1" si="110"/>
        <v/>
      </c>
      <c r="O776" s="2" t="str">
        <f t="shared" ca="1" si="113"/>
        <v/>
      </c>
      <c r="P776" s="2" t="str">
        <f t="shared" ca="1" si="114"/>
        <v>○</v>
      </c>
    </row>
    <row r="777" spans="1:16">
      <c r="A777">
        <f t="shared" si="115"/>
        <v>774</v>
      </c>
      <c r="B777" t="str">
        <f ca="1">IFERROR(VLOOKUP($A777,'vbs,vba'!$G:$H,2,FALSE),"")</f>
        <v/>
      </c>
      <c r="C777" t="str">
        <f ca="1">IFERROR(VLOOKUP($A777,python!$I:$J,2,FALSE),"")</f>
        <v/>
      </c>
      <c r="D777" t="str">
        <f ca="1">IFERROR(VLOOKUP($A777,bat!$F:$G,2,FALSE),"")</f>
        <v>for(フォルダ内対象)</v>
      </c>
      <c r="E777" t="str">
        <f ca="1">IFERROR(VLOOKUP($A777,shell!$F:$G,2,FALSE),"")</f>
        <v/>
      </c>
      <c r="F777" t="str">
        <f t="shared" ca="1" si="111"/>
        <v>for(フォルダ内対象)</v>
      </c>
      <c r="G777">
        <f ca="1">IF($F777="","",COUNTIF($F$3:$F777,$F777))</f>
        <v>1</v>
      </c>
      <c r="H777">
        <f ca="1">IF(OR(G777&gt;1,G777=""),"",COUNTIF($G$3:$G777,1))</f>
        <v>701</v>
      </c>
      <c r="I777" t="str">
        <f t="shared" ca="1" si="112"/>
        <v>for(フォルダ内対象)</v>
      </c>
      <c r="K777">
        <f t="shared" si="116"/>
        <v>774</v>
      </c>
      <c r="L777" t="str">
        <f t="shared" ca="1" si="109"/>
        <v>直前コマンド最終引数のディレクトリパス</v>
      </c>
      <c r="M777" s="2" t="str">
        <f t="shared" ca="1" si="108"/>
        <v/>
      </c>
      <c r="N777" s="2" t="str">
        <f t="shared" ca="1" si="110"/>
        <v/>
      </c>
      <c r="O777" s="2" t="str">
        <f t="shared" ca="1" si="113"/>
        <v/>
      </c>
      <c r="P777" s="2" t="str">
        <f t="shared" ca="1" si="114"/>
        <v>○</v>
      </c>
    </row>
    <row r="778" spans="1:16">
      <c r="A778">
        <f t="shared" si="115"/>
        <v>775</v>
      </c>
      <c r="B778" t="str">
        <f ca="1">IFERROR(VLOOKUP($A778,'vbs,vba'!$G:$H,2,FALSE),"")</f>
        <v/>
      </c>
      <c r="C778" t="str">
        <f ca="1">IFERROR(VLOOKUP($A778,python!$I:$J,2,FALSE),"")</f>
        <v/>
      </c>
      <c r="D778" t="str">
        <f ca="1">IFERROR(VLOOKUP($A778,bat!$F:$G,2,FALSE),"")</f>
        <v>for(フォルダ内のフォルダのみ)</v>
      </c>
      <c r="E778" t="str">
        <f ca="1">IFERROR(VLOOKUP($A778,shell!$F:$G,2,FALSE),"")</f>
        <v/>
      </c>
      <c r="F778" t="str">
        <f t="shared" ca="1" si="111"/>
        <v>for(フォルダ内のフォルダのみ)</v>
      </c>
      <c r="G778">
        <f ca="1">IF($F778="","",COUNTIF($F$3:$F778,$F778))</f>
        <v>1</v>
      </c>
      <c r="H778">
        <f ca="1">IF(OR(G778&gt;1,G778=""),"",COUNTIF($G$3:$G778,1))</f>
        <v>702</v>
      </c>
      <c r="I778" t="str">
        <f t="shared" ca="1" si="112"/>
        <v>for(フォルダ内のフォルダのみ)</v>
      </c>
      <c r="K778">
        <f t="shared" si="116"/>
        <v>775</v>
      </c>
      <c r="L778" t="str">
        <f t="shared" ca="1" si="109"/>
        <v>直前コマンドのn番目のトークン(0:コマンド名、1以降:引数)</v>
      </c>
      <c r="M778" s="2" t="str">
        <f t="shared" ca="1" si="108"/>
        <v/>
      </c>
      <c r="N778" s="2" t="str">
        <f t="shared" ca="1" si="110"/>
        <v/>
      </c>
      <c r="O778" s="2" t="str">
        <f t="shared" ca="1" si="113"/>
        <v/>
      </c>
      <c r="P778" s="2" t="str">
        <f t="shared" ca="1" si="114"/>
        <v>○</v>
      </c>
    </row>
    <row r="779" spans="1:16">
      <c r="A779">
        <f t="shared" si="115"/>
        <v>776</v>
      </c>
      <c r="B779" t="str">
        <f ca="1">IFERROR(VLOOKUP($A779,'vbs,vba'!$G:$H,2,FALSE),"")</f>
        <v/>
      </c>
      <c r="C779" t="str">
        <f ca="1">IFERROR(VLOOKUP($A779,python!$I:$J,2,FALSE),"")</f>
        <v/>
      </c>
      <c r="D779" t="str">
        <f ca="1">IFERROR(VLOOKUP($A779,bat!$F:$G,2,FALSE),"")</f>
        <v>for(フォルダ配下の中身全部)</v>
      </c>
      <c r="E779" t="str">
        <f ca="1">IFERROR(VLOOKUP($A779,shell!$F:$G,2,FALSE),"")</f>
        <v/>
      </c>
      <c r="F779" t="str">
        <f t="shared" ca="1" si="111"/>
        <v>for(フォルダ配下の中身全部)</v>
      </c>
      <c r="G779">
        <f ca="1">IF($F779="","",COUNTIF($F$3:$F779,$F779))</f>
        <v>1</v>
      </c>
      <c r="H779">
        <f ca="1">IF(OR(G779&gt;1,G779=""),"",COUNTIF($G$3:$G779,1))</f>
        <v>703</v>
      </c>
      <c r="I779" t="str">
        <f t="shared" ca="1" si="112"/>
        <v>for(フォルダ配下の中身全部)</v>
      </c>
      <c r="K779">
        <f t="shared" si="116"/>
        <v>776</v>
      </c>
      <c r="L779" t="str">
        <f t="shared" ca="1" si="109"/>
        <v>直前コマンドのn～m番目のトークン</v>
      </c>
      <c r="M779" s="2" t="str">
        <f t="shared" ca="1" si="108"/>
        <v/>
      </c>
      <c r="N779" s="2" t="str">
        <f t="shared" ca="1" si="110"/>
        <v/>
      </c>
      <c r="O779" s="2" t="str">
        <f t="shared" ca="1" si="113"/>
        <v/>
      </c>
      <c r="P779" s="2" t="str">
        <f t="shared" ca="1" si="114"/>
        <v>○</v>
      </c>
    </row>
    <row r="780" spans="1:16">
      <c r="A780">
        <f t="shared" si="115"/>
        <v>777</v>
      </c>
      <c r="B780" t="str">
        <f ca="1">IFERROR(VLOOKUP($A780,'vbs,vba'!$G:$H,2,FALSE),"")</f>
        <v/>
      </c>
      <c r="C780" t="str">
        <f ca="1">IFERROR(VLOOKUP($A780,python!$I:$J,2,FALSE),"")</f>
        <v/>
      </c>
      <c r="D780" t="str">
        <f ca="1">IFERROR(VLOOKUP($A780,bat!$F:$G,2,FALSE),"")</f>
        <v>for(変数に値を代入してコマンドを実行)</v>
      </c>
      <c r="E780" t="str">
        <f ca="1">IFERROR(VLOOKUP($A780,shell!$F:$G,2,FALSE),"")</f>
        <v/>
      </c>
      <c r="F780" t="str">
        <f t="shared" ca="1" si="111"/>
        <v>for(変数に値を代入してコマンドを実行)</v>
      </c>
      <c r="G780">
        <f ca="1">IF($F780="","",COUNTIF($F$3:$F780,$F780))</f>
        <v>1</v>
      </c>
      <c r="H780">
        <f ca="1">IF(OR(G780&gt;1,G780=""),"",COUNTIF($G$3:$G780,1))</f>
        <v>704</v>
      </c>
      <c r="I780" t="str">
        <f t="shared" ca="1" si="112"/>
        <v>for(変数に値を代入してコマンドを実行)</v>
      </c>
      <c r="K780">
        <f t="shared" si="116"/>
        <v>777</v>
      </c>
      <c r="L780" t="str">
        <f t="shared" ca="1" si="109"/>
        <v>直前コマンドのn～最終トークン</v>
      </c>
      <c r="M780" s="2" t="str">
        <f t="shared" ca="1" si="108"/>
        <v/>
      </c>
      <c r="N780" s="2" t="str">
        <f t="shared" ca="1" si="110"/>
        <v/>
      </c>
      <c r="O780" s="2" t="str">
        <f t="shared" ca="1" si="113"/>
        <v/>
      </c>
      <c r="P780" s="2" t="str">
        <f t="shared" ca="1" si="114"/>
        <v>○</v>
      </c>
    </row>
    <row r="781" spans="1:16">
      <c r="A781">
        <f t="shared" si="115"/>
        <v>778</v>
      </c>
      <c r="B781" t="str">
        <f ca="1">IFERROR(VLOOKUP($A781,'vbs,vba'!$G:$H,2,FALSE),"")</f>
        <v/>
      </c>
      <c r="C781" t="str">
        <f ca="1">IFERROR(VLOOKUP($A781,python!$I:$J,2,FALSE),"")</f>
        <v/>
      </c>
      <c r="D781" t="str">
        <f ca="1">IFERROR(VLOOKUP($A781,bat!$F:$G,2,FALSE),"")</f>
        <v>for(その他)</v>
      </c>
      <c r="E781" t="str">
        <f ca="1">IFERROR(VLOOKUP($A781,shell!$F:$G,2,FALSE),"")</f>
        <v/>
      </c>
      <c r="F781" t="str">
        <f t="shared" ca="1" si="111"/>
        <v>for(その他)</v>
      </c>
      <c r="G781">
        <f ca="1">IF($F781="","",COUNTIF($F$3:$F781,$F781))</f>
        <v>1</v>
      </c>
      <c r="H781">
        <f ca="1">IF(OR(G781&gt;1,G781=""),"",COUNTIF($G$3:$G781,1))</f>
        <v>705</v>
      </c>
      <c r="I781" t="str">
        <f t="shared" ca="1" si="112"/>
        <v>for(その他)</v>
      </c>
      <c r="K781">
        <f t="shared" si="116"/>
        <v>778</v>
      </c>
      <c r="L781" t="str">
        <f t="shared" ca="1" si="109"/>
        <v>コマンド連続実行(逐次)(cmd1実行結果に関わらず)</v>
      </c>
      <c r="M781" s="2" t="str">
        <f t="shared" ca="1" si="108"/>
        <v/>
      </c>
      <c r="N781" s="2" t="str">
        <f t="shared" ca="1" si="110"/>
        <v/>
      </c>
      <c r="O781" s="2" t="str">
        <f t="shared" ca="1" si="113"/>
        <v/>
      </c>
      <c r="P781" s="2" t="str">
        <f t="shared" ca="1" si="114"/>
        <v>○</v>
      </c>
    </row>
    <row r="782" spans="1:16">
      <c r="A782">
        <f t="shared" si="115"/>
        <v>779</v>
      </c>
      <c r="B782" t="str">
        <f ca="1">IFERROR(VLOOKUP($A782,'vbs,vba'!$G:$H,2,FALSE),"")</f>
        <v/>
      </c>
      <c r="C782" t="str">
        <f ca="1">IFERROR(VLOOKUP($A782,python!$I:$J,2,FALSE),"")</f>
        <v/>
      </c>
      <c r="D782" t="str">
        <f ca="1">IFERROR(VLOOKUP($A782,bat!$F:$G,2,FALSE),"")</f>
        <v>コメント</v>
      </c>
      <c r="E782" t="str">
        <f ca="1">IFERROR(VLOOKUP($A782,shell!$F:$G,2,FALSE),"")</f>
        <v/>
      </c>
      <c r="F782" t="str">
        <f t="shared" ca="1" si="111"/>
        <v>コメント</v>
      </c>
      <c r="G782">
        <f ca="1">IF($F782="","",COUNTIF($F$3:$F782,$F782))</f>
        <v>2</v>
      </c>
      <c r="H782" t="str">
        <f ca="1">IF(OR(G782&gt;1,G782=""),"",COUNTIF($G$3:$G782,1))</f>
        <v/>
      </c>
      <c r="I782" t="str">
        <f t="shared" ca="1" si="112"/>
        <v>コメント</v>
      </c>
      <c r="K782">
        <f t="shared" si="116"/>
        <v>779</v>
      </c>
      <c r="L782" t="str">
        <f t="shared" ca="1" si="109"/>
        <v>コマンド連続実行(逐次)(cmd1正常終了時のみ)</v>
      </c>
      <c r="M782" s="2" t="str">
        <f t="shared" ca="1" si="108"/>
        <v/>
      </c>
      <c r="N782" s="2" t="str">
        <f t="shared" ca="1" si="110"/>
        <v/>
      </c>
      <c r="O782" s="2" t="str">
        <f t="shared" ca="1" si="113"/>
        <v/>
      </c>
      <c r="P782" s="2" t="str">
        <f t="shared" ca="1" si="114"/>
        <v>○</v>
      </c>
    </row>
    <row r="783" spans="1:16">
      <c r="A783">
        <f t="shared" si="115"/>
        <v>780</v>
      </c>
      <c r="B783" t="str">
        <f ca="1">IFERROR(VLOOKUP($A783,'vbs,vba'!$G:$H,2,FALSE),"")</f>
        <v/>
      </c>
      <c r="C783" t="str">
        <f ca="1">IFERROR(VLOOKUP($A783,python!$I:$J,2,FALSE),"")</f>
        <v/>
      </c>
      <c r="D783" t="str">
        <f ca="1">IFERROR(VLOOKUP($A783,bat!$F:$G,2,FALSE),"")</f>
        <v>出力</v>
      </c>
      <c r="E783" t="str">
        <f ca="1">IFERROR(VLOOKUP($A783,shell!$F:$G,2,FALSE),"")</f>
        <v/>
      </c>
      <c r="F783" t="str">
        <f t="shared" ca="1" si="111"/>
        <v>出力</v>
      </c>
      <c r="G783">
        <f ca="1">IF($F783="","",COUNTIF($F$3:$F783,$F783))</f>
        <v>1</v>
      </c>
      <c r="H783">
        <f ca="1">IF(OR(G783&gt;1,G783=""),"",COUNTIF($G$3:$G783,1))</f>
        <v>706</v>
      </c>
      <c r="I783" t="str">
        <f t="shared" ca="1" si="112"/>
        <v>出力</v>
      </c>
      <c r="K783">
        <f t="shared" si="116"/>
        <v>780</v>
      </c>
      <c r="L783" t="str">
        <f t="shared" ca="1" si="109"/>
        <v>コマンド連続実行(逐次)(cmd1異常終了時のみ)</v>
      </c>
      <c r="M783" s="2" t="str">
        <f t="shared" ca="1" si="108"/>
        <v/>
      </c>
      <c r="N783" s="2" t="str">
        <f t="shared" ca="1" si="110"/>
        <v/>
      </c>
      <c r="O783" s="2" t="str">
        <f t="shared" ca="1" si="113"/>
        <v/>
      </c>
      <c r="P783" s="2" t="str">
        <f t="shared" ca="1" si="114"/>
        <v>○</v>
      </c>
    </row>
    <row r="784" spans="1:16">
      <c r="A784">
        <f t="shared" si="115"/>
        <v>781</v>
      </c>
      <c r="B784" t="str">
        <f ca="1">IFERROR(VLOOKUP($A784,'vbs,vba'!$G:$H,2,FALSE),"")</f>
        <v/>
      </c>
      <c r="C784" t="str">
        <f ca="1">IFERROR(VLOOKUP($A784,python!$I:$J,2,FALSE),"")</f>
        <v/>
      </c>
      <c r="D784" t="str">
        <f ca="1">IFERROR(VLOOKUP($A784,bat!$F:$G,2,FALSE),"")</f>
        <v>出力（改行のみ）</v>
      </c>
      <c r="E784" t="str">
        <f ca="1">IFERROR(VLOOKUP($A784,shell!$F:$G,2,FALSE),"")</f>
        <v/>
      </c>
      <c r="F784" t="str">
        <f t="shared" ca="1" si="111"/>
        <v>出力（改行のみ）</v>
      </c>
      <c r="G784">
        <f ca="1">IF($F784="","",COUNTIF($F$3:$F784,$F784))</f>
        <v>1</v>
      </c>
      <c r="H784">
        <f ca="1">IF(OR(G784&gt;1,G784=""),"",COUNTIF($G$3:$G784,1))</f>
        <v>707</v>
      </c>
      <c r="I784" t="str">
        <f t="shared" ca="1" si="112"/>
        <v>出力（改行のみ）</v>
      </c>
      <c r="K784">
        <f t="shared" si="116"/>
        <v>781</v>
      </c>
      <c r="L784" t="str">
        <f t="shared" ca="1" si="109"/>
        <v>コマンド連続実行(並列)(cmd1実行結果に関わらず)</v>
      </c>
      <c r="M784" s="2" t="str">
        <f t="shared" ca="1" si="108"/>
        <v/>
      </c>
      <c r="N784" s="2" t="str">
        <f t="shared" ca="1" si="110"/>
        <v/>
      </c>
      <c r="O784" s="2" t="str">
        <f t="shared" ca="1" si="113"/>
        <v/>
      </c>
      <c r="P784" s="2" t="str">
        <f t="shared" ca="1" si="114"/>
        <v>○</v>
      </c>
    </row>
    <row r="785" spans="1:16">
      <c r="A785">
        <f t="shared" si="115"/>
        <v>782</v>
      </c>
      <c r="B785" t="str">
        <f ca="1">IFERROR(VLOOKUP($A785,'vbs,vba'!$G:$H,2,FALSE),"")</f>
        <v/>
      </c>
      <c r="C785" t="str">
        <f ca="1">IFERROR(VLOOKUP($A785,python!$I:$J,2,FALSE),"")</f>
        <v/>
      </c>
      <c r="D785" t="str">
        <f ca="1">IFERROR(VLOOKUP($A785,bat!$F:$G,2,FALSE),"")</f>
        <v>出力抑制</v>
      </c>
      <c r="E785" t="str">
        <f ca="1">IFERROR(VLOOKUP($A785,shell!$F:$G,2,FALSE),"")</f>
        <v/>
      </c>
      <c r="F785" t="str">
        <f t="shared" ca="1" si="111"/>
        <v>出力抑制</v>
      </c>
      <c r="G785">
        <f ca="1">IF($F785="","",COUNTIF($F$3:$F785,$F785))</f>
        <v>1</v>
      </c>
      <c r="H785">
        <f ca="1">IF(OR(G785&gt;1,G785=""),"",COUNTIF($G$3:$G785,1))</f>
        <v>708</v>
      </c>
      <c r="I785" t="str">
        <f t="shared" ca="1" si="112"/>
        <v>出力抑制</v>
      </c>
      <c r="K785">
        <f t="shared" si="116"/>
        <v>782</v>
      </c>
      <c r="L785" t="str">
        <f t="shared" ca="1" si="109"/>
        <v>コマンド連続実行(実行結果引渡し)(cmd1標準出力→cmd2標準入力)</v>
      </c>
      <c r="M785" s="2" t="str">
        <f t="shared" ca="1" si="108"/>
        <v/>
      </c>
      <c r="N785" s="2" t="str">
        <f t="shared" ca="1" si="110"/>
        <v/>
      </c>
      <c r="O785" s="2" t="str">
        <f t="shared" ca="1" si="113"/>
        <v/>
      </c>
      <c r="P785" s="2" t="str">
        <f t="shared" ca="1" si="114"/>
        <v>○</v>
      </c>
    </row>
    <row r="786" spans="1:16">
      <c r="A786">
        <f t="shared" si="115"/>
        <v>783</v>
      </c>
      <c r="B786" t="str">
        <f ca="1">IFERROR(VLOOKUP($A786,'vbs,vba'!$G:$H,2,FALSE),"")</f>
        <v/>
      </c>
      <c r="C786" t="str">
        <f ca="1">IFERROR(VLOOKUP($A786,python!$I:$J,2,FALSE),"")</f>
        <v/>
      </c>
      <c r="D786" t="str">
        <f ca="1">IFERROR(VLOOKUP($A786,bat!$F:$G,2,FALSE),"")</f>
        <v>２分後にシャットダウン</v>
      </c>
      <c r="E786" t="str">
        <f ca="1">IFERROR(VLOOKUP($A786,shell!$F:$G,2,FALSE),"")</f>
        <v/>
      </c>
      <c r="F786" t="str">
        <f t="shared" ca="1" si="111"/>
        <v>２分後にシャットダウン</v>
      </c>
      <c r="G786">
        <f ca="1">IF($F786="","",COUNTIF($F$3:$F786,$F786))</f>
        <v>1</v>
      </c>
      <c r="H786">
        <f ca="1">IF(OR(G786&gt;1,G786=""),"",COUNTIF($G$3:$G786,1))</f>
        <v>709</v>
      </c>
      <c r="I786" t="str">
        <f t="shared" ca="1" si="112"/>
        <v>２分後にシャットダウン</v>
      </c>
      <c r="K786">
        <f t="shared" si="116"/>
        <v>783</v>
      </c>
      <c r="L786" t="str">
        <f t="shared" ca="1" si="109"/>
        <v>コマンド連続実行(実行結果引渡し)(cmd1標準出力＆エラー出力→cmd2標準入力)</v>
      </c>
      <c r="M786" s="2" t="str">
        <f t="shared" ca="1" si="108"/>
        <v/>
      </c>
      <c r="N786" s="2" t="str">
        <f t="shared" ca="1" si="110"/>
        <v/>
      </c>
      <c r="O786" s="2" t="str">
        <f t="shared" ca="1" si="113"/>
        <v/>
      </c>
      <c r="P786" s="2" t="str">
        <f t="shared" ca="1" si="114"/>
        <v>○</v>
      </c>
    </row>
    <row r="787" spans="1:16">
      <c r="A787">
        <f t="shared" si="115"/>
        <v>784</v>
      </c>
      <c r="B787" t="str">
        <f ca="1">IFERROR(VLOOKUP($A787,'vbs,vba'!$G:$H,2,FALSE),"")</f>
        <v/>
      </c>
      <c r="C787" t="str">
        <f ca="1">IFERROR(VLOOKUP($A787,python!$I:$J,2,FALSE),"")</f>
        <v/>
      </c>
      <c r="D787" t="str">
        <f ca="1">IFERROR(VLOOKUP($A787,bat!$F:$G,2,FALSE),"")</f>
        <v>２分後に再起動</v>
      </c>
      <c r="E787" t="str">
        <f ca="1">IFERROR(VLOOKUP($A787,shell!$F:$G,2,FALSE),"")</f>
        <v/>
      </c>
      <c r="F787" t="str">
        <f t="shared" ca="1" si="111"/>
        <v>２分後に再起動</v>
      </c>
      <c r="G787">
        <f ca="1">IF($F787="","",COUNTIF($F$3:$F787,$F787))</f>
        <v>1</v>
      </c>
      <c r="H787">
        <f ca="1">IF(OR(G787&gt;1,G787=""),"",COUNTIF($G$3:$G787,1))</f>
        <v>710</v>
      </c>
      <c r="I787" t="str">
        <f t="shared" ca="1" si="112"/>
        <v>２分後に再起動</v>
      </c>
      <c r="K787">
        <f t="shared" si="116"/>
        <v>784</v>
      </c>
      <c r="L787" t="str">
        <f t="shared" ca="1" si="109"/>
        <v>まとめてコマンド実行(サブシェル)</v>
      </c>
      <c r="M787" s="2" t="str">
        <f t="shared" ca="1" si="108"/>
        <v/>
      </c>
      <c r="N787" s="2" t="str">
        <f t="shared" ca="1" si="110"/>
        <v/>
      </c>
      <c r="O787" s="2" t="str">
        <f t="shared" ca="1" si="113"/>
        <v/>
      </c>
      <c r="P787" s="2" t="str">
        <f t="shared" ca="1" si="114"/>
        <v>○</v>
      </c>
    </row>
    <row r="788" spans="1:16">
      <c r="A788">
        <f t="shared" si="115"/>
        <v>785</v>
      </c>
      <c r="B788" t="str">
        <f ca="1">IFERROR(VLOOKUP($A788,'vbs,vba'!$G:$H,2,FALSE),"")</f>
        <v/>
      </c>
      <c r="C788" t="str">
        <f ca="1">IFERROR(VLOOKUP($A788,python!$I:$J,2,FALSE),"")</f>
        <v/>
      </c>
      <c r="D788" t="str">
        <f ca="1">IFERROR(VLOOKUP($A788,bat!$F:$G,2,FALSE),"")</f>
        <v>シャットダウンをキャンセル</v>
      </c>
      <c r="E788" t="str">
        <f ca="1">IFERROR(VLOOKUP($A788,shell!$F:$G,2,FALSE),"")</f>
        <v/>
      </c>
      <c r="F788" t="str">
        <f t="shared" ca="1" si="111"/>
        <v>シャットダウンをキャンセル</v>
      </c>
      <c r="G788">
        <f ca="1">IF($F788="","",COUNTIF($F$3:$F788,$F788))</f>
        <v>1</v>
      </c>
      <c r="H788">
        <f ca="1">IF(OR(G788&gt;1,G788=""),"",COUNTIF($G$3:$G788,1))</f>
        <v>711</v>
      </c>
      <c r="I788" t="str">
        <f t="shared" ca="1" si="112"/>
        <v>シャットダウンをキャンセル</v>
      </c>
      <c r="K788">
        <f t="shared" si="116"/>
        <v>785</v>
      </c>
      <c r="L788" t="str">
        <f t="shared" ca="1" si="109"/>
        <v>まとめてコマンド実行(現在シェル)</v>
      </c>
      <c r="M788" s="2" t="str">
        <f t="shared" ca="1" si="108"/>
        <v/>
      </c>
      <c r="N788" s="2" t="str">
        <f t="shared" ca="1" si="110"/>
        <v/>
      </c>
      <c r="O788" s="2" t="str">
        <f t="shared" ca="1" si="113"/>
        <v/>
      </c>
      <c r="P788" s="2" t="str">
        <f t="shared" ca="1" si="114"/>
        <v>○</v>
      </c>
    </row>
    <row r="789" spans="1:16">
      <c r="A789">
        <f t="shared" si="115"/>
        <v>786</v>
      </c>
      <c r="B789" t="str">
        <f ca="1">IFERROR(VLOOKUP($A789,'vbs,vba'!$G:$H,2,FALSE),"")</f>
        <v/>
      </c>
      <c r="C789" t="str">
        <f ca="1">IFERROR(VLOOKUP($A789,python!$I:$J,2,FALSE),"")</f>
        <v/>
      </c>
      <c r="D789" t="str">
        <f ca="1">IFERROR(VLOOKUP($A789,bat!$F:$G,2,FALSE),"")</f>
        <v>遅延展開変数設定</v>
      </c>
      <c r="E789" t="str">
        <f ca="1">IFERROR(VLOOKUP($A789,shell!$F:$G,2,FALSE),"")</f>
        <v/>
      </c>
      <c r="F789" t="str">
        <f t="shared" ca="1" si="111"/>
        <v>遅延展開変数設定</v>
      </c>
      <c r="G789">
        <f ca="1">IF($F789="","",COUNTIF($F$3:$F789,$F789))</f>
        <v>1</v>
      </c>
      <c r="H789">
        <f ca="1">IF(OR(G789&gt;1,G789=""),"",COUNTIF($G$3:$G789,1))</f>
        <v>712</v>
      </c>
      <c r="I789" t="str">
        <f t="shared" ca="1" si="112"/>
        <v>遅延展開変数設定</v>
      </c>
      <c r="K789">
        <f t="shared" si="116"/>
        <v>786</v>
      </c>
      <c r="L789" t="str">
        <f t="shared" ca="1" si="109"/>
        <v>サブシェル実行結果保存1</v>
      </c>
      <c r="M789" s="2" t="str">
        <f t="shared" ca="1" si="108"/>
        <v/>
      </c>
      <c r="N789" s="2" t="str">
        <f t="shared" ca="1" si="110"/>
        <v/>
      </c>
      <c r="O789" s="2" t="str">
        <f t="shared" ca="1" si="113"/>
        <v/>
      </c>
      <c r="P789" s="2" t="str">
        <f t="shared" ca="1" si="114"/>
        <v>○</v>
      </c>
    </row>
    <row r="790" spans="1:16">
      <c r="A790">
        <f t="shared" si="115"/>
        <v>787</v>
      </c>
      <c r="B790" t="str">
        <f ca="1">IFERROR(VLOOKUP($A790,'vbs,vba'!$G:$H,2,FALSE),"")</f>
        <v/>
      </c>
      <c r="C790" t="str">
        <f ca="1">IFERROR(VLOOKUP($A790,python!$I:$J,2,FALSE),"")</f>
        <v/>
      </c>
      <c r="D790" t="str">
        <f ca="1">IFERROR(VLOOKUP($A790,bat!$F:$G,2,FALSE),"")</f>
        <v>プログラム終了</v>
      </c>
      <c r="E790" t="str">
        <f ca="1">IFERROR(VLOOKUP($A790,shell!$F:$G,2,FALSE),"")</f>
        <v/>
      </c>
      <c r="F790" t="str">
        <f t="shared" ca="1" si="111"/>
        <v>プログラム終了</v>
      </c>
      <c r="G790">
        <f ca="1">IF($F790="","",COUNTIF($F$3:$F790,$F790))</f>
        <v>2</v>
      </c>
      <c r="H790" t="str">
        <f ca="1">IF(OR(G790&gt;1,G790=""),"",COUNTIF($G$3:$G790,1))</f>
        <v/>
      </c>
      <c r="I790" t="str">
        <f t="shared" ca="1" si="112"/>
        <v>プログラム終了</v>
      </c>
      <c r="K790">
        <f t="shared" si="116"/>
        <v>787</v>
      </c>
      <c r="L790" t="str">
        <f t="shared" ca="1" si="109"/>
        <v>サブシェル実行結果保存2</v>
      </c>
      <c r="M790" s="2" t="str">
        <f t="shared" ca="1" si="108"/>
        <v/>
      </c>
      <c r="N790" s="2" t="str">
        <f t="shared" ca="1" si="110"/>
        <v/>
      </c>
      <c r="O790" s="2" t="str">
        <f t="shared" ca="1" si="113"/>
        <v/>
      </c>
      <c r="P790" s="2" t="str">
        <f t="shared" ca="1" si="114"/>
        <v>○</v>
      </c>
    </row>
    <row r="791" spans="1:16">
      <c r="A791">
        <f t="shared" si="115"/>
        <v>788</v>
      </c>
      <c r="B791" t="str">
        <f ca="1">IFERROR(VLOOKUP($A791,'vbs,vba'!$G:$H,2,FALSE),"")</f>
        <v/>
      </c>
      <c r="C791" t="str">
        <f ca="1">IFERROR(VLOOKUP($A791,python!$I:$J,2,FALSE),"")</f>
        <v/>
      </c>
      <c r="D791" t="str">
        <f ca="1">IFERROR(VLOOKUP($A791,bat!$F:$G,2,FALSE),"")</f>
        <v>環境変数 設定</v>
      </c>
      <c r="E791" t="str">
        <f ca="1">IFERROR(VLOOKUP($A791,shell!$F:$G,2,FALSE),"")</f>
        <v/>
      </c>
      <c r="F791" t="str">
        <f t="shared" ca="1" si="111"/>
        <v>環境変数 設定</v>
      </c>
      <c r="G791">
        <f ca="1">IF($F791="","",COUNTIF($F$3:$F791,$F791))</f>
        <v>1</v>
      </c>
      <c r="H791">
        <f ca="1">IF(OR(G791&gt;1,G791=""),"",COUNTIF($G$3:$G791,1))</f>
        <v>713</v>
      </c>
      <c r="I791" t="str">
        <f t="shared" ca="1" si="112"/>
        <v>環境変数 設定</v>
      </c>
      <c r="K791">
        <f t="shared" si="116"/>
        <v>788</v>
      </c>
      <c r="L791" t="str">
        <f t="shared" ca="1" si="109"/>
        <v>シェルスクリプト実行(現在シェル)</v>
      </c>
      <c r="M791" s="2" t="str">
        <f t="shared" ca="1" si="108"/>
        <v/>
      </c>
      <c r="N791" s="2" t="str">
        <f t="shared" ca="1" si="110"/>
        <v/>
      </c>
      <c r="O791" s="2" t="str">
        <f t="shared" ca="1" si="113"/>
        <v/>
      </c>
      <c r="P791" s="2" t="str">
        <f t="shared" ca="1" si="114"/>
        <v>○</v>
      </c>
    </row>
    <row r="792" spans="1:16">
      <c r="A792">
        <f t="shared" si="115"/>
        <v>789</v>
      </c>
      <c r="B792" t="str">
        <f ca="1">IFERROR(VLOOKUP($A792,'vbs,vba'!$G:$H,2,FALSE),"")</f>
        <v/>
      </c>
      <c r="C792" t="str">
        <f ca="1">IFERROR(VLOOKUP($A792,python!$I:$J,2,FALSE),"")</f>
        <v/>
      </c>
      <c r="D792" t="str">
        <f ca="1">IFERROR(VLOOKUP($A792,bat!$F:$G,2,FALSE),"")</f>
        <v>環境変数 解除</v>
      </c>
      <c r="E792" t="str">
        <f ca="1">IFERROR(VLOOKUP($A792,shell!$F:$G,2,FALSE),"")</f>
        <v/>
      </c>
      <c r="F792" t="str">
        <f t="shared" ca="1" si="111"/>
        <v>環境変数 解除</v>
      </c>
      <c r="G792">
        <f ca="1">IF($F792="","",COUNTIF($F$3:$F792,$F792))</f>
        <v>1</v>
      </c>
      <c r="H792">
        <f ca="1">IF(OR(G792&gt;1,G792=""),"",COUNTIF($G$3:$G792,1))</f>
        <v>714</v>
      </c>
      <c r="I792" t="str">
        <f t="shared" ca="1" si="112"/>
        <v>環境変数 解除</v>
      </c>
      <c r="K792">
        <f t="shared" si="116"/>
        <v>789</v>
      </c>
      <c r="L792" t="str">
        <f t="shared" ca="1" si="109"/>
        <v>シェルスクリプト実行(サブシェル)</v>
      </c>
      <c r="M792" s="2" t="str">
        <f t="shared" ca="1" si="108"/>
        <v/>
      </c>
      <c r="N792" s="2" t="str">
        <f t="shared" ca="1" si="110"/>
        <v/>
      </c>
      <c r="O792" s="2" t="str">
        <f t="shared" ca="1" si="113"/>
        <v/>
      </c>
      <c r="P792" s="2" t="str">
        <f t="shared" ca="1" si="114"/>
        <v>○</v>
      </c>
    </row>
    <row r="793" spans="1:16">
      <c r="A793">
        <f t="shared" si="115"/>
        <v>790</v>
      </c>
      <c r="B793" t="str">
        <f ca="1">IFERROR(VLOOKUP($A793,'vbs,vba'!$G:$H,2,FALSE),"")</f>
        <v/>
      </c>
      <c r="C793" t="str">
        <f ca="1">IFERROR(VLOOKUP($A793,python!$I:$J,2,FALSE),"")</f>
        <v/>
      </c>
      <c r="D793" t="str">
        <f ca="1">IFERROR(VLOOKUP($A793,bat!$F:$G,2,FALSE),"")</f>
        <v>環境変数 存在確認</v>
      </c>
      <c r="E793" t="str">
        <f ca="1">IFERROR(VLOOKUP($A793,shell!$F:$G,2,FALSE),"")</f>
        <v/>
      </c>
      <c r="F793" t="str">
        <f t="shared" ca="1" si="111"/>
        <v>環境変数 存在確認</v>
      </c>
      <c r="G793">
        <f ca="1">IF($F793="","",COUNTIF($F$3:$F793,$F793))</f>
        <v>1</v>
      </c>
      <c r="H793">
        <f ca="1">IF(OR(G793&gt;1,G793=""),"",COUNTIF($G$3:$G793,1))</f>
        <v>715</v>
      </c>
      <c r="I793" t="str">
        <f t="shared" ca="1" si="112"/>
        <v>環境変数 存在確認</v>
      </c>
      <c r="K793">
        <f t="shared" si="116"/>
        <v>790</v>
      </c>
      <c r="L793" t="str">
        <f t="shared" ca="1" si="109"/>
        <v>変数参照</v>
      </c>
      <c r="M793" s="2" t="str">
        <f t="shared" ca="1" si="108"/>
        <v/>
      </c>
      <c r="N793" s="2" t="str">
        <f t="shared" ca="1" si="110"/>
        <v/>
      </c>
      <c r="O793" s="2" t="str">
        <f t="shared" ca="1" si="113"/>
        <v/>
      </c>
      <c r="P793" s="2" t="str">
        <f t="shared" ca="1" si="114"/>
        <v>○</v>
      </c>
    </row>
    <row r="794" spans="1:16">
      <c r="A794">
        <f t="shared" si="115"/>
        <v>791</v>
      </c>
      <c r="B794" t="str">
        <f ca="1">IFERROR(VLOOKUP($A794,'vbs,vba'!$G:$H,2,FALSE),"")</f>
        <v/>
      </c>
      <c r="C794" t="str">
        <f ca="1">IFERROR(VLOOKUP($A794,python!$I:$J,2,FALSE),"")</f>
        <v/>
      </c>
      <c r="D794" t="str">
        <f ca="1">IFERROR(VLOOKUP($A794,bat!$F:$G,2,FALSE),"")</f>
        <v>Windows 60秒後にシャットダウン</v>
      </c>
      <c r="E794" t="str">
        <f ca="1">IFERROR(VLOOKUP($A794,shell!$F:$G,2,FALSE),"")</f>
        <v/>
      </c>
      <c r="F794" t="str">
        <f t="shared" ca="1" si="111"/>
        <v>Windows 60秒後にシャットダウン</v>
      </c>
      <c r="G794">
        <f ca="1">IF($F794="","",COUNTIF($F$3:$F794,$F794))</f>
        <v>1</v>
      </c>
      <c r="H794">
        <f ca="1">IF(OR(G794&gt;1,G794=""),"",COUNTIF($G$3:$G794,1))</f>
        <v>716</v>
      </c>
      <c r="I794" t="str">
        <f t="shared" ca="1" si="112"/>
        <v>Windows 60秒後にシャットダウン</v>
      </c>
      <c r="K794">
        <f t="shared" si="116"/>
        <v>791</v>
      </c>
      <c r="L794" t="str">
        <f t="shared" ca="1" si="109"/>
        <v>変数参照(非空文字列時word返却＆var非保存)</v>
      </c>
      <c r="M794" s="2" t="str">
        <f t="shared" ca="1" si="108"/>
        <v/>
      </c>
      <c r="N794" s="2" t="str">
        <f t="shared" ca="1" si="110"/>
        <v/>
      </c>
      <c r="O794" s="2" t="str">
        <f t="shared" ca="1" si="113"/>
        <v/>
      </c>
      <c r="P794" s="2" t="str">
        <f t="shared" ca="1" si="114"/>
        <v>○</v>
      </c>
    </row>
    <row r="795" spans="1:16">
      <c r="A795">
        <f t="shared" si="115"/>
        <v>792</v>
      </c>
      <c r="B795" t="str">
        <f ca="1">IFERROR(VLOOKUP($A795,'vbs,vba'!$G:$H,2,FALSE),"")</f>
        <v/>
      </c>
      <c r="C795" t="str">
        <f ca="1">IFERROR(VLOOKUP($A795,python!$I:$J,2,FALSE),"")</f>
        <v/>
      </c>
      <c r="D795" t="str">
        <f ca="1">IFERROR(VLOOKUP($A795,bat!$F:$G,2,FALSE),"")</f>
        <v>Windows 60秒後に再起動</v>
      </c>
      <c r="E795" t="str">
        <f ca="1">IFERROR(VLOOKUP($A795,shell!$F:$G,2,FALSE),"")</f>
        <v/>
      </c>
      <c r="F795" t="str">
        <f t="shared" ca="1" si="111"/>
        <v>Windows 60秒後に再起動</v>
      </c>
      <c r="G795">
        <f ca="1">IF($F795="","",COUNTIF($F$3:$F795,$F795))</f>
        <v>1</v>
      </c>
      <c r="H795">
        <f ca="1">IF(OR(G795&gt;1,G795=""),"",COUNTIF($G$3:$G795,1))</f>
        <v>717</v>
      </c>
      <c r="I795" t="str">
        <f t="shared" ca="1" si="112"/>
        <v>Windows 60秒後に再起動</v>
      </c>
      <c r="K795">
        <f t="shared" si="116"/>
        <v>792</v>
      </c>
      <c r="L795" t="str">
        <f t="shared" ca="1" si="109"/>
        <v>変数参照(　空文字列時word返却＆var非保存)</v>
      </c>
      <c r="M795" s="2" t="str">
        <f t="shared" ca="1" si="108"/>
        <v/>
      </c>
      <c r="N795" s="2" t="str">
        <f t="shared" ca="1" si="110"/>
        <v/>
      </c>
      <c r="O795" s="2" t="str">
        <f t="shared" ca="1" si="113"/>
        <v/>
      </c>
      <c r="P795" s="2" t="str">
        <f t="shared" ca="1" si="114"/>
        <v>○</v>
      </c>
    </row>
    <row r="796" spans="1:16">
      <c r="A796">
        <f t="shared" si="115"/>
        <v>793</v>
      </c>
      <c r="B796" t="str">
        <f ca="1">IFERROR(VLOOKUP($A796,'vbs,vba'!$G:$H,2,FALSE),"")</f>
        <v/>
      </c>
      <c r="C796" t="str">
        <f ca="1">IFERROR(VLOOKUP($A796,python!$I:$J,2,FALSE),"")</f>
        <v/>
      </c>
      <c r="D796" t="str">
        <f ca="1">IFERROR(VLOOKUP($A796,bat!$F:$G,2,FALSE),"")</f>
        <v>カレントディレクトリ取得</v>
      </c>
      <c r="E796" t="str">
        <f ca="1">IFERROR(VLOOKUP($A796,shell!$F:$G,2,FALSE),"")</f>
        <v/>
      </c>
      <c r="F796" t="str">
        <f t="shared" ca="1" si="111"/>
        <v>カレントディレクトリ取得</v>
      </c>
      <c r="G796">
        <f ca="1">IF($F796="","",COUNTIF($F$3:$F796,$F796))</f>
        <v>2</v>
      </c>
      <c r="H796" t="str">
        <f ca="1">IF(OR(G796&gt;1,G796=""),"",COUNTIF($G$3:$G796,1))</f>
        <v/>
      </c>
      <c r="I796" t="str">
        <f t="shared" ca="1" si="112"/>
        <v>カレントディレクトリ取得</v>
      </c>
      <c r="K796">
        <f t="shared" si="116"/>
        <v>793</v>
      </c>
      <c r="L796" t="str">
        <f t="shared" ca="1" si="109"/>
        <v>変数参照(　空文字列時word返却＆var　保存)</v>
      </c>
      <c r="M796" s="2" t="str">
        <f t="shared" ca="1" si="108"/>
        <v/>
      </c>
      <c r="N796" s="2" t="str">
        <f t="shared" ca="1" si="110"/>
        <v/>
      </c>
      <c r="O796" s="2" t="str">
        <f t="shared" ca="1" si="113"/>
        <v/>
      </c>
      <c r="P796" s="2" t="str">
        <f t="shared" ca="1" si="114"/>
        <v>○</v>
      </c>
    </row>
    <row r="797" spans="1:16">
      <c r="A797">
        <f t="shared" si="115"/>
        <v>794</v>
      </c>
      <c r="B797" t="str">
        <f ca="1">IFERROR(VLOOKUP($A797,'vbs,vba'!$G:$H,2,FALSE),"")</f>
        <v/>
      </c>
      <c r="C797" t="str">
        <f ca="1">IFERROR(VLOOKUP($A797,python!$I:$J,2,FALSE),"")</f>
        <v/>
      </c>
      <c r="D797" t="str">
        <f ca="1">IFERROR(VLOOKUP($A797,bat!$F:$G,2,FALSE),"")</f>
        <v>カレントディレクトリ取得</v>
      </c>
      <c r="E797" t="str">
        <f ca="1">IFERROR(VLOOKUP($A797,shell!$F:$G,2,FALSE),"")</f>
        <v/>
      </c>
      <c r="F797" t="str">
        <f t="shared" ca="1" si="111"/>
        <v>カレントディレクトリ取得</v>
      </c>
      <c r="G797">
        <f ca="1">IF($F797="","",COUNTIF($F$3:$F797,$F797))</f>
        <v>3</v>
      </c>
      <c r="H797" t="str">
        <f ca="1">IF(OR(G797&gt;1,G797=""),"",COUNTIF($G$3:$G797,1))</f>
        <v/>
      </c>
      <c r="I797" t="str">
        <f t="shared" ca="1" si="112"/>
        <v>カレントディレクトリ取得</v>
      </c>
      <c r="K797">
        <f t="shared" si="116"/>
        <v>794</v>
      </c>
      <c r="L797" t="str">
        <f t="shared" ca="1" si="109"/>
        <v>変数参照(　空文字列時標準エラー出力表示)</v>
      </c>
      <c r="M797" s="2" t="str">
        <f t="shared" ca="1" si="108"/>
        <v/>
      </c>
      <c r="N797" s="2" t="str">
        <f t="shared" ca="1" si="110"/>
        <v/>
      </c>
      <c r="O797" s="2" t="str">
        <f t="shared" ca="1" si="113"/>
        <v/>
      </c>
      <c r="P797" s="2" t="str">
        <f t="shared" ca="1" si="114"/>
        <v>○</v>
      </c>
    </row>
    <row r="798" spans="1:16">
      <c r="A798">
        <f t="shared" si="115"/>
        <v>795</v>
      </c>
      <c r="B798" t="str">
        <f ca="1">IFERROR(VLOOKUP($A798,'vbs,vba'!$G:$H,2,FALSE),"")</f>
        <v/>
      </c>
      <c r="C798" t="str">
        <f ca="1">IFERROR(VLOOKUP($A798,python!$I:$J,2,FALSE),"")</f>
        <v/>
      </c>
      <c r="D798" t="str">
        <f ca="1">IFERROR(VLOOKUP($A798,bat!$F:$G,2,FALSE),"")</f>
        <v>変数VARの値全体</v>
      </c>
      <c r="E798" t="str">
        <f ca="1">IFERROR(VLOOKUP($A798,shell!$F:$G,2,FALSE),"")</f>
        <v/>
      </c>
      <c r="F798" t="str">
        <f t="shared" ca="1" si="111"/>
        <v>変数VARの値全体</v>
      </c>
      <c r="G798">
        <f ca="1">IF($F798="","",COUNTIF($F$3:$F798,$F798))</f>
        <v>1</v>
      </c>
      <c r="H798">
        <f ca="1">IF(OR(G798&gt;1,G798=""),"",COUNTIF($G$3:$G798,1))</f>
        <v>718</v>
      </c>
      <c r="I798" t="str">
        <f t="shared" ca="1" si="112"/>
        <v>変数VARの値全体</v>
      </c>
      <c r="K798">
        <f t="shared" si="116"/>
        <v>795</v>
      </c>
      <c r="L798" t="str">
        <f t="shared" ca="1" si="109"/>
        <v>変数定義(配列)１</v>
      </c>
      <c r="M798" s="2" t="str">
        <f t="shared" ca="1" si="108"/>
        <v/>
      </c>
      <c r="N798" s="2" t="str">
        <f t="shared" ca="1" si="110"/>
        <v/>
      </c>
      <c r="O798" s="2" t="str">
        <f t="shared" ca="1" si="113"/>
        <v/>
      </c>
      <c r="P798" s="2" t="str">
        <f t="shared" ca="1" si="114"/>
        <v>○</v>
      </c>
    </row>
    <row r="799" spans="1:16">
      <c r="A799">
        <f t="shared" si="115"/>
        <v>796</v>
      </c>
      <c r="B799" t="str">
        <f ca="1">IFERROR(VLOOKUP($A799,'vbs,vba'!$G:$H,2,FALSE),"")</f>
        <v/>
      </c>
      <c r="C799" t="str">
        <f ca="1">IFERROR(VLOOKUP($A799,python!$I:$J,2,FALSE),"")</f>
        <v/>
      </c>
      <c r="D799" t="str">
        <f ca="1">IFERROR(VLOOKUP($A799,bat!$F:$G,2,FALSE),"")</f>
        <v>m文字目から、最後まで</v>
      </c>
      <c r="E799" t="str">
        <f ca="1">IFERROR(VLOOKUP($A799,shell!$F:$G,2,FALSE),"")</f>
        <v/>
      </c>
      <c r="F799" t="str">
        <f t="shared" ca="1" si="111"/>
        <v>m文字目から、最後まで</v>
      </c>
      <c r="G799">
        <f ca="1">IF($F799="","",COUNTIF($F$3:$F799,$F799))</f>
        <v>1</v>
      </c>
      <c r="H799">
        <f ca="1">IF(OR(G799&gt;1,G799=""),"",COUNTIF($G$3:$G799,1))</f>
        <v>719</v>
      </c>
      <c r="I799" t="str">
        <f t="shared" ca="1" si="112"/>
        <v>m文字目から、最後まで</v>
      </c>
      <c r="K799">
        <f t="shared" si="116"/>
        <v>796</v>
      </c>
      <c r="L799" t="str">
        <f t="shared" ca="1" si="109"/>
        <v>変数定義(配列)２</v>
      </c>
      <c r="M799" s="2" t="str">
        <f t="shared" ca="1" si="108"/>
        <v/>
      </c>
      <c r="N799" s="2" t="str">
        <f t="shared" ca="1" si="110"/>
        <v/>
      </c>
      <c r="O799" s="2" t="str">
        <f t="shared" ca="1" si="113"/>
        <v/>
      </c>
      <c r="P799" s="2" t="str">
        <f t="shared" ca="1" si="114"/>
        <v>○</v>
      </c>
    </row>
    <row r="800" spans="1:16">
      <c r="A800">
        <f t="shared" si="115"/>
        <v>797</v>
      </c>
      <c r="B800" t="str">
        <f ca="1">IFERROR(VLOOKUP($A800,'vbs,vba'!$G:$H,2,FALSE),"")</f>
        <v/>
      </c>
      <c r="C800" t="str">
        <f ca="1">IFERROR(VLOOKUP($A800,python!$I:$J,2,FALSE),"")</f>
        <v/>
      </c>
      <c r="D800" t="str">
        <f ca="1">IFERROR(VLOOKUP($A800,bat!$F:$G,2,FALSE),"")</f>
        <v>m文字目から、n文字分</v>
      </c>
      <c r="E800" t="str">
        <f ca="1">IFERROR(VLOOKUP($A800,shell!$F:$G,2,FALSE),"")</f>
        <v/>
      </c>
      <c r="F800" t="str">
        <f t="shared" ca="1" si="111"/>
        <v>m文字目から、n文字分</v>
      </c>
      <c r="G800">
        <f ca="1">IF($F800="","",COUNTIF($F$3:$F800,$F800))</f>
        <v>1</v>
      </c>
      <c r="H800">
        <f ca="1">IF(OR(G800&gt;1,G800=""),"",COUNTIF($G$3:$G800,1))</f>
        <v>720</v>
      </c>
      <c r="I800" t="str">
        <f t="shared" ca="1" si="112"/>
        <v>m文字目から、n文字分</v>
      </c>
      <c r="K800">
        <f t="shared" si="116"/>
        <v>797</v>
      </c>
      <c r="L800" t="str">
        <f t="shared" ca="1" si="109"/>
        <v>変数参照(配列)</v>
      </c>
      <c r="M800" s="2" t="str">
        <f t="shared" ca="1" si="108"/>
        <v/>
      </c>
      <c r="N800" s="2" t="str">
        <f t="shared" ca="1" si="110"/>
        <v/>
      </c>
      <c r="O800" s="2" t="str">
        <f t="shared" ca="1" si="113"/>
        <v/>
      </c>
      <c r="P800" s="2" t="str">
        <f t="shared" ca="1" si="114"/>
        <v>○</v>
      </c>
    </row>
    <row r="801" spans="1:16">
      <c r="A801">
        <f t="shared" si="115"/>
        <v>798</v>
      </c>
      <c r="B801" t="str">
        <f ca="1">IFERROR(VLOOKUP($A801,'vbs,vba'!$G:$H,2,FALSE),"")</f>
        <v/>
      </c>
      <c r="C801" t="str">
        <f ca="1">IFERROR(VLOOKUP($A801,python!$I:$J,2,FALSE),"")</f>
        <v/>
      </c>
      <c r="D801" t="str">
        <f ca="1">IFERROR(VLOOKUP($A801,bat!$F:$G,2,FALSE),"")</f>
        <v>m文字目から、最後のn文字分を除いたもの</v>
      </c>
      <c r="E801" t="str">
        <f ca="1">IFERROR(VLOOKUP($A801,shell!$F:$G,2,FALSE),"")</f>
        <v/>
      </c>
      <c r="F801" t="str">
        <f t="shared" ca="1" si="111"/>
        <v>m文字目から、最後のn文字分を除いたもの</v>
      </c>
      <c r="G801">
        <f ca="1">IF($F801="","",COUNTIF($F$3:$F801,$F801))</f>
        <v>1</v>
      </c>
      <c r="H801">
        <f ca="1">IF(OR(G801&gt;1,G801=""),"",COUNTIF($G$3:$G801,1))</f>
        <v>721</v>
      </c>
      <c r="I801" t="str">
        <f t="shared" ca="1" si="112"/>
        <v>m文字目から、最後のn文字分を除いたもの</v>
      </c>
      <c r="K801">
        <f t="shared" si="116"/>
        <v>798</v>
      </c>
      <c r="L801" t="str">
        <f t="shared" ca="1" si="109"/>
        <v>変数参照(配列サイズ)</v>
      </c>
      <c r="M801" s="2" t="str">
        <f t="shared" ca="1" si="108"/>
        <v/>
      </c>
      <c r="N801" s="2" t="str">
        <f t="shared" ca="1" si="110"/>
        <v/>
      </c>
      <c r="O801" s="2" t="str">
        <f t="shared" ca="1" si="113"/>
        <v/>
      </c>
      <c r="P801" s="2" t="str">
        <f t="shared" ca="1" si="114"/>
        <v>○</v>
      </c>
    </row>
    <row r="802" spans="1:16">
      <c r="A802">
        <f t="shared" si="115"/>
        <v>799</v>
      </c>
      <c r="B802" t="str">
        <f ca="1">IFERROR(VLOOKUP($A802,'vbs,vba'!$G:$H,2,FALSE),"")</f>
        <v/>
      </c>
      <c r="C802" t="str">
        <f ca="1">IFERROR(VLOOKUP($A802,python!$I:$J,2,FALSE),"")</f>
        <v/>
      </c>
      <c r="D802" t="str">
        <f ca="1">IFERROR(VLOOKUP($A802,bat!$F:$G,2,FALSE),"")</f>
        <v>後ろからm文字目から、最後まで</v>
      </c>
      <c r="E802" t="str">
        <f ca="1">IFERROR(VLOOKUP($A802,shell!$F:$G,2,FALSE),"")</f>
        <v/>
      </c>
      <c r="F802" t="str">
        <f t="shared" ca="1" si="111"/>
        <v>後ろからm文字目から、最後まで</v>
      </c>
      <c r="G802">
        <f ca="1">IF($F802="","",COUNTIF($F$3:$F802,$F802))</f>
        <v>1</v>
      </c>
      <c r="H802">
        <f ca="1">IF(OR(G802&gt;1,G802=""),"",COUNTIF($G$3:$G802,1))</f>
        <v>722</v>
      </c>
      <c r="I802" t="str">
        <f t="shared" ca="1" si="112"/>
        <v>後ろからm文字目から、最後まで</v>
      </c>
      <c r="K802">
        <f t="shared" si="116"/>
        <v>799</v>
      </c>
      <c r="L802" t="str">
        <f t="shared" ca="1" si="109"/>
        <v>変数参照(配列全要素取り出し)</v>
      </c>
      <c r="M802" s="2" t="str">
        <f t="shared" ca="1" si="108"/>
        <v/>
      </c>
      <c r="N802" s="2" t="str">
        <f t="shared" ca="1" si="110"/>
        <v/>
      </c>
      <c r="O802" s="2" t="str">
        <f t="shared" ca="1" si="113"/>
        <v/>
      </c>
      <c r="P802" s="2" t="str">
        <f t="shared" ca="1" si="114"/>
        <v>○</v>
      </c>
    </row>
    <row r="803" spans="1:16">
      <c r="A803">
        <f t="shared" si="115"/>
        <v>800</v>
      </c>
      <c r="B803" t="str">
        <f ca="1">IFERROR(VLOOKUP($A803,'vbs,vba'!$G:$H,2,FALSE),"")</f>
        <v/>
      </c>
      <c r="C803" t="str">
        <f ca="1">IFERROR(VLOOKUP($A803,python!$I:$J,2,FALSE),"")</f>
        <v/>
      </c>
      <c r="D803" t="str">
        <f ca="1">IFERROR(VLOOKUP($A803,bat!$F:$G,2,FALSE),"")</f>
        <v>後ろからm文字目から、n文字分</v>
      </c>
      <c r="E803" t="str">
        <f ca="1">IFERROR(VLOOKUP($A803,shell!$F:$G,2,FALSE),"")</f>
        <v/>
      </c>
      <c r="F803" t="str">
        <f t="shared" ca="1" si="111"/>
        <v>後ろからm文字目から、n文字分</v>
      </c>
      <c r="G803">
        <f ca="1">IF($F803="","",COUNTIF($F$3:$F803,$F803))</f>
        <v>1</v>
      </c>
      <c r="H803">
        <f ca="1">IF(OR(G803&gt;1,G803=""),"",COUNTIF($G$3:$G803,1))</f>
        <v>723</v>
      </c>
      <c r="I803" t="str">
        <f t="shared" ca="1" si="112"/>
        <v>後ろからm文字目から、n文字分</v>
      </c>
      <c r="K803">
        <f t="shared" si="116"/>
        <v>800</v>
      </c>
      <c r="L803" t="str">
        <f t="shared" ca="1" si="109"/>
        <v>関数定義削除</v>
      </c>
      <c r="M803" s="2" t="str">
        <f t="shared" ca="1" si="108"/>
        <v/>
      </c>
      <c r="N803" s="2" t="str">
        <f t="shared" ca="1" si="110"/>
        <v/>
      </c>
      <c r="O803" s="2" t="str">
        <f t="shared" ca="1" si="113"/>
        <v/>
      </c>
      <c r="P803" s="2" t="str">
        <f t="shared" ca="1" si="114"/>
        <v>○</v>
      </c>
    </row>
    <row r="804" spans="1:16">
      <c r="A804">
        <f t="shared" si="115"/>
        <v>801</v>
      </c>
      <c r="B804" t="str">
        <f ca="1">IFERROR(VLOOKUP($A804,'vbs,vba'!$G:$H,2,FALSE),"")</f>
        <v/>
      </c>
      <c r="C804" t="str">
        <f ca="1">IFERROR(VLOOKUP($A804,python!$I:$J,2,FALSE),"")</f>
        <v/>
      </c>
      <c r="D804" t="str">
        <f ca="1">IFERROR(VLOOKUP($A804,bat!$F:$G,2,FALSE),"")</f>
        <v>後ろからm文字目から、最後のn文字分を除いたもの</v>
      </c>
      <c r="E804" t="str">
        <f ca="1">IFERROR(VLOOKUP($A804,shell!$F:$G,2,FALSE),"")</f>
        <v/>
      </c>
      <c r="F804" t="str">
        <f t="shared" ca="1" si="111"/>
        <v>後ろからm文字目から、最後のn文字分を除いたもの</v>
      </c>
      <c r="G804">
        <f ca="1">IF($F804="","",COUNTIF($F$3:$F804,$F804))</f>
        <v>1</v>
      </c>
      <c r="H804">
        <f ca="1">IF(OR(G804&gt;1,G804=""),"",COUNTIF($G$3:$G804,1))</f>
        <v>724</v>
      </c>
      <c r="I804" t="str">
        <f t="shared" ca="1" si="112"/>
        <v>後ろからm文字目から、最後のn文字分を除いたもの</v>
      </c>
      <c r="K804">
        <f t="shared" si="116"/>
        <v>801</v>
      </c>
      <c r="L804" t="str">
        <f t="shared" ca="1" si="109"/>
        <v>シェル変数設定</v>
      </c>
      <c r="M804" s="2" t="str">
        <f t="shared" ca="1" si="108"/>
        <v/>
      </c>
      <c r="N804" s="2" t="str">
        <f t="shared" ca="1" si="110"/>
        <v/>
      </c>
      <c r="O804" s="2" t="str">
        <f t="shared" ca="1" si="113"/>
        <v/>
      </c>
      <c r="P804" s="2" t="str">
        <f t="shared" ca="1" si="114"/>
        <v>○</v>
      </c>
    </row>
    <row r="805" spans="1:16">
      <c r="A805">
        <f t="shared" si="115"/>
        <v>802</v>
      </c>
      <c r="B805" t="str">
        <f ca="1">IFERROR(VLOOKUP($A805,'vbs,vba'!$G:$H,2,FALSE),"")</f>
        <v/>
      </c>
      <c r="C805" t="str">
        <f ca="1">IFERROR(VLOOKUP($A805,python!$I:$J,2,FALSE),"")</f>
        <v/>
      </c>
      <c r="D805" t="str">
        <f ca="1">IFERROR(VLOOKUP($A805,bat!$F:$G,2,FALSE),"")</f>
        <v>文字c1を文字c2に置換</v>
      </c>
      <c r="E805" t="str">
        <f ca="1">IFERROR(VLOOKUP($A805,shell!$F:$G,2,FALSE),"")</f>
        <v/>
      </c>
      <c r="F805" t="str">
        <f t="shared" ca="1" si="111"/>
        <v>文字c1を文字c2に置換</v>
      </c>
      <c r="G805">
        <f ca="1">IF($F805="","",COUNTIF($F$3:$F805,$F805))</f>
        <v>1</v>
      </c>
      <c r="H805">
        <f ca="1">IF(OR(G805&gt;1,G805=""),"",COUNTIF($G$3:$G805,1))</f>
        <v>725</v>
      </c>
      <c r="I805" t="str">
        <f t="shared" ca="1" si="112"/>
        <v>文字c1を文字c2に置換</v>
      </c>
      <c r="K805">
        <f t="shared" si="116"/>
        <v>802</v>
      </c>
      <c r="L805" t="str">
        <f t="shared" ca="1" si="109"/>
        <v>xargs コマンドライン引数受取後実行</v>
      </c>
      <c r="M805" s="2" t="str">
        <f t="shared" ca="1" si="108"/>
        <v/>
      </c>
      <c r="N805" s="2" t="str">
        <f t="shared" ca="1" si="110"/>
        <v/>
      </c>
      <c r="O805" s="2" t="str">
        <f t="shared" ca="1" si="113"/>
        <v/>
      </c>
      <c r="P805" s="2" t="str">
        <f t="shared" ca="1" si="114"/>
        <v>○</v>
      </c>
    </row>
    <row r="806" spans="1:16">
      <c r="A806">
        <f t="shared" si="115"/>
        <v>803</v>
      </c>
      <c r="B806" t="str">
        <f ca="1">IFERROR(VLOOKUP($A806,'vbs,vba'!$G:$H,2,FALSE),"")</f>
        <v/>
      </c>
      <c r="C806" t="str">
        <f ca="1">IFERROR(VLOOKUP($A806,python!$I:$J,2,FALSE),"")</f>
        <v/>
      </c>
      <c r="D806" t="str">
        <f ca="1">IFERROR(VLOOKUP($A806,bat!$F:$G,2,FALSE),"")</f>
        <v>文字列そのまま</v>
      </c>
      <c r="E806" t="str">
        <f ca="1">IFERROR(VLOOKUP($A806,shell!$F:$G,2,FALSE),"")</f>
        <v/>
      </c>
      <c r="F806" t="str">
        <f t="shared" ca="1" si="111"/>
        <v>文字列そのまま</v>
      </c>
      <c r="G806">
        <f ca="1">IF($F806="","",COUNTIF($F$3:$F806,$F806))</f>
        <v>1</v>
      </c>
      <c r="H806">
        <f ca="1">IF(OR(G806&gt;1,G806=""),"",COUNTIF($G$3:$G806,1))</f>
        <v>726</v>
      </c>
      <c r="I806" t="str">
        <f t="shared" ca="1" si="112"/>
        <v>文字列そのまま</v>
      </c>
      <c r="K806">
        <f t="shared" si="116"/>
        <v>803</v>
      </c>
      <c r="L806" t="str">
        <f t="shared" ca="1" si="109"/>
        <v>xargs コマンドの間に展開(-I)</v>
      </c>
      <c r="M806" s="2" t="str">
        <f t="shared" ca="1" si="108"/>
        <v/>
      </c>
      <c r="N806" s="2" t="str">
        <f t="shared" ca="1" si="110"/>
        <v/>
      </c>
      <c r="O806" s="2" t="str">
        <f t="shared" ca="1" si="113"/>
        <v/>
      </c>
      <c r="P806" s="2" t="str">
        <f t="shared" ca="1" si="114"/>
        <v>○</v>
      </c>
    </row>
    <row r="807" spans="1:16">
      <c r="A807">
        <f t="shared" si="115"/>
        <v>804</v>
      </c>
      <c r="B807" t="str">
        <f ca="1">IFERROR(VLOOKUP($A807,'vbs,vba'!$G:$H,2,FALSE),"")</f>
        <v/>
      </c>
      <c r="C807" t="str">
        <f ca="1">IFERROR(VLOOKUP($A807,python!$I:$J,2,FALSE),"")</f>
        <v/>
      </c>
      <c r="D807" t="str">
        <f ca="1">IFERROR(VLOOKUP($A807,bat!$F:$G,2,FALSE),"")</f>
        <v>すべての引用句</v>
      </c>
      <c r="E807" t="str">
        <f ca="1">IFERROR(VLOOKUP($A807,shell!$F:$G,2,FALSE),"")</f>
        <v/>
      </c>
      <c r="F807" t="str">
        <f t="shared" ca="1" si="111"/>
        <v>すべての引用句</v>
      </c>
      <c r="G807">
        <f ca="1">IF($F807="","",COUNTIF($F$3:$F807,$F807))</f>
        <v>1</v>
      </c>
      <c r="H807">
        <f ca="1">IF(OR(G807&gt;1,G807=""),"",COUNTIF($G$3:$G807,1))</f>
        <v>727</v>
      </c>
      <c r="I807" t="str">
        <f t="shared" ca="1" si="112"/>
        <v>すべての引用句</v>
      </c>
      <c r="K807">
        <f t="shared" si="116"/>
        <v>804</v>
      </c>
      <c r="L807" t="str">
        <f t="shared" ca="1" si="109"/>
        <v>標準出力書き出し(改行付与)</v>
      </c>
      <c r="M807" s="2" t="str">
        <f t="shared" ca="1" si="108"/>
        <v/>
      </c>
      <c r="N807" s="2" t="str">
        <f t="shared" ca="1" si="110"/>
        <v/>
      </c>
      <c r="O807" s="2" t="str">
        <f t="shared" ca="1" si="113"/>
        <v/>
      </c>
      <c r="P807" s="2" t="str">
        <f t="shared" ca="1" si="114"/>
        <v>○</v>
      </c>
    </row>
    <row r="808" spans="1:16">
      <c r="A808">
        <f t="shared" si="115"/>
        <v>805</v>
      </c>
      <c r="B808" t="str">
        <f ca="1">IFERROR(VLOOKUP($A808,'vbs,vba'!$G:$H,2,FALSE),"")</f>
        <v/>
      </c>
      <c r="C808" t="str">
        <f ca="1">IFERROR(VLOOKUP($A808,python!$I:$J,2,FALSE),"")</f>
        <v/>
      </c>
      <c r="D808" t="str">
        <f ca="1">IFERROR(VLOOKUP($A808,bat!$F:$G,2,FALSE),"")</f>
        <v>完全修飾パス名</v>
      </c>
      <c r="E808" t="str">
        <f ca="1">IFERROR(VLOOKUP($A808,shell!$F:$G,2,FALSE),"")</f>
        <v/>
      </c>
      <c r="F808" t="str">
        <f t="shared" ca="1" si="111"/>
        <v>完全修飾パス名</v>
      </c>
      <c r="G808">
        <f ca="1">IF($F808="","",COUNTIF($F$3:$F808,$F808))</f>
        <v>1</v>
      </c>
      <c r="H808">
        <f ca="1">IF(OR(G808&gt;1,G808=""),"",COUNTIF($G$3:$G808,1))</f>
        <v>728</v>
      </c>
      <c r="I808" t="str">
        <f t="shared" ca="1" si="112"/>
        <v>完全修飾パス名</v>
      </c>
      <c r="K808">
        <f t="shared" si="116"/>
        <v>805</v>
      </c>
      <c r="L808" t="str">
        <f t="shared" ca="1" si="109"/>
        <v>標準出力書き出し(改行なし)</v>
      </c>
      <c r="M808" s="2" t="str">
        <f t="shared" ca="1" si="108"/>
        <v/>
      </c>
      <c r="N808" s="2" t="str">
        <f t="shared" ca="1" si="110"/>
        <v/>
      </c>
      <c r="O808" s="2" t="str">
        <f t="shared" ca="1" si="113"/>
        <v/>
      </c>
      <c r="P808" s="2" t="str">
        <f t="shared" ca="1" si="114"/>
        <v>○</v>
      </c>
    </row>
    <row r="809" spans="1:16">
      <c r="A809">
        <f t="shared" si="115"/>
        <v>806</v>
      </c>
      <c r="B809" t="str">
        <f ca="1">IFERROR(VLOOKUP($A809,'vbs,vba'!$G:$H,2,FALSE),"")</f>
        <v/>
      </c>
      <c r="C809" t="str">
        <f ca="1">IFERROR(VLOOKUP($A809,python!$I:$J,2,FALSE),"")</f>
        <v/>
      </c>
      <c r="D809" t="str">
        <f ca="1">IFERROR(VLOOKUP($A809,bat!$F:$G,2,FALSE),"")</f>
        <v>ドライブ文字</v>
      </c>
      <c r="E809" t="str">
        <f ca="1">IFERROR(VLOOKUP($A809,shell!$F:$G,2,FALSE),"")</f>
        <v/>
      </c>
      <c r="F809" t="str">
        <f t="shared" ca="1" si="111"/>
        <v>ドライブ文字</v>
      </c>
      <c r="G809">
        <f ca="1">IF($F809="","",COUNTIF($F$3:$F809,$F809))</f>
        <v>1</v>
      </c>
      <c r="H809">
        <f ca="1">IF(OR(G809&gt;1,G809=""),"",COUNTIF($G$3:$G809,1))</f>
        <v>729</v>
      </c>
      <c r="I809" t="str">
        <f t="shared" ca="1" si="112"/>
        <v>ドライブ文字</v>
      </c>
      <c r="K809">
        <f t="shared" si="116"/>
        <v>806</v>
      </c>
      <c r="L809" t="str">
        <f t="shared" ca="1" si="109"/>
        <v>標準入力取得１</v>
      </c>
      <c r="M809" s="2" t="str">
        <f t="shared" ca="1" si="108"/>
        <v/>
      </c>
      <c r="N809" s="2" t="str">
        <f t="shared" ca="1" si="110"/>
        <v/>
      </c>
      <c r="O809" s="2" t="str">
        <f t="shared" ca="1" si="113"/>
        <v/>
      </c>
      <c r="P809" s="2" t="str">
        <f t="shared" ca="1" si="114"/>
        <v>○</v>
      </c>
    </row>
    <row r="810" spans="1:16">
      <c r="A810">
        <f t="shared" si="115"/>
        <v>807</v>
      </c>
      <c r="B810" t="str">
        <f ca="1">IFERROR(VLOOKUP($A810,'vbs,vba'!$G:$H,2,FALSE),"")</f>
        <v/>
      </c>
      <c r="C810" t="str">
        <f ca="1">IFERROR(VLOOKUP($A810,python!$I:$J,2,FALSE),"")</f>
        <v/>
      </c>
      <c r="D810" t="str">
        <f ca="1">IFERROR(VLOOKUP($A810,bat!$F:$G,2,FALSE),"")</f>
        <v>パス</v>
      </c>
      <c r="E810" t="str">
        <f ca="1">IFERROR(VLOOKUP($A810,shell!$F:$G,2,FALSE),"")</f>
        <v/>
      </c>
      <c r="F810" t="str">
        <f t="shared" ca="1" si="111"/>
        <v>パス</v>
      </c>
      <c r="G810">
        <f ca="1">IF($F810="","",COUNTIF($F$3:$F810,$F810))</f>
        <v>1</v>
      </c>
      <c r="H810">
        <f ca="1">IF(OR(G810&gt;1,G810=""),"",COUNTIF($G$3:$G810,1))</f>
        <v>730</v>
      </c>
      <c r="I810" t="str">
        <f t="shared" ca="1" si="112"/>
        <v>パス</v>
      </c>
      <c r="K810">
        <f t="shared" si="116"/>
        <v>807</v>
      </c>
      <c r="L810" t="str">
        <f t="shared" ca="1" si="109"/>
        <v>標準入力取得２</v>
      </c>
      <c r="M810" s="2" t="str">
        <f t="shared" ca="1" si="108"/>
        <v/>
      </c>
      <c r="N810" s="2" t="str">
        <f t="shared" ca="1" si="110"/>
        <v/>
      </c>
      <c r="O810" s="2" t="str">
        <f t="shared" ca="1" si="113"/>
        <v/>
      </c>
      <c r="P810" s="2" t="str">
        <f t="shared" ca="1" si="114"/>
        <v>○</v>
      </c>
    </row>
    <row r="811" spans="1:16">
      <c r="A811">
        <f t="shared" si="115"/>
        <v>808</v>
      </c>
      <c r="B811" t="str">
        <f ca="1">IFERROR(VLOOKUP($A811,'vbs,vba'!$G:$H,2,FALSE),"")</f>
        <v/>
      </c>
      <c r="C811" t="str">
        <f ca="1">IFERROR(VLOOKUP($A811,python!$I:$J,2,FALSE),"")</f>
        <v/>
      </c>
      <c r="D811" t="str">
        <f ca="1">IFERROR(VLOOKUP($A811,bat!$F:$G,2,FALSE),"")</f>
        <v>ディレクトリパス</v>
      </c>
      <c r="E811" t="str">
        <f ca="1">IFERROR(VLOOKUP($A811,shell!$F:$G,2,FALSE),"")</f>
        <v/>
      </c>
      <c r="F811" t="str">
        <f t="shared" ca="1" si="111"/>
        <v>ディレクトリパス</v>
      </c>
      <c r="G811">
        <f ca="1">IF($F811="","",COUNTIF($F$3:$F811,$F811))</f>
        <v>1</v>
      </c>
      <c r="H811">
        <f ca="1">IF(OR(G811&gt;1,G811=""),"",COUNTIF($G$3:$G811,1))</f>
        <v>731</v>
      </c>
      <c r="I811" t="str">
        <f t="shared" ca="1" si="112"/>
        <v>ディレクトリパス</v>
      </c>
      <c r="K811">
        <f t="shared" si="116"/>
        <v>808</v>
      </c>
      <c r="L811" t="str">
        <f t="shared" ca="1" si="109"/>
        <v>C言語のprintfと同等</v>
      </c>
      <c r="M811" s="2" t="str">
        <f t="shared" ca="1" si="108"/>
        <v/>
      </c>
      <c r="N811" s="2" t="str">
        <f t="shared" ca="1" si="110"/>
        <v/>
      </c>
      <c r="O811" s="2" t="str">
        <f t="shared" ca="1" si="113"/>
        <v/>
      </c>
      <c r="P811" s="2" t="str">
        <f t="shared" ca="1" si="114"/>
        <v>○</v>
      </c>
    </row>
    <row r="812" spans="1:16">
      <c r="A812">
        <f t="shared" si="115"/>
        <v>809</v>
      </c>
      <c r="B812" t="str">
        <f ca="1">IFERROR(VLOOKUP($A812,'vbs,vba'!$G:$H,2,FALSE),"")</f>
        <v/>
      </c>
      <c r="C812" t="str">
        <f ca="1">IFERROR(VLOOKUP($A812,python!$I:$J,2,FALSE),"")</f>
        <v/>
      </c>
      <c r="D812" t="str">
        <f ca="1">IFERROR(VLOOKUP($A812,bat!$F:$G,2,FALSE),"")</f>
        <v>ファイル名</v>
      </c>
      <c r="E812" t="str">
        <f ca="1">IFERROR(VLOOKUP($A812,shell!$F:$G,2,FALSE),"")</f>
        <v/>
      </c>
      <c r="F812" t="str">
        <f t="shared" ca="1" si="111"/>
        <v>ファイル名</v>
      </c>
      <c r="G812">
        <f ca="1">IF($F812="","",COUNTIF($F$3:$F812,$F812))</f>
        <v>1</v>
      </c>
      <c r="H812">
        <f ca="1">IF(OR(G812&gt;1,G812=""),"",COUNTIF($G$3:$G812,1))</f>
        <v>732</v>
      </c>
      <c r="I812" t="str">
        <f t="shared" ca="1" si="112"/>
        <v>ファイル名</v>
      </c>
      <c r="K812">
        <f t="shared" si="116"/>
        <v>809</v>
      </c>
      <c r="L812" t="str">
        <f t="shared" ca="1" si="109"/>
        <v>永遠文字列表示</v>
      </c>
      <c r="M812" s="2" t="str">
        <f t="shared" ca="1" si="108"/>
        <v/>
      </c>
      <c r="N812" s="2" t="str">
        <f t="shared" ca="1" si="110"/>
        <v/>
      </c>
      <c r="O812" s="2" t="str">
        <f t="shared" ca="1" si="113"/>
        <v/>
      </c>
      <c r="P812" s="2" t="str">
        <f t="shared" ca="1" si="114"/>
        <v>○</v>
      </c>
    </row>
    <row r="813" spans="1:16">
      <c r="A813">
        <f t="shared" si="115"/>
        <v>810</v>
      </c>
      <c r="B813" t="str">
        <f ca="1">IFERROR(VLOOKUP($A813,'vbs,vba'!$G:$H,2,FALSE),"")</f>
        <v/>
      </c>
      <c r="C813" t="str">
        <f ca="1">IFERROR(VLOOKUP($A813,python!$I:$J,2,FALSE),"")</f>
        <v/>
      </c>
      <c r="D813" t="str">
        <f ca="1">IFERROR(VLOOKUP($A813,bat!$F:$G,2,FALSE),"")</f>
        <v>ファイル拡張子</v>
      </c>
      <c r="E813" t="str">
        <f ca="1">IFERROR(VLOOKUP($A813,shell!$F:$G,2,FALSE),"")</f>
        <v/>
      </c>
      <c r="F813" t="str">
        <f t="shared" ca="1" si="111"/>
        <v>ファイル拡張子</v>
      </c>
      <c r="G813">
        <f ca="1">IF($F813="","",COUNTIF($F$3:$F813,$F813))</f>
        <v>1</v>
      </c>
      <c r="H813">
        <f ca="1">IF(OR(G813&gt;1,G813=""),"",COUNTIF($G$3:$G813,1))</f>
        <v>733</v>
      </c>
      <c r="I813" t="str">
        <f t="shared" ca="1" si="112"/>
        <v>ファイル拡張子</v>
      </c>
      <c r="K813">
        <f t="shared" si="116"/>
        <v>810</v>
      </c>
      <c r="L813" t="str">
        <f t="shared" ca="1" si="109"/>
        <v>何もしない(戻り値1)</v>
      </c>
      <c r="M813" s="2" t="str">
        <f t="shared" ca="1" si="108"/>
        <v/>
      </c>
      <c r="N813" s="2" t="str">
        <f t="shared" ca="1" si="110"/>
        <v/>
      </c>
      <c r="O813" s="2" t="str">
        <f t="shared" ca="1" si="113"/>
        <v/>
      </c>
      <c r="P813" s="2" t="str">
        <f t="shared" ca="1" si="114"/>
        <v>○</v>
      </c>
    </row>
    <row r="814" spans="1:16">
      <c r="A814">
        <f t="shared" si="115"/>
        <v>811</v>
      </c>
      <c r="B814" t="str">
        <f ca="1">IFERROR(VLOOKUP($A814,'vbs,vba'!$G:$H,2,FALSE),"")</f>
        <v/>
      </c>
      <c r="C814" t="str">
        <f ca="1">IFERROR(VLOOKUP($A814,python!$I:$J,2,FALSE),"")</f>
        <v/>
      </c>
      <c r="D814" t="str">
        <f ca="1">IFERROR(VLOOKUP($A814,bat!$F:$G,2,FALSE),"")</f>
        <v>ファイル名.拡張子</v>
      </c>
      <c r="E814" t="str">
        <f ca="1">IFERROR(VLOOKUP($A814,shell!$F:$G,2,FALSE),"")</f>
        <v/>
      </c>
      <c r="F814" t="str">
        <f t="shared" ca="1" si="111"/>
        <v>ファイル名.拡張子</v>
      </c>
      <c r="G814">
        <f ca="1">IF($F814="","",COUNTIF($F$3:$F814,$F814))</f>
        <v>1</v>
      </c>
      <c r="H814">
        <f ca="1">IF(OR(G814&gt;1,G814=""),"",COUNTIF($G$3:$G814,1))</f>
        <v>734</v>
      </c>
      <c r="I814" t="str">
        <f t="shared" ca="1" si="112"/>
        <v>ファイル名.拡張子</v>
      </c>
      <c r="K814">
        <f t="shared" si="116"/>
        <v>811</v>
      </c>
      <c r="L814" t="str">
        <f t="shared" ca="1" si="109"/>
        <v>何もしない(戻り値0)</v>
      </c>
      <c r="M814" s="2" t="str">
        <f t="shared" ca="1" si="108"/>
        <v/>
      </c>
      <c r="N814" s="2" t="str">
        <f t="shared" ca="1" si="110"/>
        <v/>
      </c>
      <c r="O814" s="2" t="str">
        <f t="shared" ca="1" si="113"/>
        <v/>
      </c>
      <c r="P814" s="2" t="str">
        <f t="shared" ca="1" si="114"/>
        <v>○</v>
      </c>
    </row>
    <row r="815" spans="1:16">
      <c r="A815">
        <f t="shared" si="115"/>
        <v>812</v>
      </c>
      <c r="B815" t="str">
        <f ca="1">IFERROR(VLOOKUP($A815,'vbs,vba'!$G:$H,2,FALSE),"")</f>
        <v/>
      </c>
      <c r="C815" t="str">
        <f ca="1">IFERROR(VLOOKUP($A815,python!$I:$J,2,FALSE),"")</f>
        <v/>
      </c>
      <c r="D815" t="str">
        <f ca="1">IFERROR(VLOOKUP($A815,bat!$F:$G,2,FALSE),"")</f>
        <v>フォルダ名</v>
      </c>
      <c r="E815" t="str">
        <f ca="1">IFERROR(VLOOKUP($A815,shell!$F:$G,2,FALSE),"")</f>
        <v/>
      </c>
      <c r="F815" t="str">
        <f t="shared" ca="1" si="111"/>
        <v>フォルダ名</v>
      </c>
      <c r="G815">
        <f ca="1">IF($F815="","",COUNTIF($F$3:$F815,$F815))</f>
        <v>1</v>
      </c>
      <c r="H815">
        <f ca="1">IF(OR(G815&gt;1,G815=""),"",COUNTIF($G$3:$G815,1))</f>
        <v>735</v>
      </c>
      <c r="I815" t="str">
        <f t="shared" ca="1" si="112"/>
        <v>フォルダ名</v>
      </c>
      <c r="K815">
        <f t="shared" si="116"/>
        <v>812</v>
      </c>
      <c r="L815" t="str">
        <f t="shared" ca="1" si="109"/>
        <v>コマンド戻り値判定</v>
      </c>
      <c r="M815" s="2" t="str">
        <f t="shared" ca="1" si="108"/>
        <v/>
      </c>
      <c r="N815" s="2" t="str">
        <f t="shared" ca="1" si="110"/>
        <v/>
      </c>
      <c r="O815" s="2" t="str">
        <f t="shared" ca="1" si="113"/>
        <v/>
      </c>
      <c r="P815" s="2" t="str">
        <f t="shared" ca="1" si="114"/>
        <v>○</v>
      </c>
    </row>
    <row r="816" spans="1:16">
      <c r="A816">
        <f t="shared" si="115"/>
        <v>813</v>
      </c>
      <c r="B816" t="str">
        <f ca="1">IFERROR(VLOOKUP($A816,'vbs,vba'!$G:$H,2,FALSE),"")</f>
        <v/>
      </c>
      <c r="C816" t="str">
        <f ca="1">IFERROR(VLOOKUP($A816,python!$I:$J,2,FALSE),"")</f>
        <v/>
      </c>
      <c r="D816" t="str">
        <f ca="1">IFERROR(VLOOKUP($A816,bat!$F:$G,2,FALSE),"")</f>
        <v>短いパス</v>
      </c>
      <c r="E816" t="str">
        <f ca="1">IFERROR(VLOOKUP($A816,shell!$F:$G,2,FALSE),"")</f>
        <v/>
      </c>
      <c r="F816" t="str">
        <f t="shared" ca="1" si="111"/>
        <v>短いパス</v>
      </c>
      <c r="G816">
        <f ca="1">IF($F816="","",COUNTIF($F$3:$F816,$F816))</f>
        <v>1</v>
      </c>
      <c r="H816">
        <f ca="1">IF(OR(G816&gt;1,G816=""),"",COUNTIF($G$3:$G816,1))</f>
        <v>736</v>
      </c>
      <c r="I816" t="str">
        <f t="shared" ca="1" si="112"/>
        <v>短いパス</v>
      </c>
      <c r="K816">
        <f t="shared" si="116"/>
        <v>813</v>
      </c>
      <c r="L816" t="str">
        <f t="shared" ca="1" si="109"/>
        <v>出力を複数ファイルやプロセスに渡す</v>
      </c>
      <c r="M816" s="2" t="str">
        <f t="shared" ca="1" si="108"/>
        <v/>
      </c>
      <c r="N816" s="2" t="str">
        <f t="shared" ca="1" si="110"/>
        <v/>
      </c>
      <c r="O816" s="2" t="str">
        <f t="shared" ca="1" si="113"/>
        <v/>
      </c>
      <c r="P816" s="2" t="str">
        <f t="shared" ca="1" si="114"/>
        <v>○</v>
      </c>
    </row>
    <row r="817" spans="1:16">
      <c r="A817">
        <f t="shared" si="115"/>
        <v>814</v>
      </c>
      <c r="B817" t="str">
        <f ca="1">IFERROR(VLOOKUP($A817,'vbs,vba'!$G:$H,2,FALSE),"")</f>
        <v/>
      </c>
      <c r="C817" t="str">
        <f ca="1">IFERROR(VLOOKUP($A817,python!$I:$J,2,FALSE),"")</f>
        <v/>
      </c>
      <c r="D817" t="str">
        <f ca="1">IFERROR(VLOOKUP($A817,bat!$F:$G,2,FALSE),"")</f>
        <v>ファイル属性</v>
      </c>
      <c r="E817" t="str">
        <f ca="1">IFERROR(VLOOKUP($A817,shell!$F:$G,2,FALSE),"")</f>
        <v/>
      </c>
      <c r="F817" t="str">
        <f t="shared" ca="1" si="111"/>
        <v>ファイル属性</v>
      </c>
      <c r="G817">
        <f ca="1">IF($F817="","",COUNTIF($F$3:$F817,$F817))</f>
        <v>1</v>
      </c>
      <c r="H817">
        <f ca="1">IF(OR(G817&gt;1,G817=""),"",COUNTIF($G$3:$G817,1))</f>
        <v>737</v>
      </c>
      <c r="I817" t="str">
        <f t="shared" ca="1" si="112"/>
        <v>ファイル属性</v>
      </c>
      <c r="K817">
        <f t="shared" si="116"/>
        <v>814</v>
      </c>
      <c r="L817" t="str">
        <f t="shared" ca="1" si="109"/>
        <v>エイリアス設定</v>
      </c>
      <c r="M817" s="2" t="str">
        <f t="shared" ca="1" si="108"/>
        <v/>
      </c>
      <c r="N817" s="2" t="str">
        <f t="shared" ca="1" si="110"/>
        <v/>
      </c>
      <c r="O817" s="2" t="str">
        <f t="shared" ca="1" si="113"/>
        <v/>
      </c>
      <c r="P817" s="2" t="str">
        <f t="shared" ca="1" si="114"/>
        <v>○</v>
      </c>
    </row>
    <row r="818" spans="1:16">
      <c r="A818">
        <f t="shared" si="115"/>
        <v>815</v>
      </c>
      <c r="B818" t="str">
        <f ca="1">IFERROR(VLOOKUP($A818,'vbs,vba'!$G:$H,2,FALSE),"")</f>
        <v/>
      </c>
      <c r="C818" t="str">
        <f ca="1">IFERROR(VLOOKUP($A818,python!$I:$J,2,FALSE),"")</f>
        <v/>
      </c>
      <c r="D818" t="str">
        <f ca="1">IFERROR(VLOOKUP($A818,bat!$F:$G,2,FALSE),"")</f>
        <v>ファイル日付/時刻</v>
      </c>
      <c r="E818" t="str">
        <f ca="1">IFERROR(VLOOKUP($A818,shell!$F:$G,2,FALSE),"")</f>
        <v/>
      </c>
      <c r="F818" t="str">
        <f t="shared" ca="1" si="111"/>
        <v>ファイル日付/時刻</v>
      </c>
      <c r="G818">
        <f ca="1">IF($F818="","",COUNTIF($F$3:$F818,$F818))</f>
        <v>1</v>
      </c>
      <c r="H818">
        <f ca="1">IF(OR(G818&gt;1,G818=""),"",COUNTIF($G$3:$G818,1))</f>
        <v>738</v>
      </c>
      <c r="I818" t="str">
        <f t="shared" ca="1" si="112"/>
        <v>ファイル日付/時刻</v>
      </c>
      <c r="K818">
        <f t="shared" si="116"/>
        <v>815</v>
      </c>
      <c r="L818" t="str">
        <f t="shared" ca="1" si="109"/>
        <v>エイリアス解除</v>
      </c>
      <c r="M818" s="2" t="str">
        <f t="shared" ref="M818:M881" ca="1" si="117">IF($L818="","",IF(COUNTIF(B$3:B$1004,$L818)&gt;0,"○",""))</f>
        <v/>
      </c>
      <c r="N818" s="2" t="str">
        <f t="shared" ca="1" si="110"/>
        <v/>
      </c>
      <c r="O818" s="2" t="str">
        <f t="shared" ca="1" si="113"/>
        <v/>
      </c>
      <c r="P818" s="2" t="str">
        <f t="shared" ca="1" si="114"/>
        <v>○</v>
      </c>
    </row>
    <row r="819" spans="1:16">
      <c r="A819">
        <f t="shared" si="115"/>
        <v>816</v>
      </c>
      <c r="B819" t="str">
        <f ca="1">IFERROR(VLOOKUP($A819,'vbs,vba'!$G:$H,2,FALSE),"")</f>
        <v/>
      </c>
      <c r="C819" t="str">
        <f ca="1">IFERROR(VLOOKUP($A819,python!$I:$J,2,FALSE),"")</f>
        <v/>
      </c>
      <c r="D819" t="str">
        <f ca="1">IFERROR(VLOOKUP($A819,bat!$F:$G,2,FALSE),"")</f>
        <v>ファイルサイズ</v>
      </c>
      <c r="E819" t="str">
        <f ca="1">IFERROR(VLOOKUP($A819,shell!$F:$G,2,FALSE),"")</f>
        <v/>
      </c>
      <c r="F819" t="str">
        <f t="shared" ca="1" si="111"/>
        <v>ファイルサイズ</v>
      </c>
      <c r="G819">
        <f ca="1">IF($F819="","",COUNTIF($F$3:$F819,$F819))</f>
        <v>1</v>
      </c>
      <c r="H819">
        <f ca="1">IF(OR(G819&gt;1,G819=""),"",COUNTIF($G$3:$G819,1))</f>
        <v>739</v>
      </c>
      <c r="I819" t="str">
        <f t="shared" ca="1" si="112"/>
        <v>ファイルサイズ</v>
      </c>
      <c r="K819">
        <f t="shared" si="116"/>
        <v>816</v>
      </c>
      <c r="L819" t="str">
        <f t="shared" ca="1" si="109"/>
        <v>管理者権限実行</v>
      </c>
      <c r="M819" s="2" t="str">
        <f t="shared" ca="1" si="117"/>
        <v/>
      </c>
      <c r="N819" s="2" t="str">
        <f t="shared" ca="1" si="110"/>
        <v/>
      </c>
      <c r="O819" s="2" t="str">
        <f t="shared" ca="1" si="113"/>
        <v/>
      </c>
      <c r="P819" s="2" t="str">
        <f t="shared" ca="1" si="114"/>
        <v>○</v>
      </c>
    </row>
    <row r="820" spans="1:16">
      <c r="A820">
        <f t="shared" si="115"/>
        <v>817</v>
      </c>
      <c r="B820" t="str">
        <f ca="1">IFERROR(VLOOKUP($A820,'vbs,vba'!$G:$H,2,FALSE),"")</f>
        <v/>
      </c>
      <c r="C820" t="str">
        <f ca="1">IFERROR(VLOOKUP($A820,python!$I:$J,2,FALSE),"")</f>
        <v/>
      </c>
      <c r="D820" t="str">
        <f ca="1">IFERROR(VLOOKUP($A820,bat!$F:$G,2,FALSE),"")</f>
        <v>ファイル 削除</v>
      </c>
      <c r="E820" t="str">
        <f ca="1">IFERROR(VLOOKUP($A820,shell!$F:$G,2,FALSE),"")</f>
        <v/>
      </c>
      <c r="F820" t="str">
        <f t="shared" ca="1" si="111"/>
        <v>ファイル 削除</v>
      </c>
      <c r="G820">
        <f ca="1">IF($F820="","",COUNTIF($F$3:$F820,$F820))</f>
        <v>3</v>
      </c>
      <c r="H820" t="str">
        <f ca="1">IF(OR(G820&gt;1,G820=""),"",COUNTIF($G$3:$G820,1))</f>
        <v/>
      </c>
      <c r="I820" t="str">
        <f t="shared" ca="1" si="112"/>
        <v>ファイル 削除</v>
      </c>
      <c r="K820">
        <f t="shared" si="116"/>
        <v>817</v>
      </c>
      <c r="L820" t="str">
        <f t="shared" ca="1" si="109"/>
        <v>ユーザ切り替え</v>
      </c>
      <c r="M820" s="2" t="str">
        <f t="shared" ca="1" si="117"/>
        <v/>
      </c>
      <c r="N820" s="2" t="str">
        <f t="shared" ca="1" si="110"/>
        <v/>
      </c>
      <c r="O820" s="2" t="str">
        <f t="shared" ca="1" si="113"/>
        <v/>
      </c>
      <c r="P820" s="2" t="str">
        <f t="shared" ca="1" si="114"/>
        <v>○</v>
      </c>
    </row>
    <row r="821" spans="1:16">
      <c r="A821">
        <f t="shared" si="115"/>
        <v>818</v>
      </c>
      <c r="B821" t="str">
        <f ca="1">IFERROR(VLOOKUP($A821,'vbs,vba'!$G:$H,2,FALSE),"")</f>
        <v/>
      </c>
      <c r="C821" t="str">
        <f ca="1">IFERROR(VLOOKUP($A821,python!$I:$J,2,FALSE),"")</f>
        <v/>
      </c>
      <c r="D821" t="str">
        <f ca="1">IFERROR(VLOOKUP($A821,bat!$F:$G,2,FALSE),"")</f>
        <v>ファイル 移動</v>
      </c>
      <c r="E821" t="str">
        <f ca="1">IFERROR(VLOOKUP($A821,shell!$F:$G,2,FALSE),"")</f>
        <v/>
      </c>
      <c r="F821" t="str">
        <f t="shared" ca="1" si="111"/>
        <v>ファイル 移動</v>
      </c>
      <c r="G821">
        <f ca="1">IF($F821="","",COUNTIF($F$3:$F821,$F821))</f>
        <v>1</v>
      </c>
      <c r="H821">
        <f ca="1">IF(OR(G821&gt;1,G821=""),"",COUNTIF($G$3:$G821,1))</f>
        <v>740</v>
      </c>
      <c r="I821" t="str">
        <f t="shared" ca="1" si="112"/>
        <v>ファイル 移動</v>
      </c>
      <c r="K821">
        <f t="shared" si="116"/>
        <v>818</v>
      </c>
      <c r="L821" t="str">
        <f t="shared" ca="1" si="109"/>
        <v>コマンド履歴表示</v>
      </c>
      <c r="M821" s="2" t="str">
        <f t="shared" ca="1" si="117"/>
        <v/>
      </c>
      <c r="N821" s="2" t="str">
        <f t="shared" ca="1" si="110"/>
        <v/>
      </c>
      <c r="O821" s="2" t="str">
        <f t="shared" ca="1" si="113"/>
        <v/>
      </c>
      <c r="P821" s="2" t="str">
        <f t="shared" ca="1" si="114"/>
        <v>○</v>
      </c>
    </row>
    <row r="822" spans="1:16">
      <c r="A822">
        <f t="shared" si="115"/>
        <v>819</v>
      </c>
      <c r="B822" t="str">
        <f ca="1">IFERROR(VLOOKUP($A822,'vbs,vba'!$G:$H,2,FALSE),"")</f>
        <v/>
      </c>
      <c r="C822" t="str">
        <f ca="1">IFERROR(VLOOKUP($A822,python!$I:$J,2,FALSE),"")</f>
        <v/>
      </c>
      <c r="D822" t="str">
        <f ca="1">IFERROR(VLOOKUP($A822,bat!$F:$G,2,FALSE),"")</f>
        <v>ファイル コピー</v>
      </c>
      <c r="E822" t="str">
        <f ca="1">IFERROR(VLOOKUP($A822,shell!$F:$G,2,FALSE),"")</f>
        <v/>
      </c>
      <c r="F822" t="str">
        <f t="shared" ca="1" si="111"/>
        <v>ファイル コピー</v>
      </c>
      <c r="G822">
        <f ca="1">IF($F822="","",COUNTIF($F$3:$F822,$F822))</f>
        <v>1</v>
      </c>
      <c r="H822">
        <f ca="1">IF(OR(G822&gt;1,G822=""),"",COUNTIF($G$3:$G822,1))</f>
        <v>741</v>
      </c>
      <c r="I822" t="str">
        <f t="shared" ca="1" si="112"/>
        <v>ファイル コピー</v>
      </c>
      <c r="K822">
        <f t="shared" si="116"/>
        <v>819</v>
      </c>
      <c r="L822" t="str">
        <f t="shared" ca="1" si="109"/>
        <v>タイムリミット設定後コマンド実行</v>
      </c>
      <c r="M822" s="2" t="str">
        <f t="shared" ca="1" si="117"/>
        <v/>
      </c>
      <c r="N822" s="2" t="str">
        <f t="shared" ca="1" si="110"/>
        <v/>
      </c>
      <c r="O822" s="2" t="str">
        <f t="shared" ca="1" si="113"/>
        <v/>
      </c>
      <c r="P822" s="2" t="str">
        <f t="shared" ca="1" si="114"/>
        <v>○</v>
      </c>
    </row>
    <row r="823" spans="1:16">
      <c r="A823">
        <f t="shared" si="115"/>
        <v>820</v>
      </c>
      <c r="B823" t="str">
        <f ca="1">IFERROR(VLOOKUP($A823,'vbs,vba'!$G:$H,2,FALSE),"")</f>
        <v/>
      </c>
      <c r="C823" t="str">
        <f ca="1">IFERROR(VLOOKUP($A823,python!$I:$J,2,FALSE),"")</f>
        <v/>
      </c>
      <c r="D823" t="str">
        <f ca="1">IFERROR(VLOOKUP($A823,bat!$F:$G,2,FALSE),"")</f>
        <v>フォルダ 名称変更</v>
      </c>
      <c r="E823" t="str">
        <f ca="1">IFERROR(VLOOKUP($A823,shell!$F:$G,2,FALSE),"")</f>
        <v/>
      </c>
      <c r="F823" t="str">
        <f t="shared" ca="1" si="111"/>
        <v>フォルダ 名称変更</v>
      </c>
      <c r="G823">
        <f ca="1">IF($F823="","",COUNTIF($F$3:$F823,$F823))</f>
        <v>1</v>
      </c>
      <c r="H823">
        <f ca="1">IF(OR(G823&gt;1,G823=""),"",COUNTIF($G$3:$G823,1))</f>
        <v>742</v>
      </c>
      <c r="I823" t="str">
        <f t="shared" ca="1" si="112"/>
        <v>フォルダ 名称変更</v>
      </c>
      <c r="K823">
        <f t="shared" si="116"/>
        <v>820</v>
      </c>
      <c r="L823" t="str">
        <f t="shared" ca="1" si="109"/>
        <v>実行遅延</v>
      </c>
      <c r="M823" s="2" t="str">
        <f t="shared" ca="1" si="117"/>
        <v/>
      </c>
      <c r="N823" s="2" t="str">
        <f t="shared" ca="1" si="110"/>
        <v/>
      </c>
      <c r="O823" s="2" t="str">
        <f t="shared" ca="1" si="113"/>
        <v/>
      </c>
      <c r="P823" s="2" t="str">
        <f t="shared" ca="1" si="114"/>
        <v>○</v>
      </c>
    </row>
    <row r="824" spans="1:16">
      <c r="A824">
        <f t="shared" si="115"/>
        <v>821</v>
      </c>
      <c r="B824" t="str">
        <f ca="1">IFERROR(VLOOKUP($A824,'vbs,vba'!$G:$H,2,FALSE),"")</f>
        <v/>
      </c>
      <c r="C824" t="str">
        <f ca="1">IFERROR(VLOOKUP($A824,python!$I:$J,2,FALSE),"")</f>
        <v/>
      </c>
      <c r="D824" t="str">
        <f ca="1">IFERROR(VLOOKUP($A824,bat!$F:$G,2,FALSE),"")</f>
        <v>フォルダ 作成</v>
      </c>
      <c r="E824" t="str">
        <f ca="1">IFERROR(VLOOKUP($A824,shell!$F:$G,2,FALSE),"")</f>
        <v/>
      </c>
      <c r="F824" t="str">
        <f t="shared" ca="1" si="111"/>
        <v>フォルダ 作成</v>
      </c>
      <c r="G824">
        <f ca="1">IF($F824="","",COUNTIF($F$3:$F824,$F824))</f>
        <v>2</v>
      </c>
      <c r="H824" t="str">
        <f ca="1">IF(OR(G824&gt;1,G824=""),"",COUNTIF($G$3:$G824,1))</f>
        <v/>
      </c>
      <c r="I824" t="str">
        <f t="shared" ca="1" si="112"/>
        <v>フォルダ 作成</v>
      </c>
      <c r="K824">
        <f t="shared" si="116"/>
        <v>821</v>
      </c>
      <c r="L824" t="str">
        <f t="shared" ca="1" si="109"/>
        <v>現在シェル表示</v>
      </c>
      <c r="M824" s="2" t="str">
        <f t="shared" ca="1" si="117"/>
        <v/>
      </c>
      <c r="N824" s="2" t="str">
        <f t="shared" ca="1" si="110"/>
        <v/>
      </c>
      <c r="O824" s="2" t="str">
        <f t="shared" ca="1" si="113"/>
        <v/>
      </c>
      <c r="P824" s="2" t="str">
        <f t="shared" ca="1" si="114"/>
        <v>○</v>
      </c>
    </row>
    <row r="825" spans="1:16">
      <c r="A825">
        <f t="shared" si="115"/>
        <v>822</v>
      </c>
      <c r="B825" t="str">
        <f ca="1">IFERROR(VLOOKUP($A825,'vbs,vba'!$G:$H,2,FALSE),"")</f>
        <v/>
      </c>
      <c r="C825" t="str">
        <f ca="1">IFERROR(VLOOKUP($A825,python!$I:$J,2,FALSE),"")</f>
        <v/>
      </c>
      <c r="D825" t="str">
        <f ca="1">IFERROR(VLOOKUP($A825,bat!$F:$G,2,FALSE),"")</f>
        <v>フォルダ 削除</v>
      </c>
      <c r="E825" t="str">
        <f ca="1">IFERROR(VLOOKUP($A825,shell!$F:$G,2,FALSE),"")</f>
        <v/>
      </c>
      <c r="F825" t="str">
        <f t="shared" ca="1" si="111"/>
        <v>フォルダ 削除</v>
      </c>
      <c r="G825">
        <f ca="1">IF($F825="","",COUNTIF($F$3:$F825,$F825))</f>
        <v>2</v>
      </c>
      <c r="H825" t="str">
        <f ca="1">IF(OR(G825&gt;1,G825=""),"",COUNTIF($G$3:$G825,1))</f>
        <v/>
      </c>
      <c r="I825" t="str">
        <f t="shared" ca="1" si="112"/>
        <v>フォルダ 削除</v>
      </c>
      <c r="K825">
        <f t="shared" si="116"/>
        <v>822</v>
      </c>
      <c r="L825" t="str">
        <f t="shared" ca="1" si="109"/>
        <v>終了コマンド(関数)</v>
      </c>
      <c r="M825" s="2" t="str">
        <f t="shared" ca="1" si="117"/>
        <v/>
      </c>
      <c r="N825" s="2" t="str">
        <f t="shared" ca="1" si="110"/>
        <v/>
      </c>
      <c r="O825" s="2" t="str">
        <f t="shared" ca="1" si="113"/>
        <v/>
      </c>
      <c r="P825" s="2" t="str">
        <f t="shared" ca="1" si="114"/>
        <v>○</v>
      </c>
    </row>
    <row r="826" spans="1:16">
      <c r="A826">
        <f t="shared" si="115"/>
        <v>823</v>
      </c>
      <c r="B826" t="str">
        <f ca="1">IFERROR(VLOOKUP($A826,'vbs,vba'!$G:$H,2,FALSE),"")</f>
        <v/>
      </c>
      <c r="C826" t="str">
        <f ca="1">IFERROR(VLOOKUP($A826,python!$I:$J,2,FALSE),"")</f>
        <v/>
      </c>
      <c r="D826" t="str">
        <f ca="1">IFERROR(VLOOKUP($A826,bat!$F:$G,2,FALSE),"")</f>
        <v>フォルダ 移動</v>
      </c>
      <c r="E826" t="str">
        <f ca="1">IFERROR(VLOOKUP($A826,shell!$F:$G,2,FALSE),"")</f>
        <v/>
      </c>
      <c r="F826" t="str">
        <f t="shared" ca="1" si="111"/>
        <v>フォルダ 移動</v>
      </c>
      <c r="G826">
        <f ca="1">IF($F826="","",COUNTIF($F$3:$F826,$F826))</f>
        <v>1</v>
      </c>
      <c r="H826">
        <f ca="1">IF(OR(G826&gt;1,G826=""),"",COUNTIF($G$3:$G826,1))</f>
        <v>743</v>
      </c>
      <c r="I826" t="str">
        <f t="shared" ca="1" si="112"/>
        <v>フォルダ 移動</v>
      </c>
      <c r="K826">
        <f t="shared" si="116"/>
        <v>823</v>
      </c>
      <c r="L826" t="str">
        <f t="shared" ca="1" si="109"/>
        <v>終了コマンド(スクリプト/ターミナル)</v>
      </c>
      <c r="M826" s="2" t="str">
        <f t="shared" ca="1" si="117"/>
        <v/>
      </c>
      <c r="N826" s="2" t="str">
        <f t="shared" ca="1" si="110"/>
        <v/>
      </c>
      <c r="O826" s="2" t="str">
        <f t="shared" ca="1" si="113"/>
        <v/>
      </c>
      <c r="P826" s="2" t="str">
        <f t="shared" ca="1" si="114"/>
        <v>○</v>
      </c>
    </row>
    <row r="827" spans="1:16">
      <c r="A827">
        <f t="shared" si="115"/>
        <v>824</v>
      </c>
      <c r="B827" t="str">
        <f ca="1">IFERROR(VLOOKUP($A827,'vbs,vba'!$G:$H,2,FALSE),"")</f>
        <v/>
      </c>
      <c r="C827" t="str">
        <f ca="1">IFERROR(VLOOKUP($A827,python!$I:$J,2,FALSE),"")</f>
        <v/>
      </c>
      <c r="D827" t="str">
        <f ca="1">IFERROR(VLOOKUP($A827,bat!$F:$G,2,FALSE),"")</f>
        <v>フォルダ コピー</v>
      </c>
      <c r="E827" t="str">
        <f ca="1">IFERROR(VLOOKUP($A827,shell!$F:$G,2,FALSE),"")</f>
        <v/>
      </c>
      <c r="F827" t="str">
        <f t="shared" ca="1" si="111"/>
        <v>フォルダ コピー</v>
      </c>
      <c r="G827">
        <f ca="1">IF($F827="","",COUNTIF($F$3:$F827,$F827))</f>
        <v>2</v>
      </c>
      <c r="H827" t="str">
        <f ca="1">IF(OR(G827&gt;1,G827=""),"",COUNTIF($G$3:$G827,1))</f>
        <v/>
      </c>
      <c r="I827" t="str">
        <f t="shared" ca="1" si="112"/>
        <v>フォルダ コピー</v>
      </c>
      <c r="K827">
        <f t="shared" si="116"/>
        <v>824</v>
      </c>
      <c r="L827" t="str">
        <f t="shared" ca="1" si="109"/>
        <v>set(変数一覧表示)</v>
      </c>
      <c r="M827" s="2" t="str">
        <f t="shared" ca="1" si="117"/>
        <v/>
      </c>
      <c r="N827" s="2" t="str">
        <f t="shared" ca="1" si="110"/>
        <v/>
      </c>
      <c r="O827" s="2" t="str">
        <f t="shared" ca="1" si="113"/>
        <v/>
      </c>
      <c r="P827" s="2" t="str">
        <f t="shared" ca="1" si="114"/>
        <v>○</v>
      </c>
    </row>
    <row r="828" spans="1:16">
      <c r="A828">
        <f t="shared" si="115"/>
        <v>825</v>
      </c>
      <c r="B828" t="str">
        <f ca="1">IFERROR(VLOOKUP($A828,'vbs,vba'!$G:$H,2,FALSE),"")</f>
        <v/>
      </c>
      <c r="C828" t="str">
        <f ca="1">IFERROR(VLOOKUP($A828,python!$I:$J,2,FALSE),"")</f>
        <v/>
      </c>
      <c r="D828" t="str">
        <f ca="1">IFERROR(VLOOKUP($A828,bat!$F:$G,2,FALSE),"")</f>
        <v>フォルダ同期</v>
      </c>
      <c r="E828" t="str">
        <f ca="1">IFERROR(VLOOKUP($A828,shell!$F:$G,2,FALSE),"")</f>
        <v/>
      </c>
      <c r="F828" t="str">
        <f t="shared" ca="1" si="111"/>
        <v>フォルダ同期</v>
      </c>
      <c r="G828">
        <f ca="1">IF($F828="","",COUNTIF($F$3:$F828,$F828))</f>
        <v>1</v>
      </c>
      <c r="H828">
        <f ca="1">IF(OR(G828&gt;1,G828=""),"",COUNTIF($G$3:$G828,1))</f>
        <v>744</v>
      </c>
      <c r="I828" t="str">
        <f t="shared" ca="1" si="112"/>
        <v>フォルダ同期</v>
      </c>
      <c r="K828">
        <f t="shared" si="116"/>
        <v>825</v>
      </c>
      <c r="L828" t="str">
        <f t="shared" ca="1" si="109"/>
        <v>set(シェルオプション表示)</v>
      </c>
      <c r="M828" s="2" t="str">
        <f t="shared" ca="1" si="117"/>
        <v/>
      </c>
      <c r="N828" s="2" t="str">
        <f t="shared" ca="1" si="110"/>
        <v/>
      </c>
      <c r="O828" s="2" t="str">
        <f t="shared" ca="1" si="113"/>
        <v/>
      </c>
      <c r="P828" s="2" t="str">
        <f t="shared" ca="1" si="114"/>
        <v>○</v>
      </c>
    </row>
    <row r="829" spans="1:16">
      <c r="A829">
        <f t="shared" si="115"/>
        <v>826</v>
      </c>
      <c r="B829" t="str">
        <f ca="1">IFERROR(VLOOKUP($A829,'vbs,vba'!$G:$H,2,FALSE),"")</f>
        <v/>
      </c>
      <c r="C829" t="str">
        <f ca="1">IFERROR(VLOOKUP($A829,python!$I:$J,2,FALSE),"")</f>
        <v/>
      </c>
      <c r="D829" t="str">
        <f ca="1">IFERROR(VLOOKUP($A829,bat!$F:$G,2,FALSE),"")</f>
        <v>ファイル＆フォルダ ツリー取得(ファイル＆フォルダ)</v>
      </c>
      <c r="E829" t="str">
        <f ca="1">IFERROR(VLOOKUP($A829,shell!$F:$G,2,FALSE),"")</f>
        <v/>
      </c>
      <c r="F829" t="str">
        <f t="shared" ca="1" si="111"/>
        <v>ファイル＆フォルダ ツリー取得(ファイル＆フォルダ)</v>
      </c>
      <c r="G829">
        <f ca="1">IF($F829="","",COUNTIF($F$3:$F829,$F829))</f>
        <v>1</v>
      </c>
      <c r="H829">
        <f ca="1">IF(OR(G829&gt;1,G829=""),"",COUNTIF($G$3:$G829,1))</f>
        <v>745</v>
      </c>
      <c r="I829" t="str">
        <f t="shared" ca="1" si="112"/>
        <v>ファイル＆フォルダ ツリー取得(ファイル＆フォルダ)</v>
      </c>
      <c r="K829">
        <f t="shared" si="116"/>
        <v>826</v>
      </c>
      <c r="L829" t="str">
        <f t="shared" ca="1" si="109"/>
        <v>set(エラー発生時強制終了)</v>
      </c>
      <c r="M829" s="2" t="str">
        <f t="shared" ca="1" si="117"/>
        <v/>
      </c>
      <c r="N829" s="2" t="str">
        <f t="shared" ca="1" si="110"/>
        <v/>
      </c>
      <c r="O829" s="2" t="str">
        <f t="shared" ca="1" si="113"/>
        <v/>
      </c>
      <c r="P829" s="2" t="str">
        <f t="shared" ca="1" si="114"/>
        <v>○</v>
      </c>
    </row>
    <row r="830" spans="1:16">
      <c r="A830">
        <f t="shared" si="115"/>
        <v>827</v>
      </c>
      <c r="B830" t="str">
        <f ca="1">IFERROR(VLOOKUP($A830,'vbs,vba'!$G:$H,2,FALSE),"")</f>
        <v/>
      </c>
      <c r="C830" t="str">
        <f ca="1">IFERROR(VLOOKUP($A830,python!$I:$J,2,FALSE),"")</f>
        <v/>
      </c>
      <c r="D830" t="str">
        <f ca="1">IFERROR(VLOOKUP($A830,bat!$F:$G,2,FALSE),"")</f>
        <v>ファイル＆フォルダ ツリー取得(フォルダのみ)</v>
      </c>
      <c r="E830" t="str">
        <f ca="1">IFERROR(VLOOKUP($A830,shell!$F:$G,2,FALSE),"")</f>
        <v/>
      </c>
      <c r="F830" t="str">
        <f t="shared" ca="1" si="111"/>
        <v>ファイル＆フォルダ ツリー取得(フォルダのみ)</v>
      </c>
      <c r="G830">
        <f ca="1">IF($F830="","",COUNTIF($F$3:$F830,$F830))</f>
        <v>1</v>
      </c>
      <c r="H830">
        <f ca="1">IF(OR(G830&gt;1,G830=""),"",COUNTIF($G$3:$G830,1))</f>
        <v>746</v>
      </c>
      <c r="I830" t="str">
        <f t="shared" ca="1" si="112"/>
        <v>ファイル＆フォルダ ツリー取得(フォルダのみ)</v>
      </c>
      <c r="K830">
        <f t="shared" si="116"/>
        <v>827</v>
      </c>
      <c r="L830" t="str">
        <f t="shared" ca="1" si="109"/>
        <v>set(未定義変数使用時強制終了)</v>
      </c>
      <c r="M830" s="2" t="str">
        <f t="shared" ca="1" si="117"/>
        <v/>
      </c>
      <c r="N830" s="2" t="str">
        <f t="shared" ca="1" si="110"/>
        <v/>
      </c>
      <c r="O830" s="2" t="str">
        <f t="shared" ca="1" si="113"/>
        <v/>
      </c>
      <c r="P830" s="2" t="str">
        <f t="shared" ca="1" si="114"/>
        <v>○</v>
      </c>
    </row>
    <row r="831" spans="1:16">
      <c r="A831">
        <f t="shared" si="115"/>
        <v>828</v>
      </c>
      <c r="B831" t="str">
        <f ca="1">IFERROR(VLOOKUP($A831,'vbs,vba'!$G:$H,2,FALSE),"")</f>
        <v/>
      </c>
      <c r="C831" t="str">
        <f ca="1">IFERROR(VLOOKUP($A831,python!$I:$J,2,FALSE),"")</f>
        <v/>
      </c>
      <c r="D831" t="str">
        <f ca="1">IFERROR(VLOOKUP($A831,bat!$F:$G,2,FALSE),"")</f>
        <v>パス一覧取得(ファイル＆フォルダ)</v>
      </c>
      <c r="E831" t="str">
        <f ca="1">IFERROR(VLOOKUP($A831,shell!$F:$G,2,FALSE),"")</f>
        <v/>
      </c>
      <c r="F831" t="str">
        <f t="shared" ca="1" si="111"/>
        <v>パス一覧取得(ファイル＆フォルダ)</v>
      </c>
      <c r="G831">
        <f ca="1">IF($F831="","",COUNTIF($F$3:$F831,$F831))</f>
        <v>1</v>
      </c>
      <c r="H831">
        <f ca="1">IF(OR(G831&gt;1,G831=""),"",COUNTIF($G$3:$G831,1))</f>
        <v>747</v>
      </c>
      <c r="I831" t="str">
        <f t="shared" ca="1" si="112"/>
        <v>パス一覧取得(ファイル＆フォルダ)</v>
      </c>
      <c r="K831">
        <f t="shared" si="116"/>
        <v>828</v>
      </c>
      <c r="L831" t="str">
        <f t="shared" ca="1" si="109"/>
        <v>set(パス名展開無効化)</v>
      </c>
      <c r="M831" s="2" t="str">
        <f t="shared" ca="1" si="117"/>
        <v/>
      </c>
      <c r="N831" s="2" t="str">
        <f t="shared" ca="1" si="110"/>
        <v/>
      </c>
      <c r="O831" s="2" t="str">
        <f t="shared" ca="1" si="113"/>
        <v/>
      </c>
      <c r="P831" s="2" t="str">
        <f t="shared" ca="1" si="114"/>
        <v>○</v>
      </c>
    </row>
    <row r="832" spans="1:16">
      <c r="A832">
        <f t="shared" si="115"/>
        <v>829</v>
      </c>
      <c r="B832" t="str">
        <f ca="1">IFERROR(VLOOKUP($A832,'vbs,vba'!$G:$H,2,FALSE),"")</f>
        <v/>
      </c>
      <c r="C832" t="str">
        <f ca="1">IFERROR(VLOOKUP($A832,python!$I:$J,2,FALSE),"")</f>
        <v/>
      </c>
      <c r="D832" t="str">
        <f ca="1">IFERROR(VLOOKUP($A832,bat!$F:$G,2,FALSE),"")</f>
        <v>パス一覧取得(フォルダのみ)</v>
      </c>
      <c r="E832" t="str">
        <f ca="1">IFERROR(VLOOKUP($A832,shell!$F:$G,2,FALSE),"")</f>
        <v/>
      </c>
      <c r="F832" t="str">
        <f t="shared" ca="1" si="111"/>
        <v>パス一覧取得(フォルダのみ)</v>
      </c>
      <c r="G832">
        <f ca="1">IF($F832="","",COUNTIF($F$3:$F832,$F832))</f>
        <v>1</v>
      </c>
      <c r="H832">
        <f ca="1">IF(OR(G832&gt;1,G832=""),"",COUNTIF($G$3:$G832,1))</f>
        <v>748</v>
      </c>
      <c r="I832" t="str">
        <f t="shared" ca="1" si="112"/>
        <v>パス一覧取得(フォルダのみ)</v>
      </c>
      <c r="K832">
        <f t="shared" si="116"/>
        <v>829</v>
      </c>
      <c r="L832" t="str">
        <f t="shared" ca="1" si="109"/>
        <v>set(実行コマンド出力)</v>
      </c>
      <c r="M832" s="2" t="str">
        <f t="shared" ca="1" si="117"/>
        <v/>
      </c>
      <c r="N832" s="2" t="str">
        <f t="shared" ca="1" si="110"/>
        <v/>
      </c>
      <c r="O832" s="2" t="str">
        <f t="shared" ca="1" si="113"/>
        <v/>
      </c>
      <c r="P832" s="2" t="str">
        <f t="shared" ca="1" si="114"/>
        <v>○</v>
      </c>
    </row>
    <row r="833" spans="1:16">
      <c r="A833">
        <f t="shared" si="115"/>
        <v>830</v>
      </c>
      <c r="B833" t="str">
        <f ca="1">IFERROR(VLOOKUP($A833,'vbs,vba'!$G:$H,2,FALSE),"")</f>
        <v/>
      </c>
      <c r="C833" t="str">
        <f ca="1">IFERROR(VLOOKUP($A833,python!$I:$J,2,FALSE),"")</f>
        <v/>
      </c>
      <c r="D833" t="str">
        <f ca="1">IFERROR(VLOOKUP($A833,bat!$F:$G,2,FALSE),"")</f>
        <v>パス一覧取得(ファイルのみ)</v>
      </c>
      <c r="E833" t="str">
        <f ca="1">IFERROR(VLOOKUP($A833,shell!$F:$G,2,FALSE),"")</f>
        <v/>
      </c>
      <c r="F833" t="str">
        <f t="shared" ca="1" si="111"/>
        <v>パス一覧取得(ファイルのみ)</v>
      </c>
      <c r="G833">
        <f ca="1">IF($F833="","",COUNTIF($F$3:$F833,$F833))</f>
        <v>1</v>
      </c>
      <c r="H833">
        <f ca="1">IF(OR(G833&gt;1,G833=""),"",COUNTIF($G$3:$G833,1))</f>
        <v>749</v>
      </c>
      <c r="I833" t="str">
        <f t="shared" ca="1" si="112"/>
        <v>パス一覧取得(ファイルのみ)</v>
      </c>
      <c r="K833">
        <f t="shared" si="116"/>
        <v>830</v>
      </c>
      <c r="L833" t="str">
        <f t="shared" ca="1" si="109"/>
        <v>set(構文チェックのみ実施(実行しない))</v>
      </c>
      <c r="M833" s="2" t="str">
        <f t="shared" ca="1" si="117"/>
        <v/>
      </c>
      <c r="N833" s="2" t="str">
        <f t="shared" ca="1" si="110"/>
        <v/>
      </c>
      <c r="O833" s="2" t="str">
        <f t="shared" ca="1" si="113"/>
        <v/>
      </c>
      <c r="P833" s="2" t="str">
        <f t="shared" ca="1" si="114"/>
        <v>○</v>
      </c>
    </row>
    <row r="834" spans="1:16">
      <c r="A834">
        <f t="shared" si="115"/>
        <v>831</v>
      </c>
      <c r="B834" t="str">
        <f ca="1">IFERROR(VLOOKUP($A834,'vbs,vba'!$G:$H,2,FALSE),"")</f>
        <v/>
      </c>
      <c r="C834" t="str">
        <f ca="1">IFERROR(VLOOKUP($A834,python!$I:$J,2,FALSE),"")</f>
        <v/>
      </c>
      <c r="D834" t="str">
        <f ca="1">IFERROR(VLOOKUP($A834,bat!$F:$G,2,FALSE),"")</f>
        <v>パス一覧取得(.c、.hファイルのみ)</v>
      </c>
      <c r="E834" t="str">
        <f ca="1">IFERROR(VLOOKUP($A834,shell!$F:$G,2,FALSE),"")</f>
        <v/>
      </c>
      <c r="F834" t="str">
        <f t="shared" ca="1" si="111"/>
        <v>パス一覧取得(.c、.hファイルのみ)</v>
      </c>
      <c r="G834">
        <f ca="1">IF($F834="","",COUNTIF($F$3:$F834,$F834))</f>
        <v>1</v>
      </c>
      <c r="H834">
        <f ca="1">IF(OR(G834&gt;1,G834=""),"",COUNTIF($G$3:$G834,1))</f>
        <v>750</v>
      </c>
      <c r="I834" t="str">
        <f t="shared" ca="1" si="112"/>
        <v>パス一覧取得(.c、.hファイルのみ)</v>
      </c>
      <c r="K834">
        <f t="shared" si="116"/>
        <v>831</v>
      </c>
      <c r="L834" t="str">
        <f t="shared" ca="1" si="109"/>
        <v>set(ブレース展開無効化)</v>
      </c>
      <c r="M834" s="2" t="str">
        <f t="shared" ca="1" si="117"/>
        <v/>
      </c>
      <c r="N834" s="2" t="str">
        <f t="shared" ca="1" si="110"/>
        <v/>
      </c>
      <c r="O834" s="2" t="str">
        <f t="shared" ca="1" si="113"/>
        <v/>
      </c>
      <c r="P834" s="2" t="str">
        <f t="shared" ca="1" si="114"/>
        <v>○</v>
      </c>
    </row>
    <row r="835" spans="1:16">
      <c r="A835">
        <f t="shared" si="115"/>
        <v>832</v>
      </c>
      <c r="B835" t="str">
        <f ca="1">IFERROR(VLOOKUP($A835,'vbs,vba'!$G:$H,2,FALSE),"")</f>
        <v/>
      </c>
      <c r="C835" t="str">
        <f ca="1">IFERROR(VLOOKUP($A835,python!$I:$J,2,FALSE),"")</f>
        <v/>
      </c>
      <c r="D835" t="str">
        <f ca="1">IFERROR(VLOOKUP($A835,bat!$F:$G,2,FALSE),"")</f>
        <v>シンボリックリンク作成（フォルダ）</v>
      </c>
      <c r="E835" t="str">
        <f ca="1">IFERROR(VLOOKUP($A835,shell!$F:$G,2,FALSE),"")</f>
        <v/>
      </c>
      <c r="F835" t="str">
        <f t="shared" ca="1" si="111"/>
        <v>シンボリックリンク作成（フォルダ）</v>
      </c>
      <c r="G835">
        <f ca="1">IF($F835="","",COUNTIF($F$3:$F835,$F835))</f>
        <v>1</v>
      </c>
      <c r="H835">
        <f ca="1">IF(OR(G835&gt;1,G835=""),"",COUNTIF($G$3:$G835,1))</f>
        <v>751</v>
      </c>
      <c r="I835" t="str">
        <f t="shared" ca="1" si="112"/>
        <v>シンボリックリンク作成（フォルダ）</v>
      </c>
      <c r="K835">
        <f t="shared" si="116"/>
        <v>832</v>
      </c>
      <c r="L835" t="str">
        <f t="shared" ca="1" si="109"/>
        <v>set(リダイレクト時ファイル上書き無効化)</v>
      </c>
      <c r="M835" s="2" t="str">
        <f t="shared" ca="1" si="117"/>
        <v/>
      </c>
      <c r="N835" s="2" t="str">
        <f t="shared" ca="1" si="110"/>
        <v/>
      </c>
      <c r="O835" s="2" t="str">
        <f t="shared" ca="1" si="113"/>
        <v/>
      </c>
      <c r="P835" s="2" t="str">
        <f t="shared" ca="1" si="114"/>
        <v>○</v>
      </c>
    </row>
    <row r="836" spans="1:16">
      <c r="A836">
        <f t="shared" si="115"/>
        <v>833</v>
      </c>
      <c r="B836" t="str">
        <f ca="1">IFERROR(VLOOKUP($A836,'vbs,vba'!$G:$H,2,FALSE),"")</f>
        <v/>
      </c>
      <c r="C836" t="str">
        <f ca="1">IFERROR(VLOOKUP($A836,python!$I:$J,2,FALSE),"")</f>
        <v/>
      </c>
      <c r="D836" t="str">
        <f ca="1">IFERROR(VLOOKUP($A836,bat!$F:$G,2,FALSE),"")</f>
        <v>シンボリックリンク作成（ファイル）</v>
      </c>
      <c r="E836" t="str">
        <f ca="1">IFERROR(VLOOKUP($A836,shell!$F:$G,2,FALSE),"")</f>
        <v/>
      </c>
      <c r="F836" t="str">
        <f t="shared" ca="1" si="111"/>
        <v>シンボリックリンク作成（ファイル）</v>
      </c>
      <c r="G836">
        <f ca="1">IF($F836="","",COUNTIF($F$3:$F836,$F836))</f>
        <v>1</v>
      </c>
      <c r="H836">
        <f ca="1">IF(OR(G836&gt;1,G836=""),"",COUNTIF($G$3:$G836,1))</f>
        <v>752</v>
      </c>
      <c r="I836" t="str">
        <f t="shared" ca="1" si="112"/>
        <v>シンボリックリンク作成（ファイル）</v>
      </c>
      <c r="K836">
        <f t="shared" si="116"/>
        <v>833</v>
      </c>
      <c r="L836" t="str">
        <f t="shared" ref="L836:L899" ca="1" si="118">IFERROR(VLOOKUP($K836,$H:$I,2,FALSE),"")</f>
        <v>set(作成/変更変数の自動的エクスポート)</v>
      </c>
      <c r="M836" s="2" t="str">
        <f t="shared" ca="1" si="117"/>
        <v/>
      </c>
      <c r="N836" s="2" t="str">
        <f t="shared" ref="N836:N899" ca="1" si="119">IF($L836="","",IF(COUNTIF(C$3:C$1004,$L836)&gt;0,"○",""))</f>
        <v/>
      </c>
      <c r="O836" s="2" t="str">
        <f t="shared" ca="1" si="113"/>
        <v/>
      </c>
      <c r="P836" s="2" t="str">
        <f t="shared" ca="1" si="114"/>
        <v>○</v>
      </c>
    </row>
    <row r="837" spans="1:16">
      <c r="A837">
        <f t="shared" si="115"/>
        <v>834</v>
      </c>
      <c r="B837" t="str">
        <f ca="1">IFERROR(VLOOKUP($A837,'vbs,vba'!$G:$H,2,FALSE),"")</f>
        <v/>
      </c>
      <c r="C837" t="str">
        <f ca="1">IFERROR(VLOOKUP($A837,python!$I:$J,2,FALSE),"")</f>
        <v/>
      </c>
      <c r="D837" t="str">
        <f ca="1">IFERROR(VLOOKUP($A837,bat!$F:$G,2,FALSE),"")</f>
        <v>ショートカットファイル作成（フォルダ/ファイル）</v>
      </c>
      <c r="E837" t="str">
        <f ca="1">IFERROR(VLOOKUP($A837,shell!$F:$G,2,FALSE),"")</f>
        <v/>
      </c>
      <c r="F837" t="str">
        <f t="shared" ref="F837:F900" ca="1" si="120">B837&amp;C837&amp;D837&amp;E837</f>
        <v>ショートカットファイル作成（フォルダ/ファイル）</v>
      </c>
      <c r="G837">
        <f ca="1">IF($F837="","",COUNTIF($F$3:$F837,$F837))</f>
        <v>1</v>
      </c>
      <c r="H837">
        <f ca="1">IF(OR(G837&gt;1,G837=""),"",COUNTIF($G$3:$G837,1))</f>
        <v>753</v>
      </c>
      <c r="I837" t="str">
        <f t="shared" ref="I837:I900" ca="1" si="121">F837</f>
        <v>ショートカットファイル作成（フォルダ/ファイル）</v>
      </c>
      <c r="K837">
        <f t="shared" si="116"/>
        <v>834</v>
      </c>
      <c r="L837" t="str">
        <f t="shared" ca="1" si="118"/>
        <v>bash動作設定(シェルオプション)</v>
      </c>
      <c r="M837" s="2" t="str">
        <f t="shared" ca="1" si="117"/>
        <v/>
      </c>
      <c r="N837" s="2" t="str">
        <f t="shared" ca="1" si="119"/>
        <v/>
      </c>
      <c r="O837" s="2" t="str">
        <f t="shared" ref="O837:O900" ca="1" si="122">IF($L837="","",IF(COUNTIF(D$3:D$1004,$L837)&gt;0,"○",""))</f>
        <v/>
      </c>
      <c r="P837" s="2" t="str">
        <f t="shared" ref="P837:P900" ca="1" si="123">IF($L837="","",IF(COUNTIF(E$3:E$1004,$L837)&gt;0,"○",""))</f>
        <v>○</v>
      </c>
    </row>
    <row r="838" spans="1:16">
      <c r="A838">
        <f t="shared" ref="A838:A901" si="124">A837+1</f>
        <v>835</v>
      </c>
      <c r="B838" t="str">
        <f ca="1">IFERROR(VLOOKUP($A838,'vbs,vba'!$G:$H,2,FALSE),"")</f>
        <v/>
      </c>
      <c r="C838" t="str">
        <f ca="1">IFERROR(VLOOKUP($A838,python!$I:$J,2,FALSE),"")</f>
        <v/>
      </c>
      <c r="D838" t="str">
        <f ca="1">IFERROR(VLOOKUP($A838,bat!$F:$G,2,FALSE),"")</f>
        <v>システム属性設定</v>
      </c>
      <c r="E838" t="str">
        <f ca="1">IFERROR(VLOOKUP($A838,shell!$F:$G,2,FALSE),"")</f>
        <v/>
      </c>
      <c r="F838" t="str">
        <f t="shared" ca="1" si="120"/>
        <v>システム属性設定</v>
      </c>
      <c r="G838">
        <f ca="1">IF($F838="","",COUNTIF($F$3:$F838,$F838))</f>
        <v>1</v>
      </c>
      <c r="H838">
        <f ca="1">IF(OR(G838&gt;1,G838=""),"",COUNTIF($G$3:$G838,1))</f>
        <v>754</v>
      </c>
      <c r="I838" t="str">
        <f t="shared" ca="1" si="121"/>
        <v>システム属性設定</v>
      </c>
      <c r="K838">
        <f t="shared" ref="K838:K901" si="125">K837+1</f>
        <v>835</v>
      </c>
      <c r="L838" t="str">
        <f t="shared" ca="1" si="118"/>
        <v>不一致globsを除去</v>
      </c>
      <c r="M838" s="2" t="str">
        <f t="shared" ca="1" si="117"/>
        <v/>
      </c>
      <c r="N838" s="2" t="str">
        <f t="shared" ca="1" si="119"/>
        <v/>
      </c>
      <c r="O838" s="2" t="str">
        <f t="shared" ca="1" si="122"/>
        <v/>
      </c>
      <c r="P838" s="2" t="str">
        <f t="shared" ca="1" si="123"/>
        <v>○</v>
      </c>
    </row>
    <row r="839" spans="1:16">
      <c r="A839">
        <f t="shared" si="124"/>
        <v>836</v>
      </c>
      <c r="B839" t="str">
        <f ca="1">IFERROR(VLOOKUP($A839,'vbs,vba'!$G:$H,2,FALSE),"")</f>
        <v/>
      </c>
      <c r="C839" t="str">
        <f ca="1">IFERROR(VLOOKUP($A839,python!$I:$J,2,FALSE),"")</f>
        <v/>
      </c>
      <c r="D839" t="str">
        <f ca="1">IFERROR(VLOOKUP($A839,bat!$F:$G,2,FALSE),"")</f>
        <v>システム属性解除</v>
      </c>
      <c r="E839" t="str">
        <f ca="1">IFERROR(VLOOKUP($A839,shell!$F:$G,2,FALSE),"")</f>
        <v/>
      </c>
      <c r="F839" t="str">
        <f t="shared" ca="1" si="120"/>
        <v>システム属性解除</v>
      </c>
      <c r="G839">
        <f ca="1">IF($F839="","",COUNTIF($F$3:$F839,$F839))</f>
        <v>1</v>
      </c>
      <c r="H839">
        <f ca="1">IF(OR(G839&gt;1,G839=""),"",COUNTIF($G$3:$G839,1))</f>
        <v>755</v>
      </c>
      <c r="I839" t="str">
        <f t="shared" ca="1" si="121"/>
        <v>システム属性解除</v>
      </c>
      <c r="K839">
        <f t="shared" si="125"/>
        <v>836</v>
      </c>
      <c r="L839" t="str">
        <f t="shared" ca="1" si="118"/>
        <v>不一致globsはエラーにする</v>
      </c>
      <c r="M839" s="2" t="str">
        <f t="shared" ca="1" si="117"/>
        <v/>
      </c>
      <c r="N839" s="2" t="str">
        <f t="shared" ca="1" si="119"/>
        <v/>
      </c>
      <c r="O839" s="2" t="str">
        <f t="shared" ca="1" si="122"/>
        <v/>
      </c>
      <c r="P839" s="2" t="str">
        <f t="shared" ca="1" si="123"/>
        <v>○</v>
      </c>
    </row>
    <row r="840" spans="1:16">
      <c r="A840">
        <f t="shared" si="124"/>
        <v>837</v>
      </c>
      <c r="B840" t="str">
        <f ca="1">IFERROR(VLOOKUP($A840,'vbs,vba'!$G:$H,2,FALSE),"")</f>
        <v/>
      </c>
      <c r="C840" t="str">
        <f ca="1">IFERROR(VLOOKUP($A840,python!$I:$J,2,FALSE),"")</f>
        <v/>
      </c>
      <c r="D840" t="str">
        <f ca="1">IFERROR(VLOOKUP($A840,bat!$F:$G,2,FALSE),"")</f>
        <v>隠し属性設定</v>
      </c>
      <c r="E840" t="str">
        <f ca="1">IFERROR(VLOOKUP($A840,shell!$F:$G,2,FALSE),"")</f>
        <v/>
      </c>
      <c r="F840" t="str">
        <f t="shared" ca="1" si="120"/>
        <v>隠し属性設定</v>
      </c>
      <c r="G840">
        <f ca="1">IF($F840="","",COUNTIF($F$3:$F840,$F840))</f>
        <v>1</v>
      </c>
      <c r="H840">
        <f ca="1">IF(OR(G840&gt;1,G840=""),"",COUNTIF($G$3:$G840,1))</f>
        <v>756</v>
      </c>
      <c r="I840" t="str">
        <f t="shared" ca="1" si="121"/>
        <v>隠し属性設定</v>
      </c>
      <c r="K840">
        <f t="shared" si="125"/>
        <v>837</v>
      </c>
      <c r="L840" t="str">
        <f t="shared" ca="1" si="118"/>
        <v>globsの大文字小文字を区別しない</v>
      </c>
      <c r="M840" s="2" t="str">
        <f t="shared" ca="1" si="117"/>
        <v/>
      </c>
      <c r="N840" s="2" t="str">
        <f t="shared" ca="1" si="119"/>
        <v/>
      </c>
      <c r="O840" s="2" t="str">
        <f t="shared" ca="1" si="122"/>
        <v/>
      </c>
      <c r="P840" s="2" t="str">
        <f t="shared" ca="1" si="123"/>
        <v>○</v>
      </c>
    </row>
    <row r="841" spans="1:16">
      <c r="A841">
        <f t="shared" si="124"/>
        <v>838</v>
      </c>
      <c r="B841" t="str">
        <f ca="1">IFERROR(VLOOKUP($A841,'vbs,vba'!$G:$H,2,FALSE),"")</f>
        <v/>
      </c>
      <c r="C841" t="str">
        <f ca="1">IFERROR(VLOOKUP($A841,python!$I:$J,2,FALSE),"")</f>
        <v/>
      </c>
      <c r="D841" t="str">
        <f ca="1">IFERROR(VLOOKUP($A841,bat!$F:$G,2,FALSE),"")</f>
        <v>隠し属性解除</v>
      </c>
      <c r="E841" t="str">
        <f ca="1">IFERROR(VLOOKUP($A841,shell!$F:$G,2,FALSE),"")</f>
        <v/>
      </c>
      <c r="F841" t="str">
        <f t="shared" ca="1" si="120"/>
        <v>隠し属性解除</v>
      </c>
      <c r="G841">
        <f ca="1">IF($F841="","",COUNTIF($F$3:$F841,$F841))</f>
        <v>1</v>
      </c>
      <c r="H841">
        <f ca="1">IF(OR(G841&gt;1,G841=""),"",COUNTIF($G$3:$G841,1))</f>
        <v>757</v>
      </c>
      <c r="I841" t="str">
        <f t="shared" ca="1" si="121"/>
        <v>隠し属性解除</v>
      </c>
      <c r="K841">
        <f t="shared" si="125"/>
        <v>838</v>
      </c>
      <c r="L841" t="str">
        <f t="shared" ca="1" si="118"/>
        <v>dotfilesもワイルドカードにマッチさせる</v>
      </c>
      <c r="M841" s="2" t="str">
        <f t="shared" ca="1" si="117"/>
        <v/>
      </c>
      <c r="N841" s="2" t="str">
        <f t="shared" ca="1" si="119"/>
        <v/>
      </c>
      <c r="O841" s="2" t="str">
        <f t="shared" ca="1" si="122"/>
        <v/>
      </c>
      <c r="P841" s="2" t="str">
        <f t="shared" ca="1" si="123"/>
        <v>○</v>
      </c>
    </row>
    <row r="842" spans="1:16">
      <c r="A842">
        <f t="shared" si="124"/>
        <v>839</v>
      </c>
      <c r="B842" t="str">
        <f ca="1">IFERROR(VLOOKUP($A842,'vbs,vba'!$G:$H,2,FALSE),"")</f>
        <v/>
      </c>
      <c r="C842" t="str">
        <f ca="1">IFERROR(VLOOKUP($A842,python!$I:$J,2,FALSE),"")</f>
        <v/>
      </c>
      <c r="D842" t="str">
        <f ca="1">IFERROR(VLOOKUP($A842,bat!$F:$G,2,FALSE),"")</f>
        <v>静的IPアドレス化</v>
      </c>
      <c r="E842" t="str">
        <f ca="1">IFERROR(VLOOKUP($A842,shell!$F:$G,2,FALSE),"")</f>
        <v/>
      </c>
      <c r="F842" t="str">
        <f t="shared" ca="1" si="120"/>
        <v>静的IPアドレス化</v>
      </c>
      <c r="G842">
        <f ca="1">IF($F842="","",COUNTIF($F$3:$F842,$F842))</f>
        <v>1</v>
      </c>
      <c r="H842">
        <f ca="1">IF(OR(G842&gt;1,G842=""),"",COUNTIF($G$3:$G842,1))</f>
        <v>758</v>
      </c>
      <c r="I842" t="str">
        <f t="shared" ca="1" si="121"/>
        <v>静的IPアドレス化</v>
      </c>
      <c r="K842">
        <f t="shared" si="125"/>
        <v>839</v>
      </c>
      <c r="L842" t="str">
        <f t="shared" ca="1" si="118"/>
        <v>「**」を再帰マッチにする</v>
      </c>
      <c r="M842" s="2" t="str">
        <f t="shared" ca="1" si="117"/>
        <v/>
      </c>
      <c r="N842" s="2" t="str">
        <f t="shared" ca="1" si="119"/>
        <v/>
      </c>
      <c r="O842" s="2" t="str">
        <f t="shared" ca="1" si="122"/>
        <v/>
      </c>
      <c r="P842" s="2" t="str">
        <f t="shared" ca="1" si="123"/>
        <v>○</v>
      </c>
    </row>
    <row r="843" spans="1:16">
      <c r="A843">
        <f t="shared" si="124"/>
        <v>840</v>
      </c>
      <c r="B843" t="str">
        <f ca="1">IFERROR(VLOOKUP($A843,'vbs,vba'!$G:$H,2,FALSE),"")</f>
        <v/>
      </c>
      <c r="C843" t="str">
        <f ca="1">IFERROR(VLOOKUP($A843,python!$I:$J,2,FALSE),"")</f>
        <v/>
      </c>
      <c r="D843" t="str">
        <f ca="1">IFERROR(VLOOKUP($A843,bat!$F:$G,2,FALSE),"")</f>
        <v>動的IPアドレス化</v>
      </c>
      <c r="E843">
        <f ca="1">IFERROR(VLOOKUP($A843,shell!$F:$G,2,FALSE),"")</f>
        <v>0</v>
      </c>
      <c r="F843" t="str">
        <f t="shared" ca="1" si="120"/>
        <v>動的IPアドレス化0</v>
      </c>
      <c r="G843">
        <f ca="1">IF($F843="","",COUNTIF($F$3:$F843,$F843))</f>
        <v>1</v>
      </c>
      <c r="H843">
        <f ca="1">IF(OR(G843&gt;1,G843=""),"",COUNTIF($G$3:$G843,1))</f>
        <v>759</v>
      </c>
      <c r="I843" t="str">
        <f t="shared" ca="1" si="121"/>
        <v>動的IPアドレス化0</v>
      </c>
      <c r="K843">
        <f t="shared" si="125"/>
        <v>840</v>
      </c>
      <c r="L843" t="str">
        <f t="shared" ca="1" si="118"/>
        <v>ログ出力先指定toファイル（標準出力）</v>
      </c>
      <c r="M843" s="2" t="str">
        <f t="shared" ca="1" si="117"/>
        <v/>
      </c>
      <c r="N843" s="2" t="str">
        <f t="shared" ca="1" si="119"/>
        <v/>
      </c>
      <c r="O843" s="2" t="str">
        <f t="shared" ca="1" si="122"/>
        <v/>
      </c>
      <c r="P843" s="2" t="str">
        <f t="shared" ca="1" si="123"/>
        <v>○</v>
      </c>
    </row>
    <row r="844" spans="1:16">
      <c r="A844">
        <f t="shared" si="124"/>
        <v>841</v>
      </c>
      <c r="B844" t="str">
        <f ca="1">IFERROR(VLOOKUP($A844,'vbs,vba'!$G:$H,2,FALSE),"")</f>
        <v/>
      </c>
      <c r="C844" t="str">
        <f ca="1">IFERROR(VLOOKUP($A844,python!$I:$J,2,FALSE),"")</f>
        <v/>
      </c>
      <c r="D844" t="str">
        <f ca="1">IFERROR(VLOOKUP($A844,bat!$F:$G,2,FALSE),"")</f>
        <v/>
      </c>
      <c r="E844" t="str">
        <f ca="1">IFERROR(VLOOKUP($A844,shell!$F:$G,2,FALSE),"")</f>
        <v>シェバン(shebang)</v>
      </c>
      <c r="F844" t="str">
        <f t="shared" ca="1" si="120"/>
        <v>シェバン(shebang)</v>
      </c>
      <c r="G844">
        <f ca="1">IF($F844="","",COUNTIF($F$3:$F844,$F844))</f>
        <v>1</v>
      </c>
      <c r="H844">
        <f ca="1">IF(OR(G844&gt;1,G844=""),"",COUNTIF($G$3:$G844,1))</f>
        <v>760</v>
      </c>
      <c r="I844" t="str">
        <f t="shared" ca="1" si="121"/>
        <v>シェバン(shebang)</v>
      </c>
      <c r="K844">
        <f t="shared" si="125"/>
        <v>841</v>
      </c>
      <c r="L844" t="str">
        <f t="shared" ca="1" si="118"/>
        <v>ログ出力先指定toファイル（標準エラー出力）</v>
      </c>
      <c r="M844" s="2" t="str">
        <f t="shared" ca="1" si="117"/>
        <v/>
      </c>
      <c r="N844" s="2" t="str">
        <f t="shared" ca="1" si="119"/>
        <v/>
      </c>
      <c r="O844" s="2" t="str">
        <f t="shared" ca="1" si="122"/>
        <v/>
      </c>
      <c r="P844" s="2" t="str">
        <f t="shared" ca="1" si="123"/>
        <v>○</v>
      </c>
    </row>
    <row r="845" spans="1:16">
      <c r="A845">
        <f t="shared" si="124"/>
        <v>842</v>
      </c>
      <c r="B845" t="str">
        <f ca="1">IFERROR(VLOOKUP($A845,'vbs,vba'!$G:$H,2,FALSE),"")</f>
        <v/>
      </c>
      <c r="C845" t="str">
        <f ca="1">IFERROR(VLOOKUP($A845,python!$I:$J,2,FALSE),"")</f>
        <v/>
      </c>
      <c r="D845" t="str">
        <f ca="1">IFERROR(VLOOKUP($A845,bat!$F:$G,2,FALSE),"")</f>
        <v/>
      </c>
      <c r="E845" t="str">
        <f ca="1">IFERROR(VLOOKUP($A845,shell!$F:$G,2,FALSE),"")</f>
        <v>コマンド実行</v>
      </c>
      <c r="F845" t="str">
        <f t="shared" ca="1" si="120"/>
        <v>コマンド実行</v>
      </c>
      <c r="G845">
        <f ca="1">IF($F845="","",COUNTIF($F$3:$F845,$F845))</f>
        <v>3</v>
      </c>
      <c r="H845" t="str">
        <f ca="1">IF(OR(G845&gt;1,G845=""),"",COUNTIF($G$3:$G845,1))</f>
        <v/>
      </c>
      <c r="I845" t="str">
        <f t="shared" ca="1" si="121"/>
        <v>コマンド実行</v>
      </c>
      <c r="K845">
        <f t="shared" si="125"/>
        <v>842</v>
      </c>
      <c r="L845" t="str">
        <f t="shared" ca="1" si="118"/>
        <v>ログ出力先指定toファイル＆画面（標準出力）</v>
      </c>
      <c r="M845" s="2" t="str">
        <f t="shared" ca="1" si="117"/>
        <v/>
      </c>
      <c r="N845" s="2" t="str">
        <f t="shared" ca="1" si="119"/>
        <v/>
      </c>
      <c r="O845" s="2" t="str">
        <f t="shared" ca="1" si="122"/>
        <v/>
      </c>
      <c r="P845" s="2" t="str">
        <f t="shared" ca="1" si="123"/>
        <v>○</v>
      </c>
    </row>
    <row r="846" spans="1:16">
      <c r="A846">
        <f t="shared" si="124"/>
        <v>843</v>
      </c>
      <c r="B846" t="str">
        <f ca="1">IFERROR(VLOOKUP($A846,'vbs,vba'!$G:$H,2,FALSE),"")</f>
        <v/>
      </c>
      <c r="C846" t="str">
        <f ca="1">IFERROR(VLOOKUP($A846,python!$I:$J,2,FALSE),"")</f>
        <v/>
      </c>
      <c r="D846" t="str">
        <f ca="1">IFERROR(VLOOKUP($A846,bat!$F:$G,2,FALSE),"")</f>
        <v/>
      </c>
      <c r="E846" t="str">
        <f ca="1">IFERROR(VLOOKUP($A846,shell!$F:$G,2,FALSE),"")</f>
        <v>コマンド実行(非エイリアス)</v>
      </c>
      <c r="F846" t="str">
        <f t="shared" ca="1" si="120"/>
        <v>コマンド実行(非エイリアス)</v>
      </c>
      <c r="G846">
        <f ca="1">IF($F846="","",COUNTIF($F$3:$F846,$F846))</f>
        <v>1</v>
      </c>
      <c r="H846">
        <f ca="1">IF(OR(G846&gt;1,G846=""),"",COUNTIF($G$3:$G846,1))</f>
        <v>761</v>
      </c>
      <c r="I846" t="str">
        <f t="shared" ca="1" si="121"/>
        <v>コマンド実行(非エイリアス)</v>
      </c>
      <c r="K846">
        <f t="shared" si="125"/>
        <v>843</v>
      </c>
      <c r="L846" t="str">
        <f t="shared" ca="1" si="118"/>
        <v>ログ出力先指定toファイル＆画面（標準エラー出力）</v>
      </c>
      <c r="M846" s="2" t="str">
        <f t="shared" ca="1" si="117"/>
        <v/>
      </c>
      <c r="N846" s="2" t="str">
        <f t="shared" ca="1" si="119"/>
        <v/>
      </c>
      <c r="O846" s="2" t="str">
        <f t="shared" ca="1" si="122"/>
        <v/>
      </c>
      <c r="P846" s="2" t="str">
        <f t="shared" ca="1" si="123"/>
        <v>○</v>
      </c>
    </row>
    <row r="847" spans="1:16">
      <c r="A847">
        <f t="shared" si="124"/>
        <v>844</v>
      </c>
      <c r="B847" t="str">
        <f ca="1">IFERROR(VLOOKUP($A847,'vbs,vba'!$G:$H,2,FALSE),"")</f>
        <v/>
      </c>
      <c r="C847" t="str">
        <f ca="1">IFERROR(VLOOKUP($A847,python!$I:$J,2,FALSE),"")</f>
        <v/>
      </c>
      <c r="D847" t="str">
        <f ca="1">IFERROR(VLOOKUP($A847,bat!$F:$G,2,FALSE),"")</f>
        <v/>
      </c>
      <c r="E847" t="str">
        <f ca="1">IFERROR(VLOOKUP($A847,shell!$F:$G,2,FALSE),"")</f>
        <v>コマンド実行(直近実行コマンド)</v>
      </c>
      <c r="F847" t="str">
        <f t="shared" ca="1" si="120"/>
        <v>コマンド実行(直近実行コマンド)</v>
      </c>
      <c r="G847">
        <f ca="1">IF($F847="","",COUNTIF($F$3:$F847,$F847))</f>
        <v>1</v>
      </c>
      <c r="H847">
        <f ca="1">IF(OR(G847&gt;1,G847=""),"",COUNTIF($G$3:$G847,1))</f>
        <v>762</v>
      </c>
      <c r="I847" t="str">
        <f t="shared" ca="1" si="121"/>
        <v>コマンド実行(直近実行コマンド)</v>
      </c>
      <c r="K847">
        <f t="shared" si="125"/>
        <v>844</v>
      </c>
      <c r="L847" t="str">
        <f t="shared" ca="1" si="118"/>
        <v>ログ出力先指定toファイル＆画面（標準出力＆標準エラー出力）</v>
      </c>
      <c r="M847" s="2" t="str">
        <f t="shared" ca="1" si="117"/>
        <v/>
      </c>
      <c r="N847" s="2" t="str">
        <f t="shared" ca="1" si="119"/>
        <v/>
      </c>
      <c r="O847" s="2" t="str">
        <f t="shared" ca="1" si="122"/>
        <v/>
      </c>
      <c r="P847" s="2" t="str">
        <f t="shared" ca="1" si="123"/>
        <v>○</v>
      </c>
    </row>
    <row r="848" spans="1:16">
      <c r="A848">
        <f t="shared" si="124"/>
        <v>845</v>
      </c>
      <c r="B848" t="str">
        <f ca="1">IFERROR(VLOOKUP($A848,'vbs,vba'!$G:$H,2,FALSE),"")</f>
        <v/>
      </c>
      <c r="C848" t="str">
        <f ca="1">IFERROR(VLOOKUP($A848,python!$I:$J,2,FALSE),"")</f>
        <v/>
      </c>
      <c r="D848" t="str">
        <f ca="1">IFERROR(VLOOKUP($A848,bat!$F:$G,2,FALSE),"")</f>
        <v/>
      </c>
      <c r="E848" t="str">
        <f ca="1">IFERROR(VLOOKUP($A848,shell!$F:$G,2,FALSE),"")</f>
        <v>コマンド実行(直前コマンド)</v>
      </c>
      <c r="F848" t="str">
        <f t="shared" ca="1" si="120"/>
        <v>コマンド実行(直前コマンド)</v>
      </c>
      <c r="G848">
        <f ca="1">IF($F848="","",COUNTIF($F$3:$F848,$F848))</f>
        <v>1</v>
      </c>
      <c r="H848">
        <f ca="1">IF(OR(G848&gt;1,G848=""),"",COUNTIF($G$3:$G848,1))</f>
        <v>763</v>
      </c>
      <c r="I848" t="str">
        <f t="shared" ca="1" si="121"/>
        <v>コマンド実行(直前コマンド)</v>
      </c>
      <c r="K848">
        <f t="shared" si="125"/>
        <v>845</v>
      </c>
      <c r="L848" t="str">
        <f t="shared" ca="1" si="118"/>
        <v>ログ出力先指定to画面（標準出力＆標準エラー出力）</v>
      </c>
      <c r="M848" s="2" t="str">
        <f t="shared" ca="1" si="117"/>
        <v/>
      </c>
      <c r="N848" s="2" t="str">
        <f t="shared" ca="1" si="119"/>
        <v/>
      </c>
      <c r="O848" s="2" t="str">
        <f t="shared" ca="1" si="122"/>
        <v/>
      </c>
      <c r="P848" s="2" t="str">
        <f t="shared" ca="1" si="123"/>
        <v>○</v>
      </c>
    </row>
    <row r="849" spans="1:16">
      <c r="A849">
        <f t="shared" si="124"/>
        <v>846</v>
      </c>
      <c r="B849" t="str">
        <f ca="1">IFERROR(VLOOKUP($A849,'vbs,vba'!$G:$H,2,FALSE),"")</f>
        <v/>
      </c>
      <c r="C849" t="str">
        <f ca="1">IFERROR(VLOOKUP($A849,python!$I:$J,2,FALSE),"")</f>
        <v/>
      </c>
      <c r="D849" t="str">
        <f ca="1">IFERROR(VLOOKUP($A849,bat!$F:$G,2,FALSE),"")</f>
        <v/>
      </c>
      <c r="E849" t="str">
        <f ca="1">IFERROR(VLOOKUP($A849,shell!$F:$G,2,FALSE),"")</f>
        <v>直前コマンドの最初の引数</v>
      </c>
      <c r="F849" t="str">
        <f t="shared" ca="1" si="120"/>
        <v>直前コマンドの最初の引数</v>
      </c>
      <c r="G849">
        <f ca="1">IF($F849="","",COUNTIF($F$3:$F849,$F849))</f>
        <v>1</v>
      </c>
      <c r="H849">
        <f ca="1">IF(OR(G849&gt;1,G849=""),"",COUNTIF($G$3:$G849,1))</f>
        <v>764</v>
      </c>
      <c r="I849" t="str">
        <f t="shared" ca="1" si="121"/>
        <v>直前コマンドの最初の引数</v>
      </c>
      <c r="K849">
        <f t="shared" si="125"/>
        <v>846</v>
      </c>
      <c r="L849" t="str">
        <f t="shared" ca="1" si="118"/>
        <v>算術演算</v>
      </c>
      <c r="M849" s="2" t="str">
        <f t="shared" ca="1" si="117"/>
        <v/>
      </c>
      <c r="N849" s="2" t="str">
        <f t="shared" ca="1" si="119"/>
        <v/>
      </c>
      <c r="O849" s="2" t="str">
        <f t="shared" ca="1" si="122"/>
        <v/>
      </c>
      <c r="P849" s="2" t="str">
        <f t="shared" ca="1" si="123"/>
        <v>○</v>
      </c>
    </row>
    <row r="850" spans="1:16">
      <c r="A850">
        <f t="shared" si="124"/>
        <v>847</v>
      </c>
      <c r="B850" t="str">
        <f ca="1">IFERROR(VLOOKUP($A850,'vbs,vba'!$G:$H,2,FALSE),"")</f>
        <v/>
      </c>
      <c r="C850" t="str">
        <f ca="1">IFERROR(VLOOKUP($A850,python!$I:$J,2,FALSE),"")</f>
        <v/>
      </c>
      <c r="D850" t="str">
        <f ca="1">IFERROR(VLOOKUP($A850,bat!$F:$G,2,FALSE),"")</f>
        <v/>
      </c>
      <c r="E850" t="str">
        <f ca="1">IFERROR(VLOOKUP($A850,shell!$F:$G,2,FALSE),"")</f>
        <v>直前コマンドの最終の引数</v>
      </c>
      <c r="F850" t="str">
        <f t="shared" ca="1" si="120"/>
        <v>直前コマンドの最終の引数</v>
      </c>
      <c r="G850">
        <f ca="1">IF($F850="","",COUNTIF($F$3:$F850,$F850))</f>
        <v>1</v>
      </c>
      <c r="H850">
        <f ca="1">IF(OR(G850&gt;1,G850=""),"",COUNTIF($G$3:$G850,1))</f>
        <v>765</v>
      </c>
      <c r="I850" t="str">
        <f t="shared" ca="1" si="121"/>
        <v>直前コマンドの最終の引数</v>
      </c>
      <c r="K850">
        <f t="shared" si="125"/>
        <v>847</v>
      </c>
      <c r="L850" t="str">
        <f t="shared" ca="1" si="118"/>
        <v>算術演算(加)</v>
      </c>
      <c r="M850" s="2" t="str">
        <f t="shared" ca="1" si="117"/>
        <v/>
      </c>
      <c r="N850" s="2" t="str">
        <f t="shared" ca="1" si="119"/>
        <v/>
      </c>
      <c r="O850" s="2" t="str">
        <f t="shared" ca="1" si="122"/>
        <v/>
      </c>
      <c r="P850" s="2" t="str">
        <f t="shared" ca="1" si="123"/>
        <v>○</v>
      </c>
    </row>
    <row r="851" spans="1:16">
      <c r="A851">
        <f t="shared" si="124"/>
        <v>848</v>
      </c>
      <c r="B851" t="str">
        <f ca="1">IFERROR(VLOOKUP($A851,'vbs,vba'!$G:$H,2,FALSE),"")</f>
        <v/>
      </c>
      <c r="C851" t="str">
        <f ca="1">IFERROR(VLOOKUP($A851,python!$I:$J,2,FALSE),"")</f>
        <v/>
      </c>
      <c r="D851" t="str">
        <f ca="1">IFERROR(VLOOKUP($A851,bat!$F:$G,2,FALSE),"")</f>
        <v/>
      </c>
      <c r="E851" t="str">
        <f ca="1">IFERROR(VLOOKUP($A851,shell!$F:$G,2,FALSE),"")</f>
        <v>直前コマンドの全引数</v>
      </c>
      <c r="F851" t="str">
        <f t="shared" ca="1" si="120"/>
        <v>直前コマンドの全引数</v>
      </c>
      <c r="G851">
        <f ca="1">IF($F851="","",COUNTIF($F$3:$F851,$F851))</f>
        <v>1</v>
      </c>
      <c r="H851">
        <f ca="1">IF(OR(G851&gt;1,G851=""),"",COUNTIF($G$3:$G851,1))</f>
        <v>766</v>
      </c>
      <c r="I851" t="str">
        <f t="shared" ca="1" si="121"/>
        <v>直前コマンドの全引数</v>
      </c>
      <c r="K851">
        <f t="shared" si="125"/>
        <v>848</v>
      </c>
      <c r="L851" t="str">
        <f t="shared" ca="1" si="118"/>
        <v>算術演算(減)</v>
      </c>
      <c r="M851" s="2" t="str">
        <f t="shared" ca="1" si="117"/>
        <v/>
      </c>
      <c r="N851" s="2" t="str">
        <f t="shared" ca="1" si="119"/>
        <v/>
      </c>
      <c r="O851" s="2" t="str">
        <f t="shared" ca="1" si="122"/>
        <v/>
      </c>
      <c r="P851" s="2" t="str">
        <f t="shared" ca="1" si="123"/>
        <v>○</v>
      </c>
    </row>
    <row r="852" spans="1:16">
      <c r="A852">
        <f t="shared" si="124"/>
        <v>849</v>
      </c>
      <c r="B852" t="str">
        <f ca="1">IFERROR(VLOOKUP($A852,'vbs,vba'!$G:$H,2,FALSE),"")</f>
        <v/>
      </c>
      <c r="C852" t="str">
        <f ca="1">IFERROR(VLOOKUP($A852,python!$I:$J,2,FALSE),"")</f>
        <v/>
      </c>
      <c r="D852" t="str">
        <f ca="1">IFERROR(VLOOKUP($A852,bat!$F:$G,2,FALSE),"")</f>
        <v/>
      </c>
      <c r="E852" t="str">
        <f ca="1">IFERROR(VLOOKUP($A852,shell!$F:$G,2,FALSE),"")</f>
        <v>直前コマンドの全引数(最終引数を除く)</v>
      </c>
      <c r="F852" t="str">
        <f t="shared" ca="1" si="120"/>
        <v>直前コマンドの全引数(最終引数を除く)</v>
      </c>
      <c r="G852">
        <f ca="1">IF($F852="","",COUNTIF($F$3:$F852,$F852))</f>
        <v>1</v>
      </c>
      <c r="H852">
        <f ca="1">IF(OR(G852&gt;1,G852=""),"",COUNTIF($G$3:$G852,1))</f>
        <v>767</v>
      </c>
      <c r="I852" t="str">
        <f t="shared" ca="1" si="121"/>
        <v>直前コマンドの全引数(最終引数を除く)</v>
      </c>
      <c r="K852">
        <f t="shared" si="125"/>
        <v>849</v>
      </c>
      <c r="L852" t="str">
        <f t="shared" ca="1" si="118"/>
        <v>算術演算(乗)</v>
      </c>
      <c r="M852" s="2" t="str">
        <f t="shared" ca="1" si="117"/>
        <v/>
      </c>
      <c r="N852" s="2" t="str">
        <f t="shared" ca="1" si="119"/>
        <v/>
      </c>
      <c r="O852" s="2" t="str">
        <f t="shared" ca="1" si="122"/>
        <v/>
      </c>
      <c r="P852" s="2" t="str">
        <f t="shared" ca="1" si="123"/>
        <v>○</v>
      </c>
    </row>
    <row r="853" spans="1:16">
      <c r="A853">
        <f t="shared" si="124"/>
        <v>850</v>
      </c>
      <c r="B853" t="str">
        <f ca="1">IFERROR(VLOOKUP($A853,'vbs,vba'!$G:$H,2,FALSE),"")</f>
        <v/>
      </c>
      <c r="C853" t="str">
        <f ca="1">IFERROR(VLOOKUP($A853,python!$I:$J,2,FALSE),"")</f>
        <v/>
      </c>
      <c r="D853" t="str">
        <f ca="1">IFERROR(VLOOKUP($A853,bat!$F:$G,2,FALSE),"")</f>
        <v/>
      </c>
      <c r="E853" t="str">
        <f ca="1">IFERROR(VLOOKUP($A853,shell!$F:$G,2,FALSE),"")</f>
        <v>直前コマンドの最終引数</v>
      </c>
      <c r="F853" t="str">
        <f t="shared" ca="1" si="120"/>
        <v>直前コマンドの最終引数</v>
      </c>
      <c r="G853">
        <f ca="1">IF($F853="","",COUNTIF($F$3:$F853,$F853))</f>
        <v>1</v>
      </c>
      <c r="H853">
        <f ca="1">IF(OR(G853&gt;1,G853=""),"",COUNTIF($G$3:$G853,1))</f>
        <v>768</v>
      </c>
      <c r="I853" t="str">
        <f t="shared" ca="1" si="121"/>
        <v>直前コマンドの最終引数</v>
      </c>
      <c r="K853">
        <f t="shared" si="125"/>
        <v>850</v>
      </c>
      <c r="L853" t="str">
        <f t="shared" ca="1" si="118"/>
        <v>算術演算(割)</v>
      </c>
      <c r="M853" s="2" t="str">
        <f t="shared" ca="1" si="117"/>
        <v/>
      </c>
      <c r="N853" s="2" t="str">
        <f t="shared" ca="1" si="119"/>
        <v/>
      </c>
      <c r="O853" s="2" t="str">
        <f t="shared" ca="1" si="122"/>
        <v/>
      </c>
      <c r="P853" s="2" t="str">
        <f t="shared" ca="1" si="123"/>
        <v>○</v>
      </c>
    </row>
    <row r="854" spans="1:16">
      <c r="A854">
        <f t="shared" si="124"/>
        <v>851</v>
      </c>
      <c r="B854" t="str">
        <f ca="1">IFERROR(VLOOKUP($A854,'vbs,vba'!$G:$H,2,FALSE),"")</f>
        <v/>
      </c>
      <c r="C854" t="str">
        <f ca="1">IFERROR(VLOOKUP($A854,python!$I:$J,2,FALSE),"")</f>
        <v/>
      </c>
      <c r="D854" t="str">
        <f ca="1">IFERROR(VLOOKUP($A854,bat!$F:$G,2,FALSE),"")</f>
        <v/>
      </c>
      <c r="E854" t="str">
        <f ca="1">IFERROR(VLOOKUP($A854,shell!$F:$G,2,FALSE),"")</f>
        <v>直前コマンドの実行結果</v>
      </c>
      <c r="F854" t="str">
        <f t="shared" ca="1" si="120"/>
        <v>直前コマンドの実行結果</v>
      </c>
      <c r="G854">
        <f ca="1">IF($F854="","",COUNTIF($F$3:$F854,$F854))</f>
        <v>1</v>
      </c>
      <c r="H854">
        <f ca="1">IF(OR(G854&gt;1,G854=""),"",COUNTIF($G$3:$G854,1))</f>
        <v>769</v>
      </c>
      <c r="I854" t="str">
        <f t="shared" ca="1" si="121"/>
        <v>直前コマンドの実行結果</v>
      </c>
      <c r="K854">
        <f t="shared" si="125"/>
        <v>851</v>
      </c>
      <c r="L854" t="str">
        <f t="shared" ca="1" si="118"/>
        <v>算術演算(剰余)</v>
      </c>
      <c r="M854" s="2" t="str">
        <f t="shared" ca="1" si="117"/>
        <v/>
      </c>
      <c r="N854" s="2" t="str">
        <f t="shared" ca="1" si="119"/>
        <v/>
      </c>
      <c r="O854" s="2" t="str">
        <f t="shared" ca="1" si="122"/>
        <v/>
      </c>
      <c r="P854" s="2" t="str">
        <f t="shared" ca="1" si="123"/>
        <v>○</v>
      </c>
    </row>
    <row r="855" spans="1:16">
      <c r="A855">
        <f t="shared" si="124"/>
        <v>852</v>
      </c>
      <c r="B855" t="str">
        <f ca="1">IFERROR(VLOOKUP($A855,'vbs,vba'!$G:$H,2,FALSE),"")</f>
        <v/>
      </c>
      <c r="C855" t="str">
        <f ca="1">IFERROR(VLOOKUP($A855,python!$I:$J,2,FALSE),"")</f>
        <v/>
      </c>
      <c r="D855" t="str">
        <f ca="1">IFERROR(VLOOKUP($A855,bat!$F:$G,2,FALSE),"")</f>
        <v/>
      </c>
      <c r="E855" t="str">
        <f ca="1">IFERROR(VLOOKUP($A855,shell!$F:$G,2,FALSE),"")</f>
        <v>シェルのPID</v>
      </c>
      <c r="F855" t="str">
        <f t="shared" ca="1" si="120"/>
        <v>シェルのPID</v>
      </c>
      <c r="G855">
        <f ca="1">IF($F855="","",COUNTIF($F$3:$F855,$F855))</f>
        <v>1</v>
      </c>
      <c r="H855">
        <f ca="1">IF(OR(G855&gt;1,G855=""),"",COUNTIF($G$3:$G855,1))</f>
        <v>770</v>
      </c>
      <c r="I855" t="str">
        <f t="shared" ca="1" si="121"/>
        <v>シェルのPID</v>
      </c>
      <c r="K855">
        <f t="shared" si="125"/>
        <v>852</v>
      </c>
      <c r="L855" t="str">
        <f t="shared" ca="1" si="118"/>
        <v>ブレース展開(例01)</v>
      </c>
      <c r="M855" s="2" t="str">
        <f t="shared" ca="1" si="117"/>
        <v/>
      </c>
      <c r="N855" s="2" t="str">
        <f t="shared" ca="1" si="119"/>
        <v/>
      </c>
      <c r="O855" s="2" t="str">
        <f t="shared" ca="1" si="122"/>
        <v/>
      </c>
      <c r="P855" s="2" t="str">
        <f t="shared" ca="1" si="123"/>
        <v>○</v>
      </c>
    </row>
    <row r="856" spans="1:16">
      <c r="A856">
        <f t="shared" si="124"/>
        <v>853</v>
      </c>
      <c r="B856" t="str">
        <f ca="1">IFERROR(VLOOKUP($A856,'vbs,vba'!$G:$H,2,FALSE),"")</f>
        <v/>
      </c>
      <c r="C856" t="str">
        <f ca="1">IFERROR(VLOOKUP($A856,python!$I:$J,2,FALSE),"")</f>
        <v/>
      </c>
      <c r="D856" t="str">
        <f ca="1">IFERROR(VLOOKUP($A856,bat!$F:$G,2,FALSE),"")</f>
        <v/>
      </c>
      <c r="E856" t="str">
        <f ca="1">IFERROR(VLOOKUP($A856,shell!$F:$G,2,FALSE),"")</f>
        <v>直近n番目に実行したコマンド</v>
      </c>
      <c r="F856" t="str">
        <f t="shared" ca="1" si="120"/>
        <v>直近n番目に実行したコマンド</v>
      </c>
      <c r="G856">
        <f ca="1">IF($F856="","",COUNTIF($F$3:$F856,$F856))</f>
        <v>1</v>
      </c>
      <c r="H856">
        <f ca="1">IF(OR(G856&gt;1,G856=""),"",COUNTIF($G$3:$G856,1))</f>
        <v>771</v>
      </c>
      <c r="I856" t="str">
        <f t="shared" ca="1" si="121"/>
        <v>直近n番目に実行したコマンド</v>
      </c>
      <c r="K856">
        <f t="shared" si="125"/>
        <v>853</v>
      </c>
      <c r="L856" t="str">
        <f t="shared" ca="1" si="118"/>
        <v>ブレース展開(例02)</v>
      </c>
      <c r="M856" s="2" t="str">
        <f t="shared" ca="1" si="117"/>
        <v/>
      </c>
      <c r="N856" s="2" t="str">
        <f t="shared" ca="1" si="119"/>
        <v/>
      </c>
      <c r="O856" s="2" t="str">
        <f t="shared" ca="1" si="122"/>
        <v/>
      </c>
      <c r="P856" s="2" t="str">
        <f t="shared" ca="1" si="123"/>
        <v>○</v>
      </c>
    </row>
    <row r="857" spans="1:16">
      <c r="A857">
        <f t="shared" si="124"/>
        <v>854</v>
      </c>
      <c r="B857" t="str">
        <f ca="1">IFERROR(VLOOKUP($A857,'vbs,vba'!$G:$H,2,FALSE),"")</f>
        <v/>
      </c>
      <c r="C857" t="str">
        <f ca="1">IFERROR(VLOOKUP($A857,python!$I:$J,2,FALSE),"")</f>
        <v/>
      </c>
      <c r="D857" t="str">
        <f ca="1">IFERROR(VLOOKUP($A857,bat!$F:$G,2,FALSE),"")</f>
        <v/>
      </c>
      <c r="E857" t="str">
        <f ca="1">IFERROR(VLOOKUP($A857,shell!$F:$G,2,FALSE),"")</f>
        <v>直近n番目に実行したコマンド(ヒストリ)</v>
      </c>
      <c r="F857" t="str">
        <f t="shared" ca="1" si="120"/>
        <v>直近n番目に実行したコマンド(ヒストリ)</v>
      </c>
      <c r="G857">
        <f ca="1">IF($F857="","",COUNTIF($F$3:$F857,$F857))</f>
        <v>1</v>
      </c>
      <c r="H857">
        <f ca="1">IF(OR(G857&gt;1,G857=""),"",COUNTIF($G$3:$G857,1))</f>
        <v>772</v>
      </c>
      <c r="I857" t="str">
        <f t="shared" ca="1" si="121"/>
        <v>直近n番目に実行したコマンド(ヒストリ)</v>
      </c>
      <c r="K857">
        <f t="shared" si="125"/>
        <v>854</v>
      </c>
      <c r="L857" t="str">
        <f t="shared" ca="1" si="118"/>
        <v>ブレース展開(例03)</v>
      </c>
      <c r="M857" s="2" t="str">
        <f t="shared" ca="1" si="117"/>
        <v/>
      </c>
      <c r="N857" s="2" t="str">
        <f t="shared" ca="1" si="119"/>
        <v/>
      </c>
      <c r="O857" s="2" t="str">
        <f t="shared" ca="1" si="122"/>
        <v/>
      </c>
      <c r="P857" s="2" t="str">
        <f t="shared" ca="1" si="123"/>
        <v>○</v>
      </c>
    </row>
    <row r="858" spans="1:16">
      <c r="A858">
        <f t="shared" si="124"/>
        <v>855</v>
      </c>
      <c r="B858" t="str">
        <f ca="1">IFERROR(VLOOKUP($A858,'vbs,vba'!$G:$H,2,FALSE),"")</f>
        <v/>
      </c>
      <c r="C858" t="str">
        <f ca="1">IFERROR(VLOOKUP($A858,python!$I:$J,2,FALSE),"")</f>
        <v/>
      </c>
      <c r="D858" t="str">
        <f ca="1">IFERROR(VLOOKUP($A858,bat!$F:$G,2,FALSE),"")</f>
        <v/>
      </c>
      <c r="E858" t="str">
        <f ca="1">IFERROR(VLOOKUP($A858,shell!$F:$G,2,FALSE),"")</f>
        <v>直前コマンド最終引数のファイルベース名</v>
      </c>
      <c r="F858" t="str">
        <f t="shared" ca="1" si="120"/>
        <v>直前コマンド最終引数のファイルベース名</v>
      </c>
      <c r="G858">
        <f ca="1">IF($F858="","",COUNTIF($F$3:$F858,$F858))</f>
        <v>1</v>
      </c>
      <c r="H858">
        <f ca="1">IF(OR(G858&gt;1,G858=""),"",COUNTIF($G$3:$G858,1))</f>
        <v>773</v>
      </c>
      <c r="I858" t="str">
        <f t="shared" ca="1" si="121"/>
        <v>直前コマンド最終引数のファイルベース名</v>
      </c>
      <c r="K858">
        <f t="shared" si="125"/>
        <v>855</v>
      </c>
      <c r="L858" t="str">
        <f t="shared" ca="1" si="118"/>
        <v>ブレース展開(例04)</v>
      </c>
      <c r="M858" s="2" t="str">
        <f t="shared" ca="1" si="117"/>
        <v/>
      </c>
      <c r="N858" s="2" t="str">
        <f t="shared" ca="1" si="119"/>
        <v/>
      </c>
      <c r="O858" s="2" t="str">
        <f t="shared" ca="1" si="122"/>
        <v/>
      </c>
      <c r="P858" s="2" t="str">
        <f t="shared" ca="1" si="123"/>
        <v>○</v>
      </c>
    </row>
    <row r="859" spans="1:16">
      <c r="A859">
        <f t="shared" si="124"/>
        <v>856</v>
      </c>
      <c r="B859" t="str">
        <f ca="1">IFERROR(VLOOKUP($A859,'vbs,vba'!$G:$H,2,FALSE),"")</f>
        <v/>
      </c>
      <c r="C859" t="str">
        <f ca="1">IFERROR(VLOOKUP($A859,python!$I:$J,2,FALSE),"")</f>
        <v/>
      </c>
      <c r="D859" t="str">
        <f ca="1">IFERROR(VLOOKUP($A859,bat!$F:$G,2,FALSE),"")</f>
        <v/>
      </c>
      <c r="E859" t="str">
        <f ca="1">IFERROR(VLOOKUP($A859,shell!$F:$G,2,FALSE),"")</f>
        <v>直前コマンド最終引数のディレクトリパス</v>
      </c>
      <c r="F859" t="str">
        <f t="shared" ca="1" si="120"/>
        <v>直前コマンド最終引数のディレクトリパス</v>
      </c>
      <c r="G859">
        <f ca="1">IF($F859="","",COUNTIF($F$3:$F859,$F859))</f>
        <v>1</v>
      </c>
      <c r="H859">
        <f ca="1">IF(OR(G859&gt;1,G859=""),"",COUNTIF($G$3:$G859,1))</f>
        <v>774</v>
      </c>
      <c r="I859" t="str">
        <f t="shared" ca="1" si="121"/>
        <v>直前コマンド最終引数のディレクトリパス</v>
      </c>
      <c r="K859">
        <f t="shared" si="125"/>
        <v>856</v>
      </c>
      <c r="L859" t="str">
        <f t="shared" ca="1" si="118"/>
        <v>ブレース展開(例05)</v>
      </c>
      <c r="M859" s="2" t="str">
        <f t="shared" ca="1" si="117"/>
        <v/>
      </c>
      <c r="N859" s="2" t="str">
        <f t="shared" ca="1" si="119"/>
        <v/>
      </c>
      <c r="O859" s="2" t="str">
        <f t="shared" ca="1" si="122"/>
        <v/>
      </c>
      <c r="P859" s="2" t="str">
        <f t="shared" ca="1" si="123"/>
        <v>○</v>
      </c>
    </row>
    <row r="860" spans="1:16">
      <c r="A860">
        <f t="shared" si="124"/>
        <v>857</v>
      </c>
      <c r="B860" t="str">
        <f ca="1">IFERROR(VLOOKUP($A860,'vbs,vba'!$G:$H,2,FALSE),"")</f>
        <v/>
      </c>
      <c r="C860" t="str">
        <f ca="1">IFERROR(VLOOKUP($A860,python!$I:$J,2,FALSE),"")</f>
        <v/>
      </c>
      <c r="D860" t="str">
        <f ca="1">IFERROR(VLOOKUP($A860,bat!$F:$G,2,FALSE),"")</f>
        <v/>
      </c>
      <c r="E860" t="str">
        <f ca="1">IFERROR(VLOOKUP($A860,shell!$F:$G,2,FALSE),"")</f>
        <v>直前コマンドのn番目のトークン(0:コマンド名、1以降:引数)</v>
      </c>
      <c r="F860" t="str">
        <f t="shared" ca="1" si="120"/>
        <v>直前コマンドのn番目のトークン(0:コマンド名、1以降:引数)</v>
      </c>
      <c r="G860">
        <f ca="1">IF($F860="","",COUNTIF($F$3:$F860,$F860))</f>
        <v>1</v>
      </c>
      <c r="H860">
        <f ca="1">IF(OR(G860&gt;1,G860=""),"",COUNTIF($G$3:$G860,1))</f>
        <v>775</v>
      </c>
      <c r="I860" t="str">
        <f t="shared" ca="1" si="121"/>
        <v>直前コマンドのn番目のトークン(0:コマンド名、1以降:引数)</v>
      </c>
      <c r="K860">
        <f t="shared" si="125"/>
        <v>857</v>
      </c>
      <c r="L860" t="str">
        <f t="shared" ca="1" si="118"/>
        <v>ブレース展開(例06)</v>
      </c>
      <c r="M860" s="2" t="str">
        <f t="shared" ca="1" si="117"/>
        <v/>
      </c>
      <c r="N860" s="2" t="str">
        <f t="shared" ca="1" si="119"/>
        <v/>
      </c>
      <c r="O860" s="2" t="str">
        <f t="shared" ca="1" si="122"/>
        <v/>
      </c>
      <c r="P860" s="2" t="str">
        <f t="shared" ca="1" si="123"/>
        <v>○</v>
      </c>
    </row>
    <row r="861" spans="1:16">
      <c r="A861">
        <f t="shared" si="124"/>
        <v>858</v>
      </c>
      <c r="B861" t="str">
        <f ca="1">IFERROR(VLOOKUP($A861,'vbs,vba'!$G:$H,2,FALSE),"")</f>
        <v/>
      </c>
      <c r="C861" t="str">
        <f ca="1">IFERROR(VLOOKUP($A861,python!$I:$J,2,FALSE),"")</f>
        <v/>
      </c>
      <c r="D861" t="str">
        <f ca="1">IFERROR(VLOOKUP($A861,bat!$F:$G,2,FALSE),"")</f>
        <v/>
      </c>
      <c r="E861" t="str">
        <f ca="1">IFERROR(VLOOKUP($A861,shell!$F:$G,2,FALSE),"")</f>
        <v>直前コマンドのn～m番目のトークン</v>
      </c>
      <c r="F861" t="str">
        <f t="shared" ca="1" si="120"/>
        <v>直前コマンドのn～m番目のトークン</v>
      </c>
      <c r="G861">
        <f ca="1">IF($F861="","",COUNTIF($F$3:$F861,$F861))</f>
        <v>1</v>
      </c>
      <c r="H861">
        <f ca="1">IF(OR(G861&gt;1,G861=""),"",COUNTIF($G$3:$G861,1))</f>
        <v>776</v>
      </c>
      <c r="I861" t="str">
        <f t="shared" ca="1" si="121"/>
        <v>直前コマンドのn～m番目のトークン</v>
      </c>
      <c r="K861">
        <f t="shared" si="125"/>
        <v>858</v>
      </c>
      <c r="L861" t="str">
        <f t="shared" ca="1" si="118"/>
        <v>ブレース展開(例07)</v>
      </c>
      <c r="M861" s="2" t="str">
        <f t="shared" ca="1" si="117"/>
        <v/>
      </c>
      <c r="N861" s="2" t="str">
        <f t="shared" ca="1" si="119"/>
        <v/>
      </c>
      <c r="O861" s="2" t="str">
        <f t="shared" ca="1" si="122"/>
        <v/>
      </c>
      <c r="P861" s="2" t="str">
        <f t="shared" ca="1" si="123"/>
        <v>○</v>
      </c>
    </row>
    <row r="862" spans="1:16">
      <c r="A862">
        <f t="shared" si="124"/>
        <v>859</v>
      </c>
      <c r="B862" t="str">
        <f ca="1">IFERROR(VLOOKUP($A862,'vbs,vba'!$G:$H,2,FALSE),"")</f>
        <v/>
      </c>
      <c r="C862" t="str">
        <f ca="1">IFERROR(VLOOKUP($A862,python!$I:$J,2,FALSE),"")</f>
        <v/>
      </c>
      <c r="D862" t="str">
        <f ca="1">IFERROR(VLOOKUP($A862,bat!$F:$G,2,FALSE),"")</f>
        <v/>
      </c>
      <c r="E862" t="str">
        <f ca="1">IFERROR(VLOOKUP($A862,shell!$F:$G,2,FALSE),"")</f>
        <v>直前コマンドのn～最終トークン</v>
      </c>
      <c r="F862" t="str">
        <f t="shared" ca="1" si="120"/>
        <v>直前コマンドのn～最終トークン</v>
      </c>
      <c r="G862">
        <f ca="1">IF($F862="","",COUNTIF($F$3:$F862,$F862))</f>
        <v>1</v>
      </c>
      <c r="H862">
        <f ca="1">IF(OR(G862&gt;1,G862=""),"",COUNTIF($G$3:$G862,1))</f>
        <v>777</v>
      </c>
      <c r="I862" t="str">
        <f t="shared" ca="1" si="121"/>
        <v>直前コマンドのn～最終トークン</v>
      </c>
      <c r="K862">
        <f t="shared" si="125"/>
        <v>859</v>
      </c>
      <c r="L862" t="str">
        <f t="shared" ca="1" si="118"/>
        <v>ブレース展開(例08)</v>
      </c>
      <c r="M862" s="2" t="str">
        <f t="shared" ca="1" si="117"/>
        <v/>
      </c>
      <c r="N862" s="2" t="str">
        <f t="shared" ca="1" si="119"/>
        <v/>
      </c>
      <c r="O862" s="2" t="str">
        <f t="shared" ca="1" si="122"/>
        <v/>
      </c>
      <c r="P862" s="2" t="str">
        <f t="shared" ca="1" si="123"/>
        <v>○</v>
      </c>
    </row>
    <row r="863" spans="1:16">
      <c r="A863">
        <f t="shared" si="124"/>
        <v>860</v>
      </c>
      <c r="B863" t="str">
        <f ca="1">IFERROR(VLOOKUP($A863,'vbs,vba'!$G:$H,2,FALSE),"")</f>
        <v/>
      </c>
      <c r="C863" t="str">
        <f ca="1">IFERROR(VLOOKUP($A863,python!$I:$J,2,FALSE),"")</f>
        <v/>
      </c>
      <c r="D863" t="str">
        <f ca="1">IFERROR(VLOOKUP($A863,bat!$F:$G,2,FALSE),"")</f>
        <v/>
      </c>
      <c r="E863" t="str">
        <f ca="1">IFERROR(VLOOKUP($A863,shell!$F:$G,2,FALSE),"")</f>
        <v>コマンド連続実行(逐次)(cmd1実行結果に関わらず)</v>
      </c>
      <c r="F863" t="str">
        <f t="shared" ca="1" si="120"/>
        <v>コマンド連続実行(逐次)(cmd1実行結果に関わらず)</v>
      </c>
      <c r="G863">
        <f ca="1">IF($F863="","",COUNTIF($F$3:$F863,$F863))</f>
        <v>1</v>
      </c>
      <c r="H863">
        <f ca="1">IF(OR(G863&gt;1,G863=""),"",COUNTIF($G$3:$G863,1))</f>
        <v>778</v>
      </c>
      <c r="I863" t="str">
        <f t="shared" ca="1" si="121"/>
        <v>コマンド連続実行(逐次)(cmd1実行結果に関わらず)</v>
      </c>
      <c r="K863">
        <f t="shared" si="125"/>
        <v>860</v>
      </c>
      <c r="L863" t="str">
        <f t="shared" ca="1" si="118"/>
        <v>ブレース展開(例09)</v>
      </c>
      <c r="M863" s="2" t="str">
        <f t="shared" ca="1" si="117"/>
        <v/>
      </c>
      <c r="N863" s="2" t="str">
        <f t="shared" ca="1" si="119"/>
        <v/>
      </c>
      <c r="O863" s="2" t="str">
        <f t="shared" ca="1" si="122"/>
        <v/>
      </c>
      <c r="P863" s="2" t="str">
        <f t="shared" ca="1" si="123"/>
        <v>○</v>
      </c>
    </row>
    <row r="864" spans="1:16">
      <c r="A864">
        <f t="shared" si="124"/>
        <v>861</v>
      </c>
      <c r="B864" t="str">
        <f ca="1">IFERROR(VLOOKUP($A864,'vbs,vba'!$G:$H,2,FALSE),"")</f>
        <v/>
      </c>
      <c r="C864" t="str">
        <f ca="1">IFERROR(VLOOKUP($A864,python!$I:$J,2,FALSE),"")</f>
        <v/>
      </c>
      <c r="D864" t="str">
        <f ca="1">IFERROR(VLOOKUP($A864,bat!$F:$G,2,FALSE),"")</f>
        <v/>
      </c>
      <c r="E864" t="str">
        <f ca="1">IFERROR(VLOOKUP($A864,shell!$F:$G,2,FALSE),"")</f>
        <v>コマンド連続実行(逐次)(cmd1正常終了時のみ)</v>
      </c>
      <c r="F864" t="str">
        <f t="shared" ca="1" si="120"/>
        <v>コマンド連続実行(逐次)(cmd1正常終了時のみ)</v>
      </c>
      <c r="G864">
        <f ca="1">IF($F864="","",COUNTIF($F$3:$F864,$F864))</f>
        <v>1</v>
      </c>
      <c r="H864">
        <f ca="1">IF(OR(G864&gt;1,G864=""),"",COUNTIF($G$3:$G864,1))</f>
        <v>779</v>
      </c>
      <c r="I864" t="str">
        <f t="shared" ca="1" si="121"/>
        <v>コマンド連続実行(逐次)(cmd1正常終了時のみ)</v>
      </c>
      <c r="K864">
        <f t="shared" si="125"/>
        <v>861</v>
      </c>
      <c r="L864" t="str">
        <f t="shared" ca="1" si="118"/>
        <v>ブレース展開(例10)</v>
      </c>
      <c r="M864" s="2" t="str">
        <f t="shared" ca="1" si="117"/>
        <v/>
      </c>
      <c r="N864" s="2" t="str">
        <f t="shared" ca="1" si="119"/>
        <v/>
      </c>
      <c r="O864" s="2" t="str">
        <f t="shared" ca="1" si="122"/>
        <v/>
      </c>
      <c r="P864" s="2" t="str">
        <f t="shared" ca="1" si="123"/>
        <v>○</v>
      </c>
    </row>
    <row r="865" spans="1:16">
      <c r="A865">
        <f t="shared" si="124"/>
        <v>862</v>
      </c>
      <c r="B865" t="str">
        <f ca="1">IFERROR(VLOOKUP($A865,'vbs,vba'!$G:$H,2,FALSE),"")</f>
        <v/>
      </c>
      <c r="C865" t="str">
        <f ca="1">IFERROR(VLOOKUP($A865,python!$I:$J,2,FALSE),"")</f>
        <v/>
      </c>
      <c r="D865" t="str">
        <f ca="1">IFERROR(VLOOKUP($A865,bat!$F:$G,2,FALSE),"")</f>
        <v/>
      </c>
      <c r="E865" t="str">
        <f ca="1">IFERROR(VLOOKUP($A865,shell!$F:$G,2,FALSE),"")</f>
        <v>コマンド連続実行(逐次)(cmd1異常終了時のみ)</v>
      </c>
      <c r="F865" t="str">
        <f t="shared" ca="1" si="120"/>
        <v>コマンド連続実行(逐次)(cmd1異常終了時のみ)</v>
      </c>
      <c r="G865">
        <f ca="1">IF($F865="","",COUNTIF($F$3:$F865,$F865))</f>
        <v>1</v>
      </c>
      <c r="H865">
        <f ca="1">IF(OR(G865&gt;1,G865=""),"",COUNTIF($G$3:$G865,1))</f>
        <v>780</v>
      </c>
      <c r="I865" t="str">
        <f t="shared" ca="1" si="121"/>
        <v>コマンド連続実行(逐次)(cmd1異常終了時のみ)</v>
      </c>
      <c r="K865">
        <f t="shared" si="125"/>
        <v>862</v>
      </c>
      <c r="L865" t="str">
        <f t="shared" ca="1" si="118"/>
        <v>ブレース展開(例11)</v>
      </c>
      <c r="M865" s="2" t="str">
        <f t="shared" ca="1" si="117"/>
        <v/>
      </c>
      <c r="N865" s="2" t="str">
        <f t="shared" ca="1" si="119"/>
        <v/>
      </c>
      <c r="O865" s="2" t="str">
        <f t="shared" ca="1" si="122"/>
        <v/>
      </c>
      <c r="P865" s="2" t="str">
        <f t="shared" ca="1" si="123"/>
        <v>○</v>
      </c>
    </row>
    <row r="866" spans="1:16">
      <c r="A866">
        <f t="shared" si="124"/>
        <v>863</v>
      </c>
      <c r="B866" t="str">
        <f ca="1">IFERROR(VLOOKUP($A866,'vbs,vba'!$G:$H,2,FALSE),"")</f>
        <v/>
      </c>
      <c r="C866" t="str">
        <f ca="1">IFERROR(VLOOKUP($A866,python!$I:$J,2,FALSE),"")</f>
        <v/>
      </c>
      <c r="D866" t="str">
        <f ca="1">IFERROR(VLOOKUP($A866,bat!$F:$G,2,FALSE),"")</f>
        <v/>
      </c>
      <c r="E866" t="str">
        <f ca="1">IFERROR(VLOOKUP($A866,shell!$F:$G,2,FALSE),"")</f>
        <v>コマンド連続実行(並列)(cmd1実行結果に関わらず)</v>
      </c>
      <c r="F866" t="str">
        <f t="shared" ca="1" si="120"/>
        <v>コマンド連続実行(並列)(cmd1実行結果に関わらず)</v>
      </c>
      <c r="G866">
        <f ca="1">IF($F866="","",COUNTIF($F$3:$F866,$F866))</f>
        <v>1</v>
      </c>
      <c r="H866">
        <f ca="1">IF(OR(G866&gt;1,G866=""),"",COUNTIF($G$3:$G866,1))</f>
        <v>781</v>
      </c>
      <c r="I866" t="str">
        <f t="shared" ca="1" si="121"/>
        <v>コマンド連続実行(並列)(cmd1実行結果に関わらず)</v>
      </c>
      <c r="K866">
        <f t="shared" si="125"/>
        <v>863</v>
      </c>
      <c r="L866" t="str">
        <f t="shared" ca="1" si="118"/>
        <v>参照</v>
      </c>
      <c r="M866" s="2" t="str">
        <f t="shared" ca="1" si="117"/>
        <v/>
      </c>
      <c r="N866" s="2" t="str">
        <f t="shared" ca="1" si="119"/>
        <v/>
      </c>
      <c r="O866" s="2" t="str">
        <f t="shared" ca="1" si="122"/>
        <v/>
      </c>
      <c r="P866" s="2" t="str">
        <f t="shared" ca="1" si="123"/>
        <v>○</v>
      </c>
    </row>
    <row r="867" spans="1:16">
      <c r="A867">
        <f t="shared" si="124"/>
        <v>864</v>
      </c>
      <c r="B867" t="str">
        <f ca="1">IFERROR(VLOOKUP($A867,'vbs,vba'!$G:$H,2,FALSE),"")</f>
        <v/>
      </c>
      <c r="C867" t="str">
        <f ca="1">IFERROR(VLOOKUP($A867,python!$I:$J,2,FALSE),"")</f>
        <v/>
      </c>
      <c r="D867" t="str">
        <f ca="1">IFERROR(VLOOKUP($A867,bat!$F:$G,2,FALSE),"")</f>
        <v/>
      </c>
      <c r="E867" t="str">
        <f ca="1">IFERROR(VLOOKUP($A867,shell!$F:$G,2,FALSE),"")</f>
        <v>コマンド連続実行(実行結果引渡し)(cmd1標準出力→cmd2標準入力)</v>
      </c>
      <c r="F867" t="str">
        <f t="shared" ca="1" si="120"/>
        <v>コマンド連続実行(実行結果引渡し)(cmd1標準出力→cmd2標準入力)</v>
      </c>
      <c r="G867">
        <f ca="1">IF($F867="","",COUNTIF($F$3:$F867,$F867))</f>
        <v>1</v>
      </c>
      <c r="H867">
        <f ca="1">IF(OR(G867&gt;1,G867=""),"",COUNTIF($G$3:$G867,1))</f>
        <v>782</v>
      </c>
      <c r="I867" t="str">
        <f t="shared" ca="1" si="121"/>
        <v>コマンド連続実行(実行結果引渡し)(cmd1標準出力→cmd2標準入力)</v>
      </c>
      <c r="K867">
        <f t="shared" si="125"/>
        <v>864</v>
      </c>
      <c r="L867" t="str">
        <f t="shared" ca="1" si="118"/>
        <v>空変数時デフォルト値参照</v>
      </c>
      <c r="M867" s="2" t="str">
        <f t="shared" ca="1" si="117"/>
        <v/>
      </c>
      <c r="N867" s="2" t="str">
        <f t="shared" ca="1" si="119"/>
        <v/>
      </c>
      <c r="O867" s="2" t="str">
        <f t="shared" ca="1" si="122"/>
        <v/>
      </c>
      <c r="P867" s="2" t="str">
        <f t="shared" ca="1" si="123"/>
        <v>○</v>
      </c>
    </row>
    <row r="868" spans="1:16">
      <c r="A868">
        <f t="shared" si="124"/>
        <v>865</v>
      </c>
      <c r="B868" t="str">
        <f ca="1">IFERROR(VLOOKUP($A868,'vbs,vba'!$G:$H,2,FALSE),"")</f>
        <v/>
      </c>
      <c r="C868" t="str">
        <f ca="1">IFERROR(VLOOKUP($A868,python!$I:$J,2,FALSE),"")</f>
        <v/>
      </c>
      <c r="D868" t="str">
        <f ca="1">IFERROR(VLOOKUP($A868,bat!$F:$G,2,FALSE),"")</f>
        <v/>
      </c>
      <c r="E868" t="str">
        <f ca="1">IFERROR(VLOOKUP($A868,shell!$F:$G,2,FALSE),"")</f>
        <v>コマンド連続実行(実行結果引渡し)(cmd1標準出力＆エラー出力→cmd2標準入力)</v>
      </c>
      <c r="F868" t="str">
        <f t="shared" ca="1" si="120"/>
        <v>コマンド連続実行(実行結果引渡し)(cmd1標準出力＆エラー出力→cmd2標準入力)</v>
      </c>
      <c r="G868">
        <f ca="1">IF($F868="","",COUNTIF($F$3:$F868,$F868))</f>
        <v>1</v>
      </c>
      <c r="H868">
        <f ca="1">IF(OR(G868&gt;1,G868=""),"",COUNTIF($G$3:$G868,1))</f>
        <v>783</v>
      </c>
      <c r="I868" t="str">
        <f t="shared" ca="1" si="121"/>
        <v>コマンド連続実行(実行結果引渡し)(cmd1標準出力＆エラー出力→cmd2標準入力)</v>
      </c>
      <c r="K868">
        <f t="shared" si="125"/>
        <v>865</v>
      </c>
      <c r="L868" t="str">
        <f t="shared" ca="1" si="118"/>
        <v>空変数時デフォルト値代入</v>
      </c>
      <c r="M868" s="2" t="str">
        <f t="shared" ca="1" si="117"/>
        <v/>
      </c>
      <c r="N868" s="2" t="str">
        <f t="shared" ca="1" si="119"/>
        <v/>
      </c>
      <c r="O868" s="2" t="str">
        <f t="shared" ca="1" si="122"/>
        <v/>
      </c>
      <c r="P868" s="2" t="str">
        <f t="shared" ca="1" si="123"/>
        <v>○</v>
      </c>
    </row>
    <row r="869" spans="1:16">
      <c r="A869">
        <f t="shared" si="124"/>
        <v>866</v>
      </c>
      <c r="B869" t="str">
        <f ca="1">IFERROR(VLOOKUP($A869,'vbs,vba'!$G:$H,2,FALSE),"")</f>
        <v/>
      </c>
      <c r="C869" t="str">
        <f ca="1">IFERROR(VLOOKUP($A869,python!$I:$J,2,FALSE),"")</f>
        <v/>
      </c>
      <c r="D869" t="str">
        <f ca="1">IFERROR(VLOOKUP($A869,bat!$F:$G,2,FALSE),"")</f>
        <v/>
      </c>
      <c r="E869" t="str">
        <f ca="1">IFERROR(VLOOKUP($A869,shell!$F:$G,2,FALSE),"")</f>
        <v>まとめてコマンド実行(サブシェル)</v>
      </c>
      <c r="F869" t="str">
        <f t="shared" ca="1" si="120"/>
        <v>まとめてコマンド実行(サブシェル)</v>
      </c>
      <c r="G869">
        <f ca="1">IF($F869="","",COUNTIF($F$3:$F869,$F869))</f>
        <v>1</v>
      </c>
      <c r="H869">
        <f ca="1">IF(OR(G869&gt;1,G869=""),"",COUNTIF($G$3:$G869,1))</f>
        <v>784</v>
      </c>
      <c r="I869" t="str">
        <f t="shared" ca="1" si="121"/>
        <v>まとめてコマンド実行(サブシェル)</v>
      </c>
      <c r="K869">
        <f t="shared" si="125"/>
        <v>866</v>
      </c>
      <c r="L869" t="str">
        <f t="shared" ca="1" si="118"/>
        <v>変数未定義時デフォルト値参照</v>
      </c>
      <c r="M869" s="2" t="str">
        <f t="shared" ca="1" si="117"/>
        <v/>
      </c>
      <c r="N869" s="2" t="str">
        <f t="shared" ca="1" si="119"/>
        <v/>
      </c>
      <c r="O869" s="2" t="str">
        <f t="shared" ca="1" si="122"/>
        <v/>
      </c>
      <c r="P869" s="2" t="str">
        <f t="shared" ca="1" si="123"/>
        <v>○</v>
      </c>
    </row>
    <row r="870" spans="1:16">
      <c r="A870">
        <f t="shared" si="124"/>
        <v>867</v>
      </c>
      <c r="B870" t="str">
        <f ca="1">IFERROR(VLOOKUP($A870,'vbs,vba'!$G:$H,2,FALSE),"")</f>
        <v/>
      </c>
      <c r="C870" t="str">
        <f ca="1">IFERROR(VLOOKUP($A870,python!$I:$J,2,FALSE),"")</f>
        <v/>
      </c>
      <c r="D870" t="str">
        <f ca="1">IFERROR(VLOOKUP($A870,bat!$F:$G,2,FALSE),"")</f>
        <v/>
      </c>
      <c r="E870" t="str">
        <f ca="1">IFERROR(VLOOKUP($A870,shell!$F:$G,2,FALSE),"")</f>
        <v>まとめてコマンド実行(現在シェル)</v>
      </c>
      <c r="F870" t="str">
        <f t="shared" ca="1" si="120"/>
        <v>まとめてコマンド実行(現在シェル)</v>
      </c>
      <c r="G870">
        <f ca="1">IF($F870="","",COUNTIF($F$3:$F870,$F870))</f>
        <v>1</v>
      </c>
      <c r="H870">
        <f ca="1">IF(OR(G870&gt;1,G870=""),"",COUNTIF($G$3:$G870,1))</f>
        <v>785</v>
      </c>
      <c r="I870" t="str">
        <f t="shared" ca="1" si="121"/>
        <v>まとめてコマンド実行(現在シェル)</v>
      </c>
      <c r="K870">
        <f t="shared" si="125"/>
        <v>867</v>
      </c>
      <c r="L870" t="str">
        <f t="shared" ca="1" si="118"/>
        <v>変数未定義時デフォルト値代入</v>
      </c>
      <c r="M870" s="2" t="str">
        <f t="shared" ca="1" si="117"/>
        <v/>
      </c>
      <c r="N870" s="2" t="str">
        <f t="shared" ca="1" si="119"/>
        <v/>
      </c>
      <c r="O870" s="2" t="str">
        <f t="shared" ca="1" si="122"/>
        <v/>
      </c>
      <c r="P870" s="2" t="str">
        <f t="shared" ca="1" si="123"/>
        <v>○</v>
      </c>
    </row>
    <row r="871" spans="1:16">
      <c r="A871">
        <f t="shared" si="124"/>
        <v>868</v>
      </c>
      <c r="B871" t="str">
        <f ca="1">IFERROR(VLOOKUP($A871,'vbs,vba'!$G:$H,2,FALSE),"")</f>
        <v/>
      </c>
      <c r="C871" t="str">
        <f ca="1">IFERROR(VLOOKUP($A871,python!$I:$J,2,FALSE),"")</f>
        <v/>
      </c>
      <c r="D871" t="str">
        <f ca="1">IFERROR(VLOOKUP($A871,bat!$F:$G,2,FALSE),"")</f>
        <v/>
      </c>
      <c r="E871" t="str">
        <f ca="1">IFERROR(VLOOKUP($A871,shell!$F:$G,2,FALSE),"")</f>
        <v>サブシェル実行結果保存1</v>
      </c>
      <c r="F871" t="str">
        <f t="shared" ca="1" si="120"/>
        <v>サブシェル実行結果保存1</v>
      </c>
      <c r="G871">
        <f ca="1">IF($F871="","",COUNTIF($F$3:$F871,$F871))</f>
        <v>1</v>
      </c>
      <c r="H871">
        <f ca="1">IF(OR(G871&gt;1,G871=""),"",COUNTIF($G$3:$G871,1))</f>
        <v>786</v>
      </c>
      <c r="I871" t="str">
        <f t="shared" ca="1" si="121"/>
        <v>サブシェル実行結果保存1</v>
      </c>
      <c r="K871">
        <f t="shared" si="125"/>
        <v>868</v>
      </c>
      <c r="L871" t="str">
        <f t="shared" ca="1" si="118"/>
        <v>変数未定義時エラー出力</v>
      </c>
      <c r="M871" s="2" t="str">
        <f t="shared" ca="1" si="117"/>
        <v/>
      </c>
      <c r="N871" s="2" t="str">
        <f t="shared" ca="1" si="119"/>
        <v/>
      </c>
      <c r="O871" s="2" t="str">
        <f t="shared" ca="1" si="122"/>
        <v/>
      </c>
      <c r="P871" s="2" t="str">
        <f t="shared" ca="1" si="123"/>
        <v>○</v>
      </c>
    </row>
    <row r="872" spans="1:16">
      <c r="A872">
        <f t="shared" si="124"/>
        <v>869</v>
      </c>
      <c r="B872" t="str">
        <f ca="1">IFERROR(VLOOKUP($A872,'vbs,vba'!$G:$H,2,FALSE),"")</f>
        <v/>
      </c>
      <c r="C872" t="str">
        <f ca="1">IFERROR(VLOOKUP($A872,python!$I:$J,2,FALSE),"")</f>
        <v/>
      </c>
      <c r="D872" t="str">
        <f ca="1">IFERROR(VLOOKUP($A872,bat!$F:$G,2,FALSE),"")</f>
        <v/>
      </c>
      <c r="E872" t="str">
        <f ca="1">IFERROR(VLOOKUP($A872,shell!$F:$G,2,FALSE),"")</f>
        <v>サブシェル実行結果保存2</v>
      </c>
      <c r="F872" t="str">
        <f t="shared" ca="1" si="120"/>
        <v>サブシェル実行結果保存2</v>
      </c>
      <c r="G872">
        <f ca="1">IF($F872="","",COUNTIF($F$3:$F872,$F872))</f>
        <v>1</v>
      </c>
      <c r="H872">
        <f ca="1">IF(OR(G872&gt;1,G872=""),"",COUNTIF($G$3:$G872,1))</f>
        <v>787</v>
      </c>
      <c r="I872" t="str">
        <f t="shared" ca="1" si="121"/>
        <v>サブシェル実行結果保存2</v>
      </c>
      <c r="K872">
        <f t="shared" si="125"/>
        <v>869</v>
      </c>
      <c r="L872" t="str">
        <f t="shared" ca="1" si="118"/>
        <v>非空変数時代用代入</v>
      </c>
      <c r="M872" s="2" t="str">
        <f t="shared" ca="1" si="117"/>
        <v/>
      </c>
      <c r="N872" s="2" t="str">
        <f t="shared" ca="1" si="119"/>
        <v/>
      </c>
      <c r="O872" s="2" t="str">
        <f t="shared" ca="1" si="122"/>
        <v/>
      </c>
      <c r="P872" s="2" t="str">
        <f t="shared" ca="1" si="123"/>
        <v>○</v>
      </c>
    </row>
    <row r="873" spans="1:16">
      <c r="A873">
        <f t="shared" si="124"/>
        <v>870</v>
      </c>
      <c r="B873" t="str">
        <f ca="1">IFERROR(VLOOKUP($A873,'vbs,vba'!$G:$H,2,FALSE),"")</f>
        <v/>
      </c>
      <c r="C873" t="str">
        <f ca="1">IFERROR(VLOOKUP($A873,python!$I:$J,2,FALSE),"")</f>
        <v/>
      </c>
      <c r="D873" t="str">
        <f ca="1">IFERROR(VLOOKUP($A873,bat!$F:$G,2,FALSE),"")</f>
        <v/>
      </c>
      <c r="E873" t="str">
        <f ca="1">IFERROR(VLOOKUP($A873,shell!$F:$G,2,FALSE),"")</f>
        <v>コメント</v>
      </c>
      <c r="F873" t="str">
        <f t="shared" ca="1" si="120"/>
        <v>コメント</v>
      </c>
      <c r="G873">
        <f ca="1">IF($F873="","",COUNTIF($F$3:$F873,$F873))</f>
        <v>3</v>
      </c>
      <c r="H873" t="str">
        <f ca="1">IF(OR(G873&gt;1,G873=""),"",COUNTIF($G$3:$G873,1))</f>
        <v/>
      </c>
      <c r="I873" t="str">
        <f t="shared" ca="1" si="121"/>
        <v>コメント</v>
      </c>
      <c r="K873">
        <f t="shared" si="125"/>
        <v>870</v>
      </c>
      <c r="L873" t="str">
        <f t="shared" ca="1" si="118"/>
        <v>非空変数時代用参照</v>
      </c>
      <c r="M873" s="2" t="str">
        <f t="shared" ca="1" si="117"/>
        <v/>
      </c>
      <c r="N873" s="2" t="str">
        <f t="shared" ca="1" si="119"/>
        <v/>
      </c>
      <c r="O873" s="2" t="str">
        <f t="shared" ca="1" si="122"/>
        <v/>
      </c>
      <c r="P873" s="2" t="str">
        <f t="shared" ca="1" si="123"/>
        <v>○</v>
      </c>
    </row>
    <row r="874" spans="1:16">
      <c r="A874">
        <f t="shared" si="124"/>
        <v>871</v>
      </c>
      <c r="B874" t="str">
        <f ca="1">IFERROR(VLOOKUP($A874,'vbs,vba'!$G:$H,2,FALSE),"")</f>
        <v/>
      </c>
      <c r="C874" t="str">
        <f ca="1">IFERROR(VLOOKUP($A874,python!$I:$J,2,FALSE),"")</f>
        <v/>
      </c>
      <c r="D874" t="str">
        <f ca="1">IFERROR(VLOOKUP($A874,bat!$F:$G,2,FALSE),"")</f>
        <v/>
      </c>
      <c r="E874" t="str">
        <f ca="1">IFERROR(VLOOKUP($A874,shell!$F:$G,2,FALSE),"")</f>
        <v>シェルスクリプト実行(現在シェル)</v>
      </c>
      <c r="F874" t="str">
        <f t="shared" ca="1" si="120"/>
        <v>シェルスクリプト実行(現在シェル)</v>
      </c>
      <c r="G874">
        <f ca="1">IF($F874="","",COUNTIF($F$3:$F874,$F874))</f>
        <v>1</v>
      </c>
      <c r="H874">
        <f ca="1">IF(OR(G874&gt;1,G874=""),"",COUNTIF($G$3:$G874,1))</f>
        <v>788</v>
      </c>
      <c r="I874" t="str">
        <f t="shared" ca="1" si="121"/>
        <v>シェルスクリプト実行(現在シェル)</v>
      </c>
      <c r="K874">
        <f t="shared" si="125"/>
        <v>871</v>
      </c>
      <c r="L874" t="str">
        <f t="shared" ca="1" si="118"/>
        <v>文字列抽出</v>
      </c>
      <c r="M874" s="2" t="str">
        <f t="shared" ca="1" si="117"/>
        <v/>
      </c>
      <c r="N874" s="2" t="str">
        <f t="shared" ca="1" si="119"/>
        <v/>
      </c>
      <c r="O874" s="2" t="str">
        <f t="shared" ca="1" si="122"/>
        <v/>
      </c>
      <c r="P874" s="2" t="str">
        <f t="shared" ca="1" si="123"/>
        <v>○</v>
      </c>
    </row>
    <row r="875" spans="1:16">
      <c r="A875">
        <f t="shared" si="124"/>
        <v>872</v>
      </c>
      <c r="B875" t="str">
        <f ca="1">IFERROR(VLOOKUP($A875,'vbs,vba'!$G:$H,2,FALSE),"")</f>
        <v/>
      </c>
      <c r="C875" t="str">
        <f ca="1">IFERROR(VLOOKUP($A875,python!$I:$J,2,FALSE),"")</f>
        <v/>
      </c>
      <c r="D875" t="str">
        <f ca="1">IFERROR(VLOOKUP($A875,bat!$F:$G,2,FALSE),"")</f>
        <v/>
      </c>
      <c r="E875" t="str">
        <f ca="1">IFERROR(VLOOKUP($A875,shell!$F:$G,2,FALSE),"")</f>
        <v>シェルスクリプト実行(現在シェル)</v>
      </c>
      <c r="F875" t="str">
        <f t="shared" ca="1" si="120"/>
        <v>シェルスクリプト実行(現在シェル)</v>
      </c>
      <c r="G875">
        <f ca="1">IF($F875="","",COUNTIF($F$3:$F875,$F875))</f>
        <v>2</v>
      </c>
      <c r="H875" t="str">
        <f ca="1">IF(OR(G875&gt;1,G875=""),"",COUNTIF($G$3:$G875,1))</f>
        <v/>
      </c>
      <c r="I875" t="str">
        <f t="shared" ca="1" si="121"/>
        <v>シェルスクリプト実行(現在シェル)</v>
      </c>
      <c r="K875">
        <f t="shared" si="125"/>
        <v>872</v>
      </c>
      <c r="L875" t="str">
        <f t="shared" ca="1" si="118"/>
        <v>文字数出力</v>
      </c>
      <c r="M875" s="2" t="str">
        <f t="shared" ca="1" si="117"/>
        <v/>
      </c>
      <c r="N875" s="2" t="str">
        <f t="shared" ca="1" si="119"/>
        <v/>
      </c>
      <c r="O875" s="2" t="str">
        <f t="shared" ca="1" si="122"/>
        <v/>
      </c>
      <c r="P875" s="2" t="str">
        <f t="shared" ca="1" si="123"/>
        <v>○</v>
      </c>
    </row>
    <row r="876" spans="1:16">
      <c r="A876">
        <f t="shared" si="124"/>
        <v>873</v>
      </c>
      <c r="B876" t="str">
        <f ca="1">IFERROR(VLOOKUP($A876,'vbs,vba'!$G:$H,2,FALSE),"")</f>
        <v/>
      </c>
      <c r="C876" t="str">
        <f ca="1">IFERROR(VLOOKUP($A876,python!$I:$J,2,FALSE),"")</f>
        <v/>
      </c>
      <c r="D876" t="str">
        <f ca="1">IFERROR(VLOOKUP($A876,bat!$F:$G,2,FALSE),"")</f>
        <v/>
      </c>
      <c r="E876" t="str">
        <f ca="1">IFERROR(VLOOKUP($A876,shell!$F:$G,2,FALSE),"")</f>
        <v>シェルスクリプト実行(サブシェル)</v>
      </c>
      <c r="F876" t="str">
        <f t="shared" ca="1" si="120"/>
        <v>シェルスクリプト実行(サブシェル)</v>
      </c>
      <c r="G876">
        <f ca="1">IF($F876="","",COUNTIF($F$3:$F876,$F876))</f>
        <v>1</v>
      </c>
      <c r="H876">
        <f ca="1">IF(OR(G876&gt;1,G876=""),"",COUNTIF($G$3:$G876,1))</f>
        <v>789</v>
      </c>
      <c r="I876" t="str">
        <f t="shared" ca="1" si="121"/>
        <v>シェルスクリプト実行(サブシェル)</v>
      </c>
      <c r="K876">
        <f t="shared" si="125"/>
        <v>873</v>
      </c>
      <c r="L876" t="str">
        <f t="shared" ca="1" si="118"/>
        <v>配列要素数出力</v>
      </c>
      <c r="M876" s="2" t="str">
        <f t="shared" ca="1" si="117"/>
        <v/>
      </c>
      <c r="N876" s="2" t="str">
        <f t="shared" ca="1" si="119"/>
        <v/>
      </c>
      <c r="O876" s="2" t="str">
        <f t="shared" ca="1" si="122"/>
        <v/>
      </c>
      <c r="P876" s="2" t="str">
        <f t="shared" ca="1" si="123"/>
        <v>○</v>
      </c>
    </row>
    <row r="877" spans="1:16">
      <c r="A877">
        <f t="shared" si="124"/>
        <v>874</v>
      </c>
      <c r="B877" t="str">
        <f ca="1">IFERROR(VLOOKUP($A877,'vbs,vba'!$G:$H,2,FALSE),"")</f>
        <v/>
      </c>
      <c r="C877" t="str">
        <f ca="1">IFERROR(VLOOKUP($A877,python!$I:$J,2,FALSE),"")</f>
        <v/>
      </c>
      <c r="D877" t="str">
        <f ca="1">IFERROR(VLOOKUP($A877,bat!$F:$G,2,FALSE),"")</f>
        <v/>
      </c>
      <c r="E877" t="str">
        <f ca="1">IFERROR(VLOOKUP($A877,shell!$F:$G,2,FALSE),"")</f>
        <v>シェルスクリプト実行(サブシェル)</v>
      </c>
      <c r="F877" t="str">
        <f t="shared" ca="1" si="120"/>
        <v>シェルスクリプト実行(サブシェル)</v>
      </c>
      <c r="G877">
        <f ca="1">IF($F877="","",COUNTIF($F$3:$F877,$F877))</f>
        <v>2</v>
      </c>
      <c r="H877" t="str">
        <f ca="1">IF(OR(G877&gt;1,G877=""),"",COUNTIF($G$3:$G877,1))</f>
        <v/>
      </c>
      <c r="I877" t="str">
        <f t="shared" ca="1" si="121"/>
        <v>シェルスクリプト実行(サブシェル)</v>
      </c>
      <c r="K877">
        <f t="shared" si="125"/>
        <v>874</v>
      </c>
      <c r="L877" t="str">
        <f t="shared" ca="1" si="118"/>
        <v>前方一致除去(最短一致)</v>
      </c>
      <c r="M877" s="2" t="str">
        <f t="shared" ca="1" si="117"/>
        <v/>
      </c>
      <c r="N877" s="2" t="str">
        <f t="shared" ca="1" si="119"/>
        <v/>
      </c>
      <c r="O877" s="2" t="str">
        <f t="shared" ca="1" si="122"/>
        <v/>
      </c>
      <c r="P877" s="2" t="str">
        <f t="shared" ca="1" si="123"/>
        <v>○</v>
      </c>
    </row>
    <row r="878" spans="1:16">
      <c r="A878">
        <f t="shared" si="124"/>
        <v>875</v>
      </c>
      <c r="B878" t="str">
        <f ca="1">IFERROR(VLOOKUP($A878,'vbs,vba'!$G:$H,2,FALSE),"")</f>
        <v/>
      </c>
      <c r="C878" t="str">
        <f ca="1">IFERROR(VLOOKUP($A878,python!$I:$J,2,FALSE),"")</f>
        <v/>
      </c>
      <c r="D878" t="str">
        <f ca="1">IFERROR(VLOOKUP($A878,bat!$F:$G,2,FALSE),"")</f>
        <v/>
      </c>
      <c r="E878" t="str">
        <f ca="1">IFERROR(VLOOKUP($A878,shell!$F:$G,2,FALSE),"")</f>
        <v>変数定義</v>
      </c>
      <c r="F878" t="str">
        <f t="shared" ca="1" si="120"/>
        <v>変数定義</v>
      </c>
      <c r="G878">
        <f ca="1">IF($F878="","",COUNTIF($F$3:$F878,$F878))</f>
        <v>3</v>
      </c>
      <c r="H878" t="str">
        <f ca="1">IF(OR(G878&gt;1,G878=""),"",COUNTIF($G$3:$G878,1))</f>
        <v/>
      </c>
      <c r="I878" t="str">
        <f t="shared" ca="1" si="121"/>
        <v>変数定義</v>
      </c>
      <c r="K878">
        <f t="shared" si="125"/>
        <v>875</v>
      </c>
      <c r="L878" t="str">
        <f t="shared" ca="1" si="118"/>
        <v>前方一致除去(最長一致)</v>
      </c>
      <c r="M878" s="2" t="str">
        <f t="shared" ca="1" si="117"/>
        <v/>
      </c>
      <c r="N878" s="2" t="str">
        <f t="shared" ca="1" si="119"/>
        <v/>
      </c>
      <c r="O878" s="2" t="str">
        <f t="shared" ca="1" si="122"/>
        <v/>
      </c>
      <c r="P878" s="2" t="str">
        <f t="shared" ca="1" si="123"/>
        <v>○</v>
      </c>
    </row>
    <row r="879" spans="1:16">
      <c r="A879">
        <f t="shared" si="124"/>
        <v>876</v>
      </c>
      <c r="B879" t="str">
        <f ca="1">IFERROR(VLOOKUP($A879,'vbs,vba'!$G:$H,2,FALSE),"")</f>
        <v/>
      </c>
      <c r="C879" t="str">
        <f ca="1">IFERROR(VLOOKUP($A879,python!$I:$J,2,FALSE),"")</f>
        <v/>
      </c>
      <c r="D879" t="str">
        <f ca="1">IFERROR(VLOOKUP($A879,bat!$F:$G,2,FALSE),"")</f>
        <v/>
      </c>
      <c r="E879" t="str">
        <f ca="1">IFERROR(VLOOKUP($A879,shell!$F:$G,2,FALSE),"")</f>
        <v>変数参照</v>
      </c>
      <c r="F879" t="str">
        <f t="shared" ca="1" si="120"/>
        <v>変数参照</v>
      </c>
      <c r="G879">
        <f ca="1">IF($F879="","",COUNTIF($F$3:$F879,$F879))</f>
        <v>1</v>
      </c>
      <c r="H879">
        <f ca="1">IF(OR(G879&gt;1,G879=""),"",COUNTIF($G$3:$G879,1))</f>
        <v>790</v>
      </c>
      <c r="I879" t="str">
        <f t="shared" ca="1" si="121"/>
        <v>変数参照</v>
      </c>
      <c r="K879">
        <f t="shared" si="125"/>
        <v>876</v>
      </c>
      <c r="L879" t="str">
        <f t="shared" ca="1" si="118"/>
        <v>後方一致除去(最短一致)</v>
      </c>
      <c r="M879" s="2" t="str">
        <f t="shared" ca="1" si="117"/>
        <v/>
      </c>
      <c r="N879" s="2" t="str">
        <f t="shared" ca="1" si="119"/>
        <v/>
      </c>
      <c r="O879" s="2" t="str">
        <f t="shared" ca="1" si="122"/>
        <v/>
      </c>
      <c r="P879" s="2" t="str">
        <f t="shared" ca="1" si="123"/>
        <v>○</v>
      </c>
    </row>
    <row r="880" spans="1:16">
      <c r="A880">
        <f t="shared" si="124"/>
        <v>877</v>
      </c>
      <c r="B880" t="str">
        <f ca="1">IFERROR(VLOOKUP($A880,'vbs,vba'!$G:$H,2,FALSE),"")</f>
        <v/>
      </c>
      <c r="C880" t="str">
        <f ca="1">IFERROR(VLOOKUP($A880,python!$I:$J,2,FALSE),"")</f>
        <v/>
      </c>
      <c r="D880" t="str">
        <f ca="1">IFERROR(VLOOKUP($A880,bat!$F:$G,2,FALSE),"")</f>
        <v/>
      </c>
      <c r="E880" t="str">
        <f ca="1">IFERROR(VLOOKUP($A880,shell!$F:$G,2,FALSE),"")</f>
        <v>変数参照</v>
      </c>
      <c r="F880" t="str">
        <f t="shared" ca="1" si="120"/>
        <v>変数参照</v>
      </c>
      <c r="G880">
        <f ca="1">IF($F880="","",COUNTIF($F$3:$F880,$F880))</f>
        <v>2</v>
      </c>
      <c r="H880" t="str">
        <f ca="1">IF(OR(G880&gt;1,G880=""),"",COUNTIF($G$3:$G880,1))</f>
        <v/>
      </c>
      <c r="I880" t="str">
        <f t="shared" ca="1" si="121"/>
        <v>変数参照</v>
      </c>
      <c r="K880">
        <f t="shared" si="125"/>
        <v>877</v>
      </c>
      <c r="L880" t="str">
        <f t="shared" ca="1" si="118"/>
        <v>後方一致除去(最長一致)</v>
      </c>
      <c r="M880" s="2" t="str">
        <f t="shared" ca="1" si="117"/>
        <v/>
      </c>
      <c r="N880" s="2" t="str">
        <f t="shared" ca="1" si="119"/>
        <v/>
      </c>
      <c r="O880" s="2" t="str">
        <f t="shared" ca="1" si="122"/>
        <v/>
      </c>
      <c r="P880" s="2" t="str">
        <f t="shared" ca="1" si="123"/>
        <v>○</v>
      </c>
    </row>
    <row r="881" spans="1:16">
      <c r="A881">
        <f t="shared" si="124"/>
        <v>878</v>
      </c>
      <c r="B881" t="str">
        <f ca="1">IFERROR(VLOOKUP($A881,'vbs,vba'!$G:$H,2,FALSE),"")</f>
        <v/>
      </c>
      <c r="C881" t="str">
        <f ca="1">IFERROR(VLOOKUP($A881,python!$I:$J,2,FALSE),"")</f>
        <v/>
      </c>
      <c r="D881" t="str">
        <f ca="1">IFERROR(VLOOKUP($A881,bat!$F:$G,2,FALSE),"")</f>
        <v/>
      </c>
      <c r="E881" t="str">
        <f ca="1">IFERROR(VLOOKUP($A881,shell!$F:$G,2,FALSE),"")</f>
        <v>変数参照</v>
      </c>
      <c r="F881" t="str">
        <f t="shared" ca="1" si="120"/>
        <v>変数参照</v>
      </c>
      <c r="G881">
        <f ca="1">IF($F881="","",COUNTIF($F$3:$F881,$F881))</f>
        <v>3</v>
      </c>
      <c r="H881" t="str">
        <f ca="1">IF(OR(G881&gt;1,G881=""),"",COUNTIF($G$3:$G881,1))</f>
        <v/>
      </c>
      <c r="I881" t="str">
        <f t="shared" ca="1" si="121"/>
        <v>変数参照</v>
      </c>
      <c r="K881">
        <f t="shared" si="125"/>
        <v>878</v>
      </c>
      <c r="L881" t="str">
        <f t="shared" ca="1" si="118"/>
        <v>文字列置換(先頭単語のみ)</v>
      </c>
      <c r="M881" s="2" t="str">
        <f t="shared" ca="1" si="117"/>
        <v/>
      </c>
      <c r="N881" s="2" t="str">
        <f t="shared" ca="1" si="119"/>
        <v/>
      </c>
      <c r="O881" s="2" t="str">
        <f t="shared" ca="1" si="122"/>
        <v/>
      </c>
      <c r="P881" s="2" t="str">
        <f t="shared" ca="1" si="123"/>
        <v>○</v>
      </c>
    </row>
    <row r="882" spans="1:16">
      <c r="A882">
        <f t="shared" si="124"/>
        <v>879</v>
      </c>
      <c r="B882" t="str">
        <f ca="1">IFERROR(VLOOKUP($A882,'vbs,vba'!$G:$H,2,FALSE),"")</f>
        <v/>
      </c>
      <c r="C882" t="str">
        <f ca="1">IFERROR(VLOOKUP($A882,python!$I:$J,2,FALSE),"")</f>
        <v/>
      </c>
      <c r="D882" t="str">
        <f ca="1">IFERROR(VLOOKUP($A882,bat!$F:$G,2,FALSE),"")</f>
        <v/>
      </c>
      <c r="E882" t="str">
        <f ca="1">IFERROR(VLOOKUP($A882,shell!$F:$G,2,FALSE),"")</f>
        <v>変数参照(非空文字列時word返却＆var非保存)</v>
      </c>
      <c r="F882" t="str">
        <f t="shared" ca="1" si="120"/>
        <v>変数参照(非空文字列時word返却＆var非保存)</v>
      </c>
      <c r="G882">
        <f ca="1">IF($F882="","",COUNTIF($F$3:$F882,$F882))</f>
        <v>1</v>
      </c>
      <c r="H882">
        <f ca="1">IF(OR(G882&gt;1,G882=""),"",COUNTIF($G$3:$G882,1))</f>
        <v>791</v>
      </c>
      <c r="I882" t="str">
        <f t="shared" ca="1" si="121"/>
        <v>変数参照(非空文字列時word返却＆var非保存)</v>
      </c>
      <c r="K882">
        <f t="shared" si="125"/>
        <v>879</v>
      </c>
      <c r="L882" t="str">
        <f t="shared" ca="1" si="118"/>
        <v>文字列置換(全単語)</v>
      </c>
      <c r="M882" s="2" t="str">
        <f t="shared" ref="M882:M945" ca="1" si="126">IF($L882="","",IF(COUNTIF(B$3:B$1004,$L882)&gt;0,"○",""))</f>
        <v/>
      </c>
      <c r="N882" s="2" t="str">
        <f t="shared" ca="1" si="119"/>
        <v/>
      </c>
      <c r="O882" s="2" t="str">
        <f t="shared" ca="1" si="122"/>
        <v/>
      </c>
      <c r="P882" s="2" t="str">
        <f t="shared" ca="1" si="123"/>
        <v>○</v>
      </c>
    </row>
    <row r="883" spans="1:16">
      <c r="A883">
        <f t="shared" si="124"/>
        <v>880</v>
      </c>
      <c r="B883" t="str">
        <f ca="1">IFERROR(VLOOKUP($A883,'vbs,vba'!$G:$H,2,FALSE),"")</f>
        <v/>
      </c>
      <c r="C883" t="str">
        <f ca="1">IFERROR(VLOOKUP($A883,python!$I:$J,2,FALSE),"")</f>
        <v/>
      </c>
      <c r="D883" t="str">
        <f ca="1">IFERROR(VLOOKUP($A883,bat!$F:$G,2,FALSE),"")</f>
        <v/>
      </c>
      <c r="E883" t="str">
        <f ca="1">IFERROR(VLOOKUP($A883,shell!$F:$G,2,FALSE),"")</f>
        <v>変数参照(　空文字列時word返却＆var非保存)</v>
      </c>
      <c r="F883" t="str">
        <f t="shared" ca="1" si="120"/>
        <v>変数参照(　空文字列時word返却＆var非保存)</v>
      </c>
      <c r="G883">
        <f ca="1">IF($F883="","",COUNTIF($F$3:$F883,$F883))</f>
        <v>1</v>
      </c>
      <c r="H883">
        <f ca="1">IF(OR(G883&gt;1,G883=""),"",COUNTIF($G$3:$G883,1))</f>
        <v>792</v>
      </c>
      <c r="I883" t="str">
        <f t="shared" ca="1" si="121"/>
        <v>変数参照(　空文字列時word返却＆var非保存)</v>
      </c>
      <c r="K883">
        <f t="shared" si="125"/>
        <v>880</v>
      </c>
      <c r="L883" t="str">
        <f t="shared" ca="1" si="118"/>
        <v>大文字化(先頭文字)</v>
      </c>
      <c r="M883" s="2" t="str">
        <f t="shared" ca="1" si="126"/>
        <v/>
      </c>
      <c r="N883" s="2" t="str">
        <f t="shared" ca="1" si="119"/>
        <v/>
      </c>
      <c r="O883" s="2" t="str">
        <f t="shared" ca="1" si="122"/>
        <v/>
      </c>
      <c r="P883" s="2" t="str">
        <f t="shared" ca="1" si="123"/>
        <v>○</v>
      </c>
    </row>
    <row r="884" spans="1:16">
      <c r="A884">
        <f t="shared" si="124"/>
        <v>881</v>
      </c>
      <c r="B884" t="str">
        <f ca="1">IFERROR(VLOOKUP($A884,'vbs,vba'!$G:$H,2,FALSE),"")</f>
        <v/>
      </c>
      <c r="C884" t="str">
        <f ca="1">IFERROR(VLOOKUP($A884,python!$I:$J,2,FALSE),"")</f>
        <v/>
      </c>
      <c r="D884" t="str">
        <f ca="1">IFERROR(VLOOKUP($A884,bat!$F:$G,2,FALSE),"")</f>
        <v/>
      </c>
      <c r="E884" t="str">
        <f ca="1">IFERROR(VLOOKUP($A884,shell!$F:$G,2,FALSE),"")</f>
        <v>変数参照(　空文字列時word返却＆var　保存)</v>
      </c>
      <c r="F884" t="str">
        <f t="shared" ca="1" si="120"/>
        <v>変数参照(　空文字列時word返却＆var　保存)</v>
      </c>
      <c r="G884">
        <f ca="1">IF($F884="","",COUNTIF($F$3:$F884,$F884))</f>
        <v>1</v>
      </c>
      <c r="H884">
        <f ca="1">IF(OR(G884&gt;1,G884=""),"",COUNTIF($G$3:$G884,1))</f>
        <v>793</v>
      </c>
      <c r="I884" t="str">
        <f t="shared" ca="1" si="121"/>
        <v>変数参照(　空文字列時word返却＆var　保存)</v>
      </c>
      <c r="K884">
        <f t="shared" si="125"/>
        <v>881</v>
      </c>
      <c r="L884" t="str">
        <f t="shared" ca="1" si="118"/>
        <v>大文字化(全文字)</v>
      </c>
      <c r="M884" s="2" t="str">
        <f t="shared" ca="1" si="126"/>
        <v/>
      </c>
      <c r="N884" s="2" t="str">
        <f t="shared" ca="1" si="119"/>
        <v/>
      </c>
      <c r="O884" s="2" t="str">
        <f t="shared" ca="1" si="122"/>
        <v/>
      </c>
      <c r="P884" s="2" t="str">
        <f t="shared" ca="1" si="123"/>
        <v>○</v>
      </c>
    </row>
    <row r="885" spans="1:16">
      <c r="A885">
        <f t="shared" si="124"/>
        <v>882</v>
      </c>
      <c r="B885" t="str">
        <f ca="1">IFERROR(VLOOKUP($A885,'vbs,vba'!$G:$H,2,FALSE),"")</f>
        <v/>
      </c>
      <c r="C885" t="str">
        <f ca="1">IFERROR(VLOOKUP($A885,python!$I:$J,2,FALSE),"")</f>
        <v/>
      </c>
      <c r="D885" t="str">
        <f ca="1">IFERROR(VLOOKUP($A885,bat!$F:$G,2,FALSE),"")</f>
        <v/>
      </c>
      <c r="E885" t="str">
        <f ca="1">IFERROR(VLOOKUP($A885,shell!$F:$G,2,FALSE),"")</f>
        <v>変数参照(　空文字列時標準エラー出力表示)</v>
      </c>
      <c r="F885" t="str">
        <f t="shared" ca="1" si="120"/>
        <v>変数参照(　空文字列時標準エラー出力表示)</v>
      </c>
      <c r="G885">
        <f ca="1">IF($F885="","",COUNTIF($F$3:$F885,$F885))</f>
        <v>1</v>
      </c>
      <c r="H885">
        <f ca="1">IF(OR(G885&gt;1,G885=""),"",COUNTIF($G$3:$G885,1))</f>
        <v>794</v>
      </c>
      <c r="I885" t="str">
        <f t="shared" ca="1" si="121"/>
        <v>変数参照(　空文字列時標準エラー出力表示)</v>
      </c>
      <c r="K885">
        <f t="shared" si="125"/>
        <v>882</v>
      </c>
      <c r="L885" t="str">
        <f t="shared" ca="1" si="118"/>
        <v>小文字化(先頭文字)</v>
      </c>
      <c r="M885" s="2" t="str">
        <f t="shared" ca="1" si="126"/>
        <v/>
      </c>
      <c r="N885" s="2" t="str">
        <f t="shared" ca="1" si="119"/>
        <v/>
      </c>
      <c r="O885" s="2" t="str">
        <f t="shared" ca="1" si="122"/>
        <v/>
      </c>
      <c r="P885" s="2" t="str">
        <f t="shared" ca="1" si="123"/>
        <v>○</v>
      </c>
    </row>
    <row r="886" spans="1:16">
      <c r="A886">
        <f t="shared" si="124"/>
        <v>883</v>
      </c>
      <c r="B886" t="str">
        <f ca="1">IFERROR(VLOOKUP($A886,'vbs,vba'!$G:$H,2,FALSE),"")</f>
        <v/>
      </c>
      <c r="C886" t="str">
        <f ca="1">IFERROR(VLOOKUP($A886,python!$I:$J,2,FALSE),"")</f>
        <v/>
      </c>
      <c r="D886" t="str">
        <f ca="1">IFERROR(VLOOKUP($A886,bat!$F:$G,2,FALSE),"")</f>
        <v/>
      </c>
      <c r="E886" t="str">
        <f ca="1">IFERROR(VLOOKUP($A886,shell!$F:$G,2,FALSE),"")</f>
        <v>変数定義(配列)１</v>
      </c>
      <c r="F886" t="str">
        <f t="shared" ca="1" si="120"/>
        <v>変数定義(配列)１</v>
      </c>
      <c r="G886">
        <f ca="1">IF($F886="","",COUNTIF($F$3:$F886,$F886))</f>
        <v>1</v>
      </c>
      <c r="H886">
        <f ca="1">IF(OR(G886&gt;1,G886=""),"",COUNTIF($G$3:$G886,1))</f>
        <v>795</v>
      </c>
      <c r="I886" t="str">
        <f t="shared" ca="1" si="121"/>
        <v>変数定義(配列)１</v>
      </c>
      <c r="K886">
        <f t="shared" si="125"/>
        <v>883</v>
      </c>
      <c r="L886" t="str">
        <f t="shared" ca="1" si="118"/>
        <v>小文字化(全文字)</v>
      </c>
      <c r="M886" s="2" t="str">
        <f t="shared" ca="1" si="126"/>
        <v/>
      </c>
      <c r="N886" s="2" t="str">
        <f t="shared" ca="1" si="119"/>
        <v/>
      </c>
      <c r="O886" s="2" t="str">
        <f t="shared" ca="1" si="122"/>
        <v/>
      </c>
      <c r="P886" s="2" t="str">
        <f t="shared" ca="1" si="123"/>
        <v>○</v>
      </c>
    </row>
    <row r="887" spans="1:16">
      <c r="A887">
        <f t="shared" si="124"/>
        <v>884</v>
      </c>
      <c r="B887" t="str">
        <f ca="1">IFERROR(VLOOKUP($A887,'vbs,vba'!$G:$H,2,FALSE),"")</f>
        <v/>
      </c>
      <c r="C887" t="str">
        <f ca="1">IFERROR(VLOOKUP($A887,python!$I:$J,2,FALSE),"")</f>
        <v/>
      </c>
      <c r="D887" t="str">
        <f ca="1">IFERROR(VLOOKUP($A887,bat!$F:$G,2,FALSE),"")</f>
        <v/>
      </c>
      <c r="E887" t="str">
        <f ca="1">IFERROR(VLOOKUP($A887,shell!$F:$G,2,FALSE),"")</f>
        <v>変数定義(配列)２</v>
      </c>
      <c r="F887" t="str">
        <f t="shared" ca="1" si="120"/>
        <v>変数定義(配列)２</v>
      </c>
      <c r="G887">
        <f ca="1">IF($F887="","",COUNTIF($F$3:$F887,$F887))</f>
        <v>1</v>
      </c>
      <c r="H887">
        <f ca="1">IF(OR(G887&gt;1,G887=""),"",COUNTIF($G$3:$G887,1))</f>
        <v>796</v>
      </c>
      <c r="I887" t="str">
        <f t="shared" ca="1" si="121"/>
        <v>変数定義(配列)２</v>
      </c>
      <c r="K887">
        <f t="shared" si="125"/>
        <v>884</v>
      </c>
      <c r="L887" t="str">
        <f t="shared" ca="1" si="118"/>
        <v>大文字小文字反転(先頭文字)</v>
      </c>
      <c r="M887" s="2" t="str">
        <f t="shared" ca="1" si="126"/>
        <v/>
      </c>
      <c r="N887" s="2" t="str">
        <f t="shared" ca="1" si="119"/>
        <v/>
      </c>
      <c r="O887" s="2" t="str">
        <f t="shared" ca="1" si="122"/>
        <v/>
      </c>
      <c r="P887" s="2" t="str">
        <f t="shared" ca="1" si="123"/>
        <v>○</v>
      </c>
    </row>
    <row r="888" spans="1:16">
      <c r="A888">
        <f t="shared" si="124"/>
        <v>885</v>
      </c>
      <c r="B888" t="str">
        <f ca="1">IFERROR(VLOOKUP($A888,'vbs,vba'!$G:$H,2,FALSE),"")</f>
        <v/>
      </c>
      <c r="C888" t="str">
        <f ca="1">IFERROR(VLOOKUP($A888,python!$I:$J,2,FALSE),"")</f>
        <v/>
      </c>
      <c r="D888" t="str">
        <f ca="1">IFERROR(VLOOKUP($A888,bat!$F:$G,2,FALSE),"")</f>
        <v/>
      </c>
      <c r="E888" t="str">
        <f ca="1">IFERROR(VLOOKUP($A888,shell!$F:$G,2,FALSE),"")</f>
        <v>変数参照(配列)</v>
      </c>
      <c r="F888" t="str">
        <f t="shared" ca="1" si="120"/>
        <v>変数参照(配列)</v>
      </c>
      <c r="G888">
        <f ca="1">IF($F888="","",COUNTIF($F$3:$F888,$F888))</f>
        <v>1</v>
      </c>
      <c r="H888">
        <f ca="1">IF(OR(G888&gt;1,G888=""),"",COUNTIF($G$3:$G888,1))</f>
        <v>797</v>
      </c>
      <c r="I888" t="str">
        <f t="shared" ca="1" si="121"/>
        <v>変数参照(配列)</v>
      </c>
      <c r="K888">
        <f t="shared" si="125"/>
        <v>885</v>
      </c>
      <c r="L888" t="str">
        <f t="shared" ca="1" si="118"/>
        <v>大文字小文字反転(全文字)</v>
      </c>
      <c r="M888" s="2" t="str">
        <f t="shared" ca="1" si="126"/>
        <v/>
      </c>
      <c r="N888" s="2" t="str">
        <f t="shared" ca="1" si="119"/>
        <v/>
      </c>
      <c r="O888" s="2" t="str">
        <f t="shared" ca="1" si="122"/>
        <v/>
      </c>
      <c r="P888" s="2" t="str">
        <f t="shared" ca="1" si="123"/>
        <v>○</v>
      </c>
    </row>
    <row r="889" spans="1:16">
      <c r="A889">
        <f t="shared" si="124"/>
        <v>886</v>
      </c>
      <c r="B889" t="str">
        <f ca="1">IFERROR(VLOOKUP($A889,'vbs,vba'!$G:$H,2,FALSE),"")</f>
        <v/>
      </c>
      <c r="C889" t="str">
        <f ca="1">IFERROR(VLOOKUP($A889,python!$I:$J,2,FALSE),"")</f>
        <v/>
      </c>
      <c r="D889" t="str">
        <f ca="1">IFERROR(VLOOKUP($A889,bat!$F:$G,2,FALSE),"")</f>
        <v/>
      </c>
      <c r="E889" t="str">
        <f ca="1">IFERROR(VLOOKUP($A889,shell!$F:$G,2,FALSE),"")</f>
        <v>変数参照(配列サイズ)</v>
      </c>
      <c r="F889" t="str">
        <f t="shared" ca="1" si="120"/>
        <v>変数参照(配列サイズ)</v>
      </c>
      <c r="G889">
        <f ca="1">IF($F889="","",COUNTIF($F$3:$F889,$F889))</f>
        <v>1</v>
      </c>
      <c r="H889">
        <f ca="1">IF(OR(G889&gt;1,G889=""),"",COUNTIF($G$3:$G889,1))</f>
        <v>798</v>
      </c>
      <c r="I889" t="str">
        <f t="shared" ca="1" si="121"/>
        <v>変数参照(配列サイズ)</v>
      </c>
      <c r="K889">
        <f t="shared" si="125"/>
        <v>886</v>
      </c>
      <c r="L889" t="str">
        <f t="shared" ca="1" si="118"/>
        <v>数式展開</v>
      </c>
      <c r="M889" s="2" t="str">
        <f t="shared" ca="1" si="126"/>
        <v/>
      </c>
      <c r="N889" s="2" t="str">
        <f t="shared" ca="1" si="119"/>
        <v/>
      </c>
      <c r="O889" s="2" t="str">
        <f t="shared" ca="1" si="122"/>
        <v/>
      </c>
      <c r="P889" s="2" t="str">
        <f t="shared" ca="1" si="123"/>
        <v>○</v>
      </c>
    </row>
    <row r="890" spans="1:16">
      <c r="A890">
        <f t="shared" si="124"/>
        <v>887</v>
      </c>
      <c r="B890" t="str">
        <f ca="1">IFERROR(VLOOKUP($A890,'vbs,vba'!$G:$H,2,FALSE),"")</f>
        <v/>
      </c>
      <c r="C890" t="str">
        <f ca="1">IFERROR(VLOOKUP($A890,python!$I:$J,2,FALSE),"")</f>
        <v/>
      </c>
      <c r="D890" t="str">
        <f ca="1">IFERROR(VLOOKUP($A890,bat!$F:$G,2,FALSE),"")</f>
        <v/>
      </c>
      <c r="E890" t="str">
        <f ca="1">IFERROR(VLOOKUP($A890,shell!$F:$G,2,FALSE),"")</f>
        <v>変数参照(配列全要素取り出し)</v>
      </c>
      <c r="F890" t="str">
        <f t="shared" ca="1" si="120"/>
        <v>変数参照(配列全要素取り出し)</v>
      </c>
      <c r="G890">
        <f ca="1">IF($F890="","",COUNTIF($F$3:$F890,$F890))</f>
        <v>1</v>
      </c>
      <c r="H890">
        <f ca="1">IF(OR(G890&gt;1,G890=""),"",COUNTIF($G$3:$G890,1))</f>
        <v>799</v>
      </c>
      <c r="I890" t="str">
        <f t="shared" ca="1" si="121"/>
        <v>変数参照(配列全要素取り出し)</v>
      </c>
      <c r="K890">
        <f t="shared" si="125"/>
        <v>887</v>
      </c>
      <c r="L890" t="str">
        <f t="shared" ca="1" si="118"/>
        <v>特殊変数 引数の数</v>
      </c>
      <c r="M890" s="2" t="str">
        <f t="shared" ca="1" si="126"/>
        <v/>
      </c>
      <c r="N890" s="2" t="str">
        <f t="shared" ca="1" si="119"/>
        <v/>
      </c>
      <c r="O890" s="2" t="str">
        <f t="shared" ca="1" si="122"/>
        <v/>
      </c>
      <c r="P890" s="2" t="str">
        <f t="shared" ca="1" si="123"/>
        <v>○</v>
      </c>
    </row>
    <row r="891" spans="1:16">
      <c r="A891">
        <f t="shared" si="124"/>
        <v>888</v>
      </c>
      <c r="B891" t="str">
        <f ca="1">IFERROR(VLOOKUP($A891,'vbs,vba'!$G:$H,2,FALSE),"")</f>
        <v/>
      </c>
      <c r="C891" t="str">
        <f ca="1">IFERROR(VLOOKUP($A891,python!$I:$J,2,FALSE),"")</f>
        <v/>
      </c>
      <c r="D891" t="str">
        <f ca="1">IFERROR(VLOOKUP($A891,bat!$F:$G,2,FALSE),"")</f>
        <v/>
      </c>
      <c r="E891" t="str">
        <f ca="1">IFERROR(VLOOKUP($A891,shell!$F:$G,2,FALSE),"")</f>
        <v>関数定義</v>
      </c>
      <c r="F891" t="str">
        <f t="shared" ca="1" si="120"/>
        <v>関数定義</v>
      </c>
      <c r="G891">
        <f ca="1">IF($F891="","",COUNTIF($F$3:$F891,$F891))</f>
        <v>2</v>
      </c>
      <c r="H891" t="str">
        <f ca="1">IF(OR(G891&gt;1,G891=""),"",COUNTIF($G$3:$G891,1))</f>
        <v/>
      </c>
      <c r="I891" t="str">
        <f t="shared" ca="1" si="121"/>
        <v>関数定義</v>
      </c>
      <c r="K891">
        <f t="shared" si="125"/>
        <v>888</v>
      </c>
      <c r="L891" t="str">
        <f t="shared" ca="1" si="118"/>
        <v>特殊変数 引数の値</v>
      </c>
      <c r="M891" s="2" t="str">
        <f t="shared" ca="1" si="126"/>
        <v/>
      </c>
      <c r="N891" s="2" t="str">
        <f t="shared" ca="1" si="119"/>
        <v/>
      </c>
      <c r="O891" s="2" t="str">
        <f t="shared" ca="1" si="122"/>
        <v/>
      </c>
      <c r="P891" s="2" t="str">
        <f t="shared" ca="1" si="123"/>
        <v>○</v>
      </c>
    </row>
    <row r="892" spans="1:16">
      <c r="A892">
        <f t="shared" si="124"/>
        <v>889</v>
      </c>
      <c r="B892" t="str">
        <f ca="1">IFERROR(VLOOKUP($A892,'vbs,vba'!$G:$H,2,FALSE),"")</f>
        <v/>
      </c>
      <c r="C892" t="str">
        <f ca="1">IFERROR(VLOOKUP($A892,python!$I:$J,2,FALSE),"")</f>
        <v/>
      </c>
      <c r="D892" t="str">
        <f ca="1">IFERROR(VLOOKUP($A892,bat!$F:$G,2,FALSE),"")</f>
        <v/>
      </c>
      <c r="E892" t="str">
        <f ca="1">IFERROR(VLOOKUP($A892,shell!$F:$G,2,FALSE),"")</f>
        <v>関数定義削除</v>
      </c>
      <c r="F892" t="str">
        <f t="shared" ca="1" si="120"/>
        <v>関数定義削除</v>
      </c>
      <c r="G892">
        <f ca="1">IF($F892="","",COUNTIF($F$3:$F892,$F892))</f>
        <v>1</v>
      </c>
      <c r="H892">
        <f ca="1">IF(OR(G892&gt;1,G892=""),"",COUNTIF($G$3:$G892,1))</f>
        <v>800</v>
      </c>
      <c r="I892" t="str">
        <f t="shared" ca="1" si="121"/>
        <v>関数定義削除</v>
      </c>
      <c r="K892">
        <f t="shared" si="125"/>
        <v>889</v>
      </c>
      <c r="L892" t="str">
        <f t="shared" ca="1" si="118"/>
        <v>特殊変数 シェルスクリプトファイル名</v>
      </c>
      <c r="M892" s="2" t="str">
        <f t="shared" ca="1" si="126"/>
        <v/>
      </c>
      <c r="N892" s="2" t="str">
        <f t="shared" ca="1" si="119"/>
        <v/>
      </c>
      <c r="O892" s="2" t="str">
        <f t="shared" ca="1" si="122"/>
        <v/>
      </c>
      <c r="P892" s="2" t="str">
        <f t="shared" ca="1" si="123"/>
        <v>○</v>
      </c>
    </row>
    <row r="893" spans="1:16">
      <c r="A893">
        <f t="shared" si="124"/>
        <v>890</v>
      </c>
      <c r="B893" t="str">
        <f ca="1">IFERROR(VLOOKUP($A893,'vbs,vba'!$G:$H,2,FALSE),"")</f>
        <v/>
      </c>
      <c r="C893" t="str">
        <f ca="1">IFERROR(VLOOKUP($A893,python!$I:$J,2,FALSE),"")</f>
        <v/>
      </c>
      <c r="D893" t="str">
        <f ca="1">IFERROR(VLOOKUP($A893,bat!$F:$G,2,FALSE),"")</f>
        <v/>
      </c>
      <c r="E893" t="str">
        <f ca="1">IFERROR(VLOOKUP($A893,shell!$F:$G,2,FALSE),"")</f>
        <v>シェル変数設定</v>
      </c>
      <c r="F893" t="str">
        <f t="shared" ca="1" si="120"/>
        <v>シェル変数設定</v>
      </c>
      <c r="G893">
        <f ca="1">IF($F893="","",COUNTIF($F$3:$F893,$F893))</f>
        <v>1</v>
      </c>
      <c r="H893">
        <f ca="1">IF(OR(G893&gt;1,G893=""),"",COUNTIF($G$3:$G893,1))</f>
        <v>801</v>
      </c>
      <c r="I893" t="str">
        <f t="shared" ca="1" si="121"/>
        <v>シェル変数設定</v>
      </c>
      <c r="K893">
        <f t="shared" si="125"/>
        <v>890</v>
      </c>
      <c r="L893" t="str">
        <f t="shared" ca="1" si="118"/>
        <v>特殊変数 全ての引数(区切りはスペース)</v>
      </c>
      <c r="M893" s="2" t="str">
        <f t="shared" ca="1" si="126"/>
        <v/>
      </c>
      <c r="N893" s="2" t="str">
        <f t="shared" ca="1" si="119"/>
        <v/>
      </c>
      <c r="O893" s="2" t="str">
        <f t="shared" ca="1" si="122"/>
        <v/>
      </c>
      <c r="P893" s="2" t="str">
        <f t="shared" ca="1" si="123"/>
        <v>○</v>
      </c>
    </row>
    <row r="894" spans="1:16">
      <c r="A894">
        <f t="shared" si="124"/>
        <v>891</v>
      </c>
      <c r="B894" t="str">
        <f ca="1">IFERROR(VLOOKUP($A894,'vbs,vba'!$G:$H,2,FALSE),"")</f>
        <v/>
      </c>
      <c r="C894" t="str">
        <f ca="1">IFERROR(VLOOKUP($A894,python!$I:$J,2,FALSE),"")</f>
        <v/>
      </c>
      <c r="D894" t="str">
        <f ca="1">IFERROR(VLOOKUP($A894,bat!$F:$G,2,FALSE),"")</f>
        <v/>
      </c>
      <c r="E894" t="str">
        <f ca="1">IFERROR(VLOOKUP($A894,shell!$F:$G,2,FALSE),"")</f>
        <v>xargs コマンドライン引数受取後実行</v>
      </c>
      <c r="F894" t="str">
        <f t="shared" ca="1" si="120"/>
        <v>xargs コマンドライン引数受取後実行</v>
      </c>
      <c r="G894">
        <f ca="1">IF($F894="","",COUNTIF($F$3:$F894,$F894))</f>
        <v>1</v>
      </c>
      <c r="H894">
        <f ca="1">IF(OR(G894&gt;1,G894=""),"",COUNTIF($G$3:$G894,1))</f>
        <v>802</v>
      </c>
      <c r="I894" t="str">
        <f t="shared" ca="1" si="121"/>
        <v>xargs コマンドライン引数受取後実行</v>
      </c>
      <c r="K894">
        <f t="shared" si="125"/>
        <v>891</v>
      </c>
      <c r="L894" t="str">
        <f t="shared" ca="1" si="118"/>
        <v>特殊変数 全ての引数(区切りは環境変数IFSで指定したもの)</v>
      </c>
      <c r="M894" s="2" t="str">
        <f t="shared" ca="1" si="126"/>
        <v/>
      </c>
      <c r="N894" s="2" t="str">
        <f t="shared" ca="1" si="119"/>
        <v/>
      </c>
      <c r="O894" s="2" t="str">
        <f t="shared" ca="1" si="122"/>
        <v/>
      </c>
      <c r="P894" s="2" t="str">
        <f t="shared" ca="1" si="123"/>
        <v>○</v>
      </c>
    </row>
    <row r="895" spans="1:16">
      <c r="A895">
        <f t="shared" si="124"/>
        <v>892</v>
      </c>
      <c r="B895" t="str">
        <f ca="1">IFERROR(VLOOKUP($A895,'vbs,vba'!$G:$H,2,FALSE),"")</f>
        <v/>
      </c>
      <c r="C895" t="str">
        <f ca="1">IFERROR(VLOOKUP($A895,python!$I:$J,2,FALSE),"")</f>
        <v/>
      </c>
      <c r="D895" t="str">
        <f ca="1">IFERROR(VLOOKUP($A895,bat!$F:$G,2,FALSE),"")</f>
        <v/>
      </c>
      <c r="E895" t="str">
        <f ca="1">IFERROR(VLOOKUP($A895,shell!$F:$G,2,FALSE),"")</f>
        <v>xargs コマンドの間に展開(-I)</v>
      </c>
      <c r="F895" t="str">
        <f t="shared" ca="1" si="120"/>
        <v>xargs コマンドの間に展開(-I)</v>
      </c>
      <c r="G895">
        <f ca="1">IF($F895="","",COUNTIF($F$3:$F895,$F895))</f>
        <v>1</v>
      </c>
      <c r="H895">
        <f ca="1">IF(OR(G895&gt;1,G895=""),"",COUNTIF($G$3:$G895,1))</f>
        <v>803</v>
      </c>
      <c r="I895" t="str">
        <f t="shared" ca="1" si="121"/>
        <v>xargs コマンドの間に展開(-I)</v>
      </c>
      <c r="K895">
        <f t="shared" si="125"/>
        <v>892</v>
      </c>
      <c r="L895" t="str">
        <f t="shared" ca="1" si="118"/>
        <v>特殊変数 現在実行シェルプロセスID</v>
      </c>
      <c r="M895" s="2" t="str">
        <f t="shared" ca="1" si="126"/>
        <v/>
      </c>
      <c r="N895" s="2" t="str">
        <f t="shared" ca="1" si="119"/>
        <v/>
      </c>
      <c r="O895" s="2" t="str">
        <f t="shared" ca="1" si="122"/>
        <v/>
      </c>
      <c r="P895" s="2" t="str">
        <f t="shared" ca="1" si="123"/>
        <v>○</v>
      </c>
    </row>
    <row r="896" spans="1:16">
      <c r="A896">
        <f t="shared" si="124"/>
        <v>893</v>
      </c>
      <c r="B896" t="str">
        <f ca="1">IFERROR(VLOOKUP($A896,'vbs,vba'!$G:$H,2,FALSE),"")</f>
        <v/>
      </c>
      <c r="C896" t="str">
        <f ca="1">IFERROR(VLOOKUP($A896,python!$I:$J,2,FALSE),"")</f>
        <v/>
      </c>
      <c r="D896" t="str">
        <f ca="1">IFERROR(VLOOKUP($A896,bat!$F:$G,2,FALSE),"")</f>
        <v/>
      </c>
      <c r="E896" t="str">
        <f ca="1">IFERROR(VLOOKUP($A896,shell!$F:$G,2,FALSE),"")</f>
        <v>標準出力書き出し(改行付与)</v>
      </c>
      <c r="F896" t="str">
        <f t="shared" ca="1" si="120"/>
        <v>標準出力書き出し(改行付与)</v>
      </c>
      <c r="G896">
        <f ca="1">IF($F896="","",COUNTIF($F$3:$F896,$F896))</f>
        <v>1</v>
      </c>
      <c r="H896">
        <f ca="1">IF(OR(G896&gt;1,G896=""),"",COUNTIF($G$3:$G896,1))</f>
        <v>804</v>
      </c>
      <c r="I896" t="str">
        <f t="shared" ca="1" si="121"/>
        <v>標準出力書き出し(改行付与)</v>
      </c>
      <c r="K896">
        <f t="shared" si="125"/>
        <v>893</v>
      </c>
      <c r="L896" t="str">
        <f t="shared" ca="1" si="118"/>
        <v>特殊変数 最終実行バックグラウンドプロセスID</v>
      </c>
      <c r="M896" s="2" t="str">
        <f t="shared" ca="1" si="126"/>
        <v/>
      </c>
      <c r="N896" s="2" t="str">
        <f t="shared" ca="1" si="119"/>
        <v/>
      </c>
      <c r="O896" s="2" t="str">
        <f t="shared" ca="1" si="122"/>
        <v/>
      </c>
      <c r="P896" s="2" t="str">
        <f t="shared" ca="1" si="123"/>
        <v>○</v>
      </c>
    </row>
    <row r="897" spans="1:16">
      <c r="A897">
        <f t="shared" si="124"/>
        <v>894</v>
      </c>
      <c r="B897" t="str">
        <f ca="1">IFERROR(VLOOKUP($A897,'vbs,vba'!$G:$H,2,FALSE),"")</f>
        <v/>
      </c>
      <c r="C897" t="str">
        <f ca="1">IFERROR(VLOOKUP($A897,python!$I:$J,2,FALSE),"")</f>
        <v/>
      </c>
      <c r="D897" t="str">
        <f ca="1">IFERROR(VLOOKUP($A897,bat!$F:$G,2,FALSE),"")</f>
        <v/>
      </c>
      <c r="E897" t="str">
        <f ca="1">IFERROR(VLOOKUP($A897,shell!$F:$G,2,FALSE),"")</f>
        <v>標準出力書き出し(改行なし)</v>
      </c>
      <c r="F897" t="str">
        <f t="shared" ca="1" si="120"/>
        <v>標準出力書き出し(改行なし)</v>
      </c>
      <c r="G897">
        <f ca="1">IF($F897="","",COUNTIF($F$3:$F897,$F897))</f>
        <v>1</v>
      </c>
      <c r="H897">
        <f ca="1">IF(OR(G897&gt;1,G897=""),"",COUNTIF($G$3:$G897,1))</f>
        <v>805</v>
      </c>
      <c r="I897" t="str">
        <f t="shared" ca="1" si="121"/>
        <v>標準出力書き出し(改行なし)</v>
      </c>
      <c r="K897">
        <f t="shared" si="125"/>
        <v>894</v>
      </c>
      <c r="L897" t="str">
        <f t="shared" ca="1" si="118"/>
        <v>特殊変数 直前実行したコマンド終了ステータス</v>
      </c>
      <c r="M897" s="2" t="str">
        <f t="shared" ca="1" si="126"/>
        <v/>
      </c>
      <c r="N897" s="2" t="str">
        <f t="shared" ca="1" si="119"/>
        <v/>
      </c>
      <c r="O897" s="2" t="str">
        <f t="shared" ca="1" si="122"/>
        <v/>
      </c>
      <c r="P897" s="2" t="str">
        <f t="shared" ca="1" si="123"/>
        <v>○</v>
      </c>
    </row>
    <row r="898" spans="1:16">
      <c r="A898">
        <f t="shared" si="124"/>
        <v>895</v>
      </c>
      <c r="B898" t="str">
        <f ca="1">IFERROR(VLOOKUP($A898,'vbs,vba'!$G:$H,2,FALSE),"")</f>
        <v/>
      </c>
      <c r="C898" t="str">
        <f ca="1">IFERROR(VLOOKUP($A898,python!$I:$J,2,FALSE),"")</f>
        <v/>
      </c>
      <c r="D898" t="str">
        <f ca="1">IFERROR(VLOOKUP($A898,bat!$F:$G,2,FALSE),"")</f>
        <v/>
      </c>
      <c r="E898" t="str">
        <f ca="1">IFERROR(VLOOKUP($A898,shell!$F:$G,2,FALSE),"")</f>
        <v>標準入力取得１</v>
      </c>
      <c r="F898" t="str">
        <f t="shared" ca="1" si="120"/>
        <v>標準入力取得１</v>
      </c>
      <c r="G898">
        <f ca="1">IF($F898="","",COUNTIF($F$3:$F898,$F898))</f>
        <v>1</v>
      </c>
      <c r="H898">
        <f ca="1">IF(OR(G898&gt;1,G898=""),"",COUNTIF($G$3:$G898,1))</f>
        <v>806</v>
      </c>
      <c r="I898" t="str">
        <f t="shared" ca="1" si="121"/>
        <v>標準入力取得１</v>
      </c>
      <c r="K898">
        <f t="shared" si="125"/>
        <v>895</v>
      </c>
      <c r="L898" t="str">
        <f t="shared" ca="1" si="118"/>
        <v>特殊変数 最終実行コマンド最終引数</v>
      </c>
      <c r="M898" s="2" t="str">
        <f t="shared" ca="1" si="126"/>
        <v/>
      </c>
      <c r="N898" s="2" t="str">
        <f t="shared" ca="1" si="119"/>
        <v/>
      </c>
      <c r="O898" s="2" t="str">
        <f t="shared" ca="1" si="122"/>
        <v/>
      </c>
      <c r="P898" s="2" t="str">
        <f t="shared" ca="1" si="123"/>
        <v>○</v>
      </c>
    </row>
    <row r="899" spans="1:16">
      <c r="A899">
        <f t="shared" si="124"/>
        <v>896</v>
      </c>
      <c r="B899" t="str">
        <f ca="1">IFERROR(VLOOKUP($A899,'vbs,vba'!$G:$H,2,FALSE),"")</f>
        <v/>
      </c>
      <c r="C899" t="str">
        <f ca="1">IFERROR(VLOOKUP($A899,python!$I:$J,2,FALSE),"")</f>
        <v/>
      </c>
      <c r="D899" t="str">
        <f ca="1">IFERROR(VLOOKUP($A899,bat!$F:$G,2,FALSE),"")</f>
        <v/>
      </c>
      <c r="E899" t="str">
        <f ca="1">IFERROR(VLOOKUP($A899,shell!$F:$G,2,FALSE),"")</f>
        <v>標準入力取得２</v>
      </c>
      <c r="F899" t="str">
        <f t="shared" ca="1" si="120"/>
        <v>標準入力取得２</v>
      </c>
      <c r="G899">
        <f ca="1">IF($F899="","",COUNTIF($F$3:$F899,$F899))</f>
        <v>1</v>
      </c>
      <c r="H899">
        <f ca="1">IF(OR(G899&gt;1,G899=""),"",COUNTIF($G$3:$G899,1))</f>
        <v>807</v>
      </c>
      <c r="I899" t="str">
        <f t="shared" ca="1" si="121"/>
        <v>標準入力取得２</v>
      </c>
      <c r="K899">
        <f t="shared" si="125"/>
        <v>896</v>
      </c>
      <c r="L899" t="str">
        <f t="shared" ca="1" si="118"/>
        <v>if (何もしない)</v>
      </c>
      <c r="M899" s="2" t="str">
        <f t="shared" ca="1" si="126"/>
        <v/>
      </c>
      <c r="N899" s="2" t="str">
        <f t="shared" ca="1" si="119"/>
        <v/>
      </c>
      <c r="O899" s="2" t="str">
        <f t="shared" ca="1" si="122"/>
        <v/>
      </c>
      <c r="P899" s="2" t="str">
        <f t="shared" ca="1" si="123"/>
        <v>○</v>
      </c>
    </row>
    <row r="900" spans="1:16">
      <c r="A900">
        <f t="shared" si="124"/>
        <v>897</v>
      </c>
      <c r="B900" t="str">
        <f ca="1">IFERROR(VLOOKUP($A900,'vbs,vba'!$G:$H,2,FALSE),"")</f>
        <v/>
      </c>
      <c r="C900" t="str">
        <f ca="1">IFERROR(VLOOKUP($A900,python!$I:$J,2,FALSE),"")</f>
        <v/>
      </c>
      <c r="D900" t="str">
        <f ca="1">IFERROR(VLOOKUP($A900,bat!$F:$G,2,FALSE),"")</f>
        <v/>
      </c>
      <c r="E900" t="str">
        <f ca="1">IFERROR(VLOOKUP($A900,shell!$F:$G,2,FALSE),"")</f>
        <v>C言語のprintfと同等</v>
      </c>
      <c r="F900" t="str">
        <f t="shared" ca="1" si="120"/>
        <v>C言語のprintfと同等</v>
      </c>
      <c r="G900">
        <f ca="1">IF($F900="","",COUNTIF($F$3:$F900,$F900))</f>
        <v>1</v>
      </c>
      <c r="H900">
        <f ca="1">IF(OR(G900&gt;1,G900=""),"",COUNTIF($G$3:$G900,1))</f>
        <v>808</v>
      </c>
      <c r="I900" t="str">
        <f t="shared" ca="1" si="121"/>
        <v>C言語のprintfと同等</v>
      </c>
      <c r="K900">
        <f t="shared" si="125"/>
        <v>897</v>
      </c>
      <c r="L900" t="str">
        <f t="shared" ref="L900:L963" ca="1" si="127">IFERROR(VLOOKUP($K900,$H:$I,2,FALSE),"")</f>
        <v>if (否定)</v>
      </c>
      <c r="M900" s="2" t="str">
        <f t="shared" ca="1" si="126"/>
        <v/>
      </c>
      <c r="N900" s="2" t="str">
        <f t="shared" ref="N900:N963" ca="1" si="128">IF($L900="","",IF(COUNTIF(C$3:C$1004,$L900)&gt;0,"○",""))</f>
        <v/>
      </c>
      <c r="O900" s="2" t="str">
        <f t="shared" ca="1" si="122"/>
        <v/>
      </c>
      <c r="P900" s="2" t="str">
        <f t="shared" ca="1" si="123"/>
        <v>○</v>
      </c>
    </row>
    <row r="901" spans="1:16">
      <c r="A901">
        <f t="shared" si="124"/>
        <v>898</v>
      </c>
      <c r="B901" t="str">
        <f ca="1">IFERROR(VLOOKUP($A901,'vbs,vba'!$G:$H,2,FALSE),"")</f>
        <v/>
      </c>
      <c r="C901" t="str">
        <f ca="1">IFERROR(VLOOKUP($A901,python!$I:$J,2,FALSE),"")</f>
        <v/>
      </c>
      <c r="D901" t="str">
        <f ca="1">IFERROR(VLOOKUP($A901,bat!$F:$G,2,FALSE),"")</f>
        <v/>
      </c>
      <c r="E901" t="str">
        <f ca="1">IFERROR(VLOOKUP($A901,shell!$F:$G,2,FALSE),"")</f>
        <v>永遠文字列表示</v>
      </c>
      <c r="F901" t="str">
        <f t="shared" ref="F901:F964" ca="1" si="129">B901&amp;C901&amp;D901&amp;E901</f>
        <v>永遠文字列表示</v>
      </c>
      <c r="G901">
        <f ca="1">IF($F901="","",COUNTIF($F$3:$F901,$F901))</f>
        <v>1</v>
      </c>
      <c r="H901">
        <f ca="1">IF(OR(G901&gt;1,G901=""),"",COUNTIF($G$3:$G901,1))</f>
        <v>809</v>
      </c>
      <c r="I901" t="str">
        <f t="shared" ref="I901:I964" ca="1" si="130">F901</f>
        <v>永遠文字列表示</v>
      </c>
      <c r="K901">
        <f t="shared" si="125"/>
        <v>898</v>
      </c>
      <c r="L901" t="str">
        <f t="shared" ca="1" si="127"/>
        <v>if 論理結合(AND)</v>
      </c>
      <c r="M901" s="2" t="str">
        <f t="shared" ca="1" si="126"/>
        <v/>
      </c>
      <c r="N901" s="2" t="str">
        <f t="shared" ca="1" si="128"/>
        <v/>
      </c>
      <c r="O901" s="2" t="str">
        <f t="shared" ref="O901:O964" ca="1" si="131">IF($L901="","",IF(COUNTIF(D$3:D$1004,$L901)&gt;0,"○",""))</f>
        <v/>
      </c>
      <c r="P901" s="2" t="str">
        <f t="shared" ref="P901:P964" ca="1" si="132">IF($L901="","",IF(COUNTIF(E$3:E$1004,$L901)&gt;0,"○",""))</f>
        <v>○</v>
      </c>
    </row>
    <row r="902" spans="1:16">
      <c r="A902">
        <f t="shared" ref="A902:A965" si="133">A901+1</f>
        <v>899</v>
      </c>
      <c r="B902" t="str">
        <f ca="1">IFERROR(VLOOKUP($A902,'vbs,vba'!$G:$H,2,FALSE),"")</f>
        <v/>
      </c>
      <c r="C902" t="str">
        <f ca="1">IFERROR(VLOOKUP($A902,python!$I:$J,2,FALSE),"")</f>
        <v/>
      </c>
      <c r="D902" t="str">
        <f ca="1">IFERROR(VLOOKUP($A902,bat!$F:$G,2,FALSE),"")</f>
        <v/>
      </c>
      <c r="E902" t="str">
        <f ca="1">IFERROR(VLOOKUP($A902,shell!$F:$G,2,FALSE),"")</f>
        <v>何もしない(戻り値1)</v>
      </c>
      <c r="F902" t="str">
        <f t="shared" ca="1" si="129"/>
        <v>何もしない(戻り値1)</v>
      </c>
      <c r="G902">
        <f ca="1">IF($F902="","",COUNTIF($F$3:$F902,$F902))</f>
        <v>1</v>
      </c>
      <c r="H902">
        <f ca="1">IF(OR(G902&gt;1,G902=""),"",COUNTIF($G$3:$G902,1))</f>
        <v>810</v>
      </c>
      <c r="I902" t="str">
        <f t="shared" ca="1" si="130"/>
        <v>何もしない(戻り値1)</v>
      </c>
      <c r="K902">
        <f t="shared" ref="K902:K965" si="134">K901+1</f>
        <v>899</v>
      </c>
      <c r="L902" t="str">
        <f t="shared" ca="1" si="127"/>
        <v>if 論理結合(OR)</v>
      </c>
      <c r="M902" s="2" t="str">
        <f t="shared" ca="1" si="126"/>
        <v/>
      </c>
      <c r="N902" s="2" t="str">
        <f t="shared" ca="1" si="128"/>
        <v/>
      </c>
      <c r="O902" s="2" t="str">
        <f t="shared" ca="1" si="131"/>
        <v/>
      </c>
      <c r="P902" s="2" t="str">
        <f t="shared" ca="1" si="132"/>
        <v>○</v>
      </c>
    </row>
    <row r="903" spans="1:16">
      <c r="A903">
        <f t="shared" si="133"/>
        <v>900</v>
      </c>
      <c r="B903" t="str">
        <f ca="1">IFERROR(VLOOKUP($A903,'vbs,vba'!$G:$H,2,FALSE),"")</f>
        <v/>
      </c>
      <c r="C903" t="str">
        <f ca="1">IFERROR(VLOOKUP($A903,python!$I:$J,2,FALSE),"")</f>
        <v/>
      </c>
      <c r="D903" t="str">
        <f ca="1">IFERROR(VLOOKUP($A903,bat!$F:$G,2,FALSE),"")</f>
        <v/>
      </c>
      <c r="E903" t="str">
        <f ca="1">IFERROR(VLOOKUP($A903,shell!$F:$G,2,FALSE),"")</f>
        <v>何もしない(戻り値0)</v>
      </c>
      <c r="F903" t="str">
        <f t="shared" ca="1" si="129"/>
        <v>何もしない(戻り値0)</v>
      </c>
      <c r="G903">
        <f ca="1">IF($F903="","",COUNTIF($F$3:$F903,$F903))</f>
        <v>1</v>
      </c>
      <c r="H903">
        <f ca="1">IF(OR(G903&gt;1,G903=""),"",COUNTIF($G$3:$G903,1))</f>
        <v>811</v>
      </c>
      <c r="I903" t="str">
        <f t="shared" ca="1" si="130"/>
        <v>何もしない(戻り値0)</v>
      </c>
      <c r="K903">
        <f t="shared" si="134"/>
        <v>900</v>
      </c>
      <c r="L903" t="str">
        <f t="shared" ca="1" si="127"/>
        <v>if 論理結合(AND+OR)</v>
      </c>
      <c r="M903" s="2" t="str">
        <f t="shared" ca="1" si="126"/>
        <v/>
      </c>
      <c r="N903" s="2" t="str">
        <f t="shared" ca="1" si="128"/>
        <v/>
      </c>
      <c r="O903" s="2" t="str">
        <f t="shared" ca="1" si="131"/>
        <v/>
      </c>
      <c r="P903" s="2" t="str">
        <f t="shared" ca="1" si="132"/>
        <v>○</v>
      </c>
    </row>
    <row r="904" spans="1:16">
      <c r="A904">
        <f t="shared" si="133"/>
        <v>901</v>
      </c>
      <c r="B904" t="str">
        <f ca="1">IFERROR(VLOOKUP($A904,'vbs,vba'!$G:$H,2,FALSE),"")</f>
        <v/>
      </c>
      <c r="C904" t="str">
        <f ca="1">IFERROR(VLOOKUP($A904,python!$I:$J,2,FALSE),"")</f>
        <v/>
      </c>
      <c r="D904" t="str">
        <f ca="1">IFERROR(VLOOKUP($A904,bat!$F:$G,2,FALSE),"")</f>
        <v/>
      </c>
      <c r="E904" t="str">
        <f ca="1">IFERROR(VLOOKUP($A904,shell!$F:$G,2,FALSE),"")</f>
        <v>コマンド戻り値判定</v>
      </c>
      <c r="F904" t="str">
        <f t="shared" ca="1" si="129"/>
        <v>コマンド戻り値判定</v>
      </c>
      <c r="G904">
        <f ca="1">IF($F904="","",COUNTIF($F$3:$F904,$F904))</f>
        <v>1</v>
      </c>
      <c r="H904">
        <f ca="1">IF(OR(G904&gt;1,G904=""),"",COUNTIF($G$3:$G904,1))</f>
        <v>812</v>
      </c>
      <c r="I904" t="str">
        <f t="shared" ca="1" si="130"/>
        <v>コマンド戻り値判定</v>
      </c>
      <c r="K904">
        <f t="shared" si="134"/>
        <v>901</v>
      </c>
      <c r="L904" t="str">
        <f t="shared" ca="1" si="127"/>
        <v>switch</v>
      </c>
      <c r="M904" s="2" t="str">
        <f t="shared" ca="1" si="126"/>
        <v/>
      </c>
      <c r="N904" s="2" t="str">
        <f t="shared" ca="1" si="128"/>
        <v/>
      </c>
      <c r="O904" s="2" t="str">
        <f t="shared" ca="1" si="131"/>
        <v/>
      </c>
      <c r="P904" s="2" t="str">
        <f t="shared" ca="1" si="132"/>
        <v>○</v>
      </c>
    </row>
    <row r="905" spans="1:16">
      <c r="A905">
        <f t="shared" si="133"/>
        <v>902</v>
      </c>
      <c r="B905" t="str">
        <f ca="1">IFERROR(VLOOKUP($A905,'vbs,vba'!$G:$H,2,FALSE),"")</f>
        <v/>
      </c>
      <c r="C905" t="str">
        <f ca="1">IFERROR(VLOOKUP($A905,python!$I:$J,2,FALSE),"")</f>
        <v/>
      </c>
      <c r="D905" t="str">
        <f ca="1">IFERROR(VLOOKUP($A905,bat!$F:$G,2,FALSE),"")</f>
        <v/>
      </c>
      <c r="E905" t="str">
        <f ca="1">IFERROR(VLOOKUP($A905,shell!$F:$G,2,FALSE),"")</f>
        <v>出力を複数ファイルやプロセスに渡す</v>
      </c>
      <c r="F905" t="str">
        <f t="shared" ca="1" si="129"/>
        <v>出力を複数ファイルやプロセスに渡す</v>
      </c>
      <c r="G905">
        <f ca="1">IF($F905="","",COUNTIF($F$3:$F905,$F905))</f>
        <v>1</v>
      </c>
      <c r="H905">
        <f ca="1">IF(OR(G905&gt;1,G905=""),"",COUNTIF($G$3:$G905,1))</f>
        <v>813</v>
      </c>
      <c r="I905" t="str">
        <f t="shared" ca="1" si="130"/>
        <v>出力を複数ファイルやプロセスに渡す</v>
      </c>
      <c r="K905">
        <f t="shared" si="134"/>
        <v>902</v>
      </c>
      <c r="L905" t="str">
        <f t="shared" ca="1" si="127"/>
        <v>for(数値指定1)</v>
      </c>
      <c r="M905" s="2" t="str">
        <f t="shared" ca="1" si="126"/>
        <v/>
      </c>
      <c r="N905" s="2" t="str">
        <f t="shared" ca="1" si="128"/>
        <v/>
      </c>
      <c r="O905" s="2" t="str">
        <f t="shared" ca="1" si="131"/>
        <v/>
      </c>
      <c r="P905" s="2" t="str">
        <f t="shared" ca="1" si="132"/>
        <v>○</v>
      </c>
    </row>
    <row r="906" spans="1:16">
      <c r="A906">
        <f t="shared" si="133"/>
        <v>903</v>
      </c>
      <c r="B906" t="str">
        <f ca="1">IFERROR(VLOOKUP($A906,'vbs,vba'!$G:$H,2,FALSE),"")</f>
        <v/>
      </c>
      <c r="C906" t="str">
        <f ca="1">IFERROR(VLOOKUP($A906,python!$I:$J,2,FALSE),"")</f>
        <v/>
      </c>
      <c r="D906" t="str">
        <f ca="1">IFERROR(VLOOKUP($A906,bat!$F:$G,2,FALSE),"")</f>
        <v/>
      </c>
      <c r="E906" t="str">
        <f ca="1">IFERROR(VLOOKUP($A906,shell!$F:$G,2,FALSE),"")</f>
        <v>エイリアス設定</v>
      </c>
      <c r="F906" t="str">
        <f t="shared" ca="1" si="129"/>
        <v>エイリアス設定</v>
      </c>
      <c r="G906">
        <f ca="1">IF($F906="","",COUNTIF($F$3:$F906,$F906))</f>
        <v>1</v>
      </c>
      <c r="H906">
        <f ca="1">IF(OR(G906&gt;1,G906=""),"",COUNTIF($G$3:$G906,1))</f>
        <v>814</v>
      </c>
      <c r="I906" t="str">
        <f t="shared" ca="1" si="130"/>
        <v>エイリアス設定</v>
      </c>
      <c r="K906">
        <f t="shared" si="134"/>
        <v>903</v>
      </c>
      <c r="L906" t="str">
        <f t="shared" ca="1" si="127"/>
        <v>for(数値指定2)</v>
      </c>
      <c r="M906" s="2" t="str">
        <f t="shared" ca="1" si="126"/>
        <v/>
      </c>
      <c r="N906" s="2" t="str">
        <f t="shared" ca="1" si="128"/>
        <v/>
      </c>
      <c r="O906" s="2" t="str">
        <f t="shared" ca="1" si="131"/>
        <v/>
      </c>
      <c r="P906" s="2" t="str">
        <f t="shared" ca="1" si="132"/>
        <v>○</v>
      </c>
    </row>
    <row r="907" spans="1:16">
      <c r="A907">
        <f t="shared" si="133"/>
        <v>904</v>
      </c>
      <c r="B907" t="str">
        <f ca="1">IFERROR(VLOOKUP($A907,'vbs,vba'!$G:$H,2,FALSE),"")</f>
        <v/>
      </c>
      <c r="C907" t="str">
        <f ca="1">IFERROR(VLOOKUP($A907,python!$I:$J,2,FALSE),"")</f>
        <v/>
      </c>
      <c r="D907" t="str">
        <f ca="1">IFERROR(VLOOKUP($A907,bat!$F:$G,2,FALSE),"")</f>
        <v/>
      </c>
      <c r="E907" t="str">
        <f ca="1">IFERROR(VLOOKUP($A907,shell!$F:$G,2,FALSE),"")</f>
        <v>エイリアス解除</v>
      </c>
      <c r="F907" t="str">
        <f t="shared" ca="1" si="129"/>
        <v>エイリアス解除</v>
      </c>
      <c r="G907">
        <f ca="1">IF($F907="","",COUNTIF($F$3:$F907,$F907))</f>
        <v>1</v>
      </c>
      <c r="H907">
        <f ca="1">IF(OR(G907&gt;1,G907=""),"",COUNTIF($G$3:$G907,1))</f>
        <v>815</v>
      </c>
      <c r="I907" t="str">
        <f t="shared" ca="1" si="130"/>
        <v>エイリアス解除</v>
      </c>
      <c r="K907">
        <f t="shared" si="134"/>
        <v>904</v>
      </c>
      <c r="L907" t="str">
        <f t="shared" ca="1" si="127"/>
        <v>for(文字列リスト指定)</v>
      </c>
      <c r="M907" s="2" t="str">
        <f t="shared" ca="1" si="126"/>
        <v/>
      </c>
      <c r="N907" s="2" t="str">
        <f t="shared" ca="1" si="128"/>
        <v/>
      </c>
      <c r="O907" s="2" t="str">
        <f t="shared" ca="1" si="131"/>
        <v/>
      </c>
      <c r="P907" s="2" t="str">
        <f t="shared" ca="1" si="132"/>
        <v>○</v>
      </c>
    </row>
    <row r="908" spans="1:16">
      <c r="A908">
        <f t="shared" si="133"/>
        <v>905</v>
      </c>
      <c r="B908" t="str">
        <f ca="1">IFERROR(VLOOKUP($A908,'vbs,vba'!$G:$H,2,FALSE),"")</f>
        <v/>
      </c>
      <c r="C908" t="str">
        <f ca="1">IFERROR(VLOOKUP($A908,python!$I:$J,2,FALSE),"")</f>
        <v/>
      </c>
      <c r="D908" t="str">
        <f ca="1">IFERROR(VLOOKUP($A908,bat!$F:$G,2,FALSE),"")</f>
        <v/>
      </c>
      <c r="E908" t="str">
        <f ca="1">IFERROR(VLOOKUP($A908,shell!$F:$G,2,FALSE),"")</f>
        <v>管理者権限実行</v>
      </c>
      <c r="F908" t="str">
        <f t="shared" ca="1" si="129"/>
        <v>管理者権限実行</v>
      </c>
      <c r="G908">
        <f ca="1">IF($F908="","",COUNTIF($F$3:$F908,$F908))</f>
        <v>1</v>
      </c>
      <c r="H908">
        <f ca="1">IF(OR(G908&gt;1,G908=""),"",COUNTIF($G$3:$G908,1))</f>
        <v>816</v>
      </c>
      <c r="I908" t="str">
        <f t="shared" ca="1" si="130"/>
        <v>管理者権限実行</v>
      </c>
      <c r="K908">
        <f t="shared" si="134"/>
        <v>905</v>
      </c>
      <c r="L908" t="str">
        <f t="shared" ca="1" si="127"/>
        <v>for(配列指定)</v>
      </c>
      <c r="M908" s="2" t="str">
        <f t="shared" ca="1" si="126"/>
        <v/>
      </c>
      <c r="N908" s="2" t="str">
        <f t="shared" ca="1" si="128"/>
        <v/>
      </c>
      <c r="O908" s="2" t="str">
        <f t="shared" ca="1" si="131"/>
        <v/>
      </c>
      <c r="P908" s="2" t="str">
        <f t="shared" ca="1" si="132"/>
        <v>○</v>
      </c>
    </row>
    <row r="909" spans="1:16">
      <c r="A909">
        <f t="shared" si="133"/>
        <v>906</v>
      </c>
      <c r="B909" t="str">
        <f ca="1">IFERROR(VLOOKUP($A909,'vbs,vba'!$G:$H,2,FALSE),"")</f>
        <v/>
      </c>
      <c r="C909" t="str">
        <f ca="1">IFERROR(VLOOKUP($A909,python!$I:$J,2,FALSE),"")</f>
        <v/>
      </c>
      <c r="D909" t="str">
        <f ca="1">IFERROR(VLOOKUP($A909,bat!$F:$G,2,FALSE),"")</f>
        <v/>
      </c>
      <c r="E909" t="str">
        <f ca="1">IFERROR(VLOOKUP($A909,shell!$F:$G,2,FALSE),"")</f>
        <v>ユーザ切り替え</v>
      </c>
      <c r="F909" t="str">
        <f t="shared" ca="1" si="129"/>
        <v>ユーザ切り替え</v>
      </c>
      <c r="G909">
        <f ca="1">IF($F909="","",COUNTIF($F$3:$F909,$F909))</f>
        <v>1</v>
      </c>
      <c r="H909">
        <f ca="1">IF(OR(G909&gt;1,G909=""),"",COUNTIF($G$3:$G909,1))</f>
        <v>817</v>
      </c>
      <c r="I909" t="str">
        <f t="shared" ca="1" si="130"/>
        <v>ユーザ切り替え</v>
      </c>
      <c r="K909">
        <f t="shared" si="134"/>
        <v>906</v>
      </c>
      <c r="L909" t="str">
        <f t="shared" ca="1" si="127"/>
        <v>for(ファイル指定)</v>
      </c>
      <c r="M909" s="2" t="str">
        <f t="shared" ca="1" si="126"/>
        <v/>
      </c>
      <c r="N909" s="2" t="str">
        <f t="shared" ca="1" si="128"/>
        <v/>
      </c>
      <c r="O909" s="2" t="str">
        <f t="shared" ca="1" si="131"/>
        <v/>
      </c>
      <c r="P909" s="2" t="str">
        <f t="shared" ca="1" si="132"/>
        <v>○</v>
      </c>
    </row>
    <row r="910" spans="1:16">
      <c r="A910">
        <f t="shared" si="133"/>
        <v>907</v>
      </c>
      <c r="B910" t="str">
        <f ca="1">IFERROR(VLOOKUP($A910,'vbs,vba'!$G:$H,2,FALSE),"")</f>
        <v/>
      </c>
      <c r="C910" t="str">
        <f ca="1">IFERROR(VLOOKUP($A910,python!$I:$J,2,FALSE),"")</f>
        <v/>
      </c>
      <c r="D910" t="str">
        <f ca="1">IFERROR(VLOOKUP($A910,bat!$F:$G,2,FALSE),"")</f>
        <v/>
      </c>
      <c r="E910" t="str">
        <f ca="1">IFERROR(VLOOKUP($A910,shell!$F:$G,2,FALSE),"")</f>
        <v>コマンド履歴表示</v>
      </c>
      <c r="F910" t="str">
        <f t="shared" ca="1" si="129"/>
        <v>コマンド履歴表示</v>
      </c>
      <c r="G910">
        <f ca="1">IF($F910="","",COUNTIF($F$3:$F910,$F910))</f>
        <v>1</v>
      </c>
      <c r="H910">
        <f ca="1">IF(OR(G910&gt;1,G910=""),"",COUNTIF($G$3:$G910,1))</f>
        <v>818</v>
      </c>
      <c r="I910" t="str">
        <f t="shared" ca="1" si="130"/>
        <v>コマンド履歴表示</v>
      </c>
      <c r="K910">
        <f t="shared" si="134"/>
        <v>907</v>
      </c>
      <c r="L910" t="str">
        <f t="shared" ca="1" si="127"/>
        <v>for(引数操作＠for each形式)</v>
      </c>
      <c r="M910" s="2" t="str">
        <f t="shared" ca="1" si="126"/>
        <v/>
      </c>
      <c r="N910" s="2" t="str">
        <f t="shared" ca="1" si="128"/>
        <v/>
      </c>
      <c r="O910" s="2" t="str">
        <f t="shared" ca="1" si="131"/>
        <v/>
      </c>
      <c r="P910" s="2" t="str">
        <f t="shared" ca="1" si="132"/>
        <v>○</v>
      </c>
    </row>
    <row r="911" spans="1:16">
      <c r="A911">
        <f t="shared" si="133"/>
        <v>908</v>
      </c>
      <c r="B911" t="str">
        <f ca="1">IFERROR(VLOOKUP($A911,'vbs,vba'!$G:$H,2,FALSE),"")</f>
        <v/>
      </c>
      <c r="C911" t="str">
        <f ca="1">IFERROR(VLOOKUP($A911,python!$I:$J,2,FALSE),"")</f>
        <v/>
      </c>
      <c r="D911" t="str">
        <f ca="1">IFERROR(VLOOKUP($A911,bat!$F:$G,2,FALSE),"")</f>
        <v/>
      </c>
      <c r="E911" t="str">
        <f ca="1">IFERROR(VLOOKUP($A911,shell!$F:$G,2,FALSE),"")</f>
        <v>タイムリミット設定後コマンド実行</v>
      </c>
      <c r="F911" t="str">
        <f t="shared" ca="1" si="129"/>
        <v>タイムリミット設定後コマンド実行</v>
      </c>
      <c r="G911">
        <f ca="1">IF($F911="","",COUNTIF($F$3:$F911,$F911))</f>
        <v>1</v>
      </c>
      <c r="H911">
        <f ca="1">IF(OR(G911&gt;1,G911=""),"",COUNTIF($G$3:$G911,1))</f>
        <v>819</v>
      </c>
      <c r="I911" t="str">
        <f t="shared" ca="1" si="130"/>
        <v>タイムリミット設定後コマンド実行</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IFERROR(VLOOKUP($A912,python!$I:$J,2,FALSE),"")</f>
        <v/>
      </c>
      <c r="D912" t="str">
        <f ca="1">IFERROR(VLOOKUP($A912,bat!$F:$G,2,FALSE),"")</f>
        <v/>
      </c>
      <c r="E912" t="str">
        <f ca="1">IFERROR(VLOOKUP($A912,shell!$F:$G,2,FALSE),"")</f>
        <v>実行遅延</v>
      </c>
      <c r="F912" t="str">
        <f t="shared" ca="1" si="129"/>
        <v>実行遅延</v>
      </c>
      <c r="G912">
        <f ca="1">IF($F912="","",COUNTIF($F$3:$F912,$F912))</f>
        <v>1</v>
      </c>
      <c r="H912">
        <f ca="1">IF(OR(G912&gt;1,G912=""),"",COUNTIF($G$3:$G912,1))</f>
        <v>820</v>
      </c>
      <c r="I912" t="str">
        <f t="shared" ca="1" si="130"/>
        <v>実行遅延</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IFERROR(VLOOKUP($A913,python!$I:$J,2,FALSE),"")</f>
        <v/>
      </c>
      <c r="D913" t="str">
        <f ca="1">IFERROR(VLOOKUP($A913,bat!$F:$G,2,FALSE),"")</f>
        <v/>
      </c>
      <c r="E913" t="str">
        <f ca="1">IFERROR(VLOOKUP($A913,shell!$F:$G,2,FALSE),"")</f>
        <v>現在シェル表示</v>
      </c>
      <c r="F913" t="str">
        <f t="shared" ca="1" si="129"/>
        <v>現在シェル表示</v>
      </c>
      <c r="G913">
        <f ca="1">IF($F913="","",COUNTIF($F$3:$F913,$F913))</f>
        <v>1</v>
      </c>
      <c r="H913">
        <f ca="1">IF(OR(G913&gt;1,G913=""),"",COUNTIF($G$3:$G913,1))</f>
        <v>821</v>
      </c>
      <c r="I913" t="str">
        <f t="shared" ca="1" si="130"/>
        <v>現在シェル表示</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IFERROR(VLOOKUP($A914,python!$I:$J,2,FALSE),"")</f>
        <v/>
      </c>
      <c r="D914" t="str">
        <f ca="1">IFERROR(VLOOKUP($A914,bat!$F:$G,2,FALSE),"")</f>
        <v/>
      </c>
      <c r="E914" t="str">
        <f ca="1">IFERROR(VLOOKUP($A914,shell!$F:$G,2,FALSE),"")</f>
        <v>終了コマンド(関数)</v>
      </c>
      <c r="F914" t="str">
        <f t="shared" ca="1" si="129"/>
        <v>終了コマンド(関数)</v>
      </c>
      <c r="G914">
        <f ca="1">IF($F914="","",COUNTIF($F$3:$F914,$F914))</f>
        <v>1</v>
      </c>
      <c r="H914">
        <f ca="1">IF(OR(G914&gt;1,G914=""),"",COUNTIF($G$3:$G914,1))</f>
        <v>822</v>
      </c>
      <c r="I914" t="str">
        <f t="shared" ca="1" si="130"/>
        <v>終了コマンド(関数)</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IFERROR(VLOOKUP($A915,python!$I:$J,2,FALSE),"")</f>
        <v/>
      </c>
      <c r="D915" t="str">
        <f ca="1">IFERROR(VLOOKUP($A915,bat!$F:$G,2,FALSE),"")</f>
        <v/>
      </c>
      <c r="E915" t="str">
        <f ca="1">IFERROR(VLOOKUP($A915,shell!$F:$G,2,FALSE),"")</f>
        <v>終了コマンド(スクリプト/ターミナル)</v>
      </c>
      <c r="F915" t="str">
        <f t="shared" ca="1" si="129"/>
        <v>終了コマンド(スクリプト/ターミナル)</v>
      </c>
      <c r="G915">
        <f ca="1">IF($F915="","",COUNTIF($F$3:$F915,$F915))</f>
        <v>1</v>
      </c>
      <c r="H915">
        <f ca="1">IF(OR(G915&gt;1,G915=""),"",COUNTIF($G$3:$G915,1))</f>
        <v>823</v>
      </c>
      <c r="I915" t="str">
        <f t="shared" ca="1" si="130"/>
        <v>終了コマンド(スクリプト/ターミナル)</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IFERROR(VLOOKUP($A916,python!$I:$J,2,FALSE),"")</f>
        <v/>
      </c>
      <c r="D916" t="str">
        <f ca="1">IFERROR(VLOOKUP($A916,bat!$F:$G,2,FALSE),"")</f>
        <v/>
      </c>
      <c r="E916" t="str">
        <f ca="1">IFERROR(VLOOKUP($A916,shell!$F:$G,2,FALSE),"")</f>
        <v>set(変数一覧表示)</v>
      </c>
      <c r="F916" t="str">
        <f t="shared" ca="1" si="129"/>
        <v>set(変数一覧表示)</v>
      </c>
      <c r="G916">
        <f ca="1">IF($F916="","",COUNTIF($F$3:$F916,$F916))</f>
        <v>1</v>
      </c>
      <c r="H916">
        <f ca="1">IF(OR(G916&gt;1,G916=""),"",COUNTIF($G$3:$G916,1))</f>
        <v>824</v>
      </c>
      <c r="I916" t="str">
        <f t="shared" ca="1" si="130"/>
        <v>set(変数一覧表示)</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IFERROR(VLOOKUP($A917,python!$I:$J,2,FALSE),"")</f>
        <v/>
      </c>
      <c r="D917" t="str">
        <f ca="1">IFERROR(VLOOKUP($A917,bat!$F:$G,2,FALSE),"")</f>
        <v/>
      </c>
      <c r="E917" t="str">
        <f ca="1">IFERROR(VLOOKUP($A917,shell!$F:$G,2,FALSE),"")</f>
        <v>set(シェルオプション表示)</v>
      </c>
      <c r="F917" t="str">
        <f t="shared" ca="1" si="129"/>
        <v>set(シェルオプション表示)</v>
      </c>
      <c r="G917">
        <f ca="1">IF($F917="","",COUNTIF($F$3:$F917,$F917))</f>
        <v>1</v>
      </c>
      <c r="H917">
        <f ca="1">IF(OR(G917&gt;1,G917=""),"",COUNTIF($G$3:$G917,1))</f>
        <v>825</v>
      </c>
      <c r="I917" t="str">
        <f t="shared" ca="1" si="130"/>
        <v>set(シェルオプション表示)</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IFERROR(VLOOKUP($A918,python!$I:$J,2,FALSE),"")</f>
        <v/>
      </c>
      <c r="D918" t="str">
        <f ca="1">IFERROR(VLOOKUP($A918,bat!$F:$G,2,FALSE),"")</f>
        <v/>
      </c>
      <c r="E918" t="str">
        <f ca="1">IFERROR(VLOOKUP($A918,shell!$F:$G,2,FALSE),"")</f>
        <v>set(エラー発生時強制終了)</v>
      </c>
      <c r="F918" t="str">
        <f t="shared" ca="1" si="129"/>
        <v>set(エラー発生時強制終了)</v>
      </c>
      <c r="G918">
        <f ca="1">IF($F918="","",COUNTIF($F$3:$F918,$F918))</f>
        <v>1</v>
      </c>
      <c r="H918">
        <f ca="1">IF(OR(G918&gt;1,G918=""),"",COUNTIF($G$3:$G918,1))</f>
        <v>826</v>
      </c>
      <c r="I918" t="str">
        <f t="shared" ca="1" si="130"/>
        <v>set(エラー発生時強制終了)</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IFERROR(VLOOKUP($A919,python!$I:$J,2,FALSE),"")</f>
        <v/>
      </c>
      <c r="D919" t="str">
        <f ca="1">IFERROR(VLOOKUP($A919,bat!$F:$G,2,FALSE),"")</f>
        <v/>
      </c>
      <c r="E919" t="str">
        <f ca="1">IFERROR(VLOOKUP($A919,shell!$F:$G,2,FALSE),"")</f>
        <v>set(未定義変数使用時強制終了)</v>
      </c>
      <c r="F919" t="str">
        <f t="shared" ca="1" si="129"/>
        <v>set(未定義変数使用時強制終了)</v>
      </c>
      <c r="G919">
        <f ca="1">IF($F919="","",COUNTIF($F$3:$F919,$F919))</f>
        <v>1</v>
      </c>
      <c r="H919">
        <f ca="1">IF(OR(G919&gt;1,G919=""),"",COUNTIF($G$3:$G919,1))</f>
        <v>827</v>
      </c>
      <c r="I919" t="str">
        <f t="shared" ca="1" si="130"/>
        <v>set(未定義変数使用時強制終了)</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IFERROR(VLOOKUP($A920,python!$I:$J,2,FALSE),"")</f>
        <v/>
      </c>
      <c r="D920" t="str">
        <f ca="1">IFERROR(VLOOKUP($A920,bat!$F:$G,2,FALSE),"")</f>
        <v/>
      </c>
      <c r="E920" t="str">
        <f ca="1">IFERROR(VLOOKUP($A920,shell!$F:$G,2,FALSE),"")</f>
        <v>set(パス名展開無効化)</v>
      </c>
      <c r="F920" t="str">
        <f t="shared" ca="1" si="129"/>
        <v>set(パス名展開無効化)</v>
      </c>
      <c r="G920">
        <f ca="1">IF($F920="","",COUNTIF($F$3:$F920,$F920))</f>
        <v>1</v>
      </c>
      <c r="H920">
        <f ca="1">IF(OR(G920&gt;1,G920=""),"",COUNTIF($G$3:$G920,1))</f>
        <v>828</v>
      </c>
      <c r="I920" t="str">
        <f t="shared" ca="1" si="130"/>
        <v>set(パス名展開無効化)</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IFERROR(VLOOKUP($A921,python!$I:$J,2,FALSE),"")</f>
        <v/>
      </c>
      <c r="D921" t="str">
        <f ca="1">IFERROR(VLOOKUP($A921,bat!$F:$G,2,FALSE),"")</f>
        <v/>
      </c>
      <c r="E921" t="str">
        <f ca="1">IFERROR(VLOOKUP($A921,shell!$F:$G,2,FALSE),"")</f>
        <v>set(実行コマンド出力)</v>
      </c>
      <c r="F921" t="str">
        <f t="shared" ca="1" si="129"/>
        <v>set(実行コマンド出力)</v>
      </c>
      <c r="G921">
        <f ca="1">IF($F921="","",COUNTIF($F$3:$F921,$F921))</f>
        <v>1</v>
      </c>
      <c r="H921">
        <f ca="1">IF(OR(G921&gt;1,G921=""),"",COUNTIF($G$3:$G921,1))</f>
        <v>829</v>
      </c>
      <c r="I921" t="str">
        <f t="shared" ca="1" si="130"/>
        <v>set(実行コマンド出力)</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IFERROR(VLOOKUP($A922,python!$I:$J,2,FALSE),"")</f>
        <v/>
      </c>
      <c r="D922" t="str">
        <f ca="1">IFERROR(VLOOKUP($A922,bat!$F:$G,2,FALSE),"")</f>
        <v/>
      </c>
      <c r="E922" t="str">
        <f ca="1">IFERROR(VLOOKUP($A922,shell!$F:$G,2,FALSE),"")</f>
        <v>set(実行コマンド出力)</v>
      </c>
      <c r="F922" t="str">
        <f t="shared" ca="1" si="129"/>
        <v>set(実行コマンド出力)</v>
      </c>
      <c r="G922">
        <f ca="1">IF($F922="","",COUNTIF($F$3:$F922,$F922))</f>
        <v>2</v>
      </c>
      <c r="H922" t="str">
        <f ca="1">IF(OR(G922&gt;1,G922=""),"",COUNTIF($G$3:$G922,1))</f>
        <v/>
      </c>
      <c r="I922" t="str">
        <f t="shared" ca="1" si="130"/>
        <v>set(実行コマンド出力)</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IFERROR(VLOOKUP($A923,python!$I:$J,2,FALSE),"")</f>
        <v/>
      </c>
      <c r="D923" t="str">
        <f ca="1">IFERROR(VLOOKUP($A923,bat!$F:$G,2,FALSE),"")</f>
        <v/>
      </c>
      <c r="E923" t="str">
        <f ca="1">IFERROR(VLOOKUP($A923,shell!$F:$G,2,FALSE),"")</f>
        <v>set(構文チェックのみ実施(実行しない))</v>
      </c>
      <c r="F923" t="str">
        <f t="shared" ca="1" si="129"/>
        <v>set(構文チェックのみ実施(実行しない))</v>
      </c>
      <c r="G923">
        <f ca="1">IF($F923="","",COUNTIF($F$3:$F923,$F923))</f>
        <v>1</v>
      </c>
      <c r="H923">
        <f ca="1">IF(OR(G923&gt;1,G923=""),"",COUNTIF($G$3:$G923,1))</f>
        <v>830</v>
      </c>
      <c r="I923" t="str">
        <f t="shared" ca="1" si="130"/>
        <v>set(構文チェックのみ実施(実行しない))</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IFERROR(VLOOKUP($A924,python!$I:$J,2,FALSE),"")</f>
        <v/>
      </c>
      <c r="D924" t="str">
        <f ca="1">IFERROR(VLOOKUP($A924,bat!$F:$G,2,FALSE),"")</f>
        <v/>
      </c>
      <c r="E924" t="str">
        <f ca="1">IFERROR(VLOOKUP($A924,shell!$F:$G,2,FALSE),"")</f>
        <v>set(ブレース展開無効化)</v>
      </c>
      <c r="F924" t="str">
        <f t="shared" ca="1" si="129"/>
        <v>set(ブレース展開無効化)</v>
      </c>
      <c r="G924">
        <f ca="1">IF($F924="","",COUNTIF($F$3:$F924,$F924))</f>
        <v>1</v>
      </c>
      <c r="H924">
        <f ca="1">IF(OR(G924&gt;1,G924=""),"",COUNTIF($G$3:$G924,1))</f>
        <v>831</v>
      </c>
      <c r="I924" t="str">
        <f t="shared" ca="1" si="130"/>
        <v>set(ブレース展開無効化)</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IFERROR(VLOOKUP($A925,python!$I:$J,2,FALSE),"")</f>
        <v/>
      </c>
      <c r="D925" t="str">
        <f ca="1">IFERROR(VLOOKUP($A925,bat!$F:$G,2,FALSE),"")</f>
        <v/>
      </c>
      <c r="E925" t="str">
        <f ca="1">IFERROR(VLOOKUP($A925,shell!$F:$G,2,FALSE),"")</f>
        <v>set(リダイレクト時ファイル上書き無効化)</v>
      </c>
      <c r="F925" t="str">
        <f t="shared" ca="1" si="129"/>
        <v>set(リダイレクト時ファイル上書き無効化)</v>
      </c>
      <c r="G925">
        <f ca="1">IF($F925="","",COUNTIF($F$3:$F925,$F925))</f>
        <v>1</v>
      </c>
      <c r="H925">
        <f ca="1">IF(OR(G925&gt;1,G925=""),"",COUNTIF($G$3:$G925,1))</f>
        <v>832</v>
      </c>
      <c r="I925" t="str">
        <f t="shared" ca="1" si="130"/>
        <v>set(リダイレクト時ファイル上書き無効化)</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IFERROR(VLOOKUP($A926,python!$I:$J,2,FALSE),"")</f>
        <v/>
      </c>
      <c r="D926" t="str">
        <f ca="1">IFERROR(VLOOKUP($A926,bat!$F:$G,2,FALSE),"")</f>
        <v/>
      </c>
      <c r="E926" t="str">
        <f ca="1">IFERROR(VLOOKUP($A926,shell!$F:$G,2,FALSE),"")</f>
        <v>set(作成/変更変数の自動的エクスポート)</v>
      </c>
      <c r="F926" t="str">
        <f t="shared" ca="1" si="129"/>
        <v>set(作成/変更変数の自動的エクスポート)</v>
      </c>
      <c r="G926">
        <f ca="1">IF($F926="","",COUNTIF($F$3:$F926,$F926))</f>
        <v>1</v>
      </c>
      <c r="H926">
        <f ca="1">IF(OR(G926&gt;1,G926=""),"",COUNTIF($G$3:$G926,1))</f>
        <v>833</v>
      </c>
      <c r="I926" t="str">
        <f t="shared" ca="1" si="130"/>
        <v>set(作成/変更変数の自動的エクスポート)</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IFERROR(VLOOKUP($A927,python!$I:$J,2,FALSE),"")</f>
        <v/>
      </c>
      <c r="D927" t="str">
        <f ca="1">IFERROR(VLOOKUP($A927,bat!$F:$G,2,FALSE),"")</f>
        <v/>
      </c>
      <c r="E927" t="str">
        <f ca="1">IFERROR(VLOOKUP($A927,shell!$F:$G,2,FALSE),"")</f>
        <v>bash動作設定(シェルオプション)</v>
      </c>
      <c r="F927" t="str">
        <f t="shared" ca="1" si="129"/>
        <v>bash動作設定(シェルオプション)</v>
      </c>
      <c r="G927">
        <f ca="1">IF($F927="","",COUNTIF($F$3:$F927,$F927))</f>
        <v>1</v>
      </c>
      <c r="H927">
        <f ca="1">IF(OR(G927&gt;1,G927=""),"",COUNTIF($G$3:$G927,1))</f>
        <v>834</v>
      </c>
      <c r="I927" t="str">
        <f t="shared" ca="1" si="130"/>
        <v>bash動作設定(シェルオプション)</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IFERROR(VLOOKUP($A928,python!$I:$J,2,FALSE),"")</f>
        <v/>
      </c>
      <c r="D928" t="str">
        <f ca="1">IFERROR(VLOOKUP($A928,bat!$F:$G,2,FALSE),"")</f>
        <v/>
      </c>
      <c r="E928" t="str">
        <f ca="1">IFERROR(VLOOKUP($A928,shell!$F:$G,2,FALSE),"")</f>
        <v>不一致globsを除去</v>
      </c>
      <c r="F928" t="str">
        <f t="shared" ca="1" si="129"/>
        <v>不一致globsを除去</v>
      </c>
      <c r="G928">
        <f ca="1">IF($F928="","",COUNTIF($F$3:$F928,$F928))</f>
        <v>1</v>
      </c>
      <c r="H928">
        <f ca="1">IF(OR(G928&gt;1,G928=""),"",COUNTIF($G$3:$G928,1))</f>
        <v>835</v>
      </c>
      <c r="I928" t="str">
        <f t="shared" ca="1" si="130"/>
        <v>不一致globsを除去</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IFERROR(VLOOKUP($A929,python!$I:$J,2,FALSE),"")</f>
        <v/>
      </c>
      <c r="D929" t="str">
        <f ca="1">IFERROR(VLOOKUP($A929,bat!$F:$G,2,FALSE),"")</f>
        <v/>
      </c>
      <c r="E929" t="str">
        <f ca="1">IFERROR(VLOOKUP($A929,shell!$F:$G,2,FALSE),"")</f>
        <v>不一致globsはエラーにする</v>
      </c>
      <c r="F929" t="str">
        <f t="shared" ca="1" si="129"/>
        <v>不一致globsはエラーにする</v>
      </c>
      <c r="G929">
        <f ca="1">IF($F929="","",COUNTIF($F$3:$F929,$F929))</f>
        <v>1</v>
      </c>
      <c r="H929">
        <f ca="1">IF(OR(G929&gt;1,G929=""),"",COUNTIF($G$3:$G929,1))</f>
        <v>836</v>
      </c>
      <c r="I929" t="str">
        <f t="shared" ca="1" si="130"/>
        <v>不一致globsはエラーにする</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IFERROR(VLOOKUP($A930,python!$I:$J,2,FALSE),"")</f>
        <v/>
      </c>
      <c r="D930" t="str">
        <f ca="1">IFERROR(VLOOKUP($A930,bat!$F:$G,2,FALSE),"")</f>
        <v/>
      </c>
      <c r="E930" t="str">
        <f ca="1">IFERROR(VLOOKUP($A930,shell!$F:$G,2,FALSE),"")</f>
        <v>globsの大文字小文字を区別しない</v>
      </c>
      <c r="F930" t="str">
        <f t="shared" ca="1" si="129"/>
        <v>globsの大文字小文字を区別しない</v>
      </c>
      <c r="G930">
        <f ca="1">IF($F930="","",COUNTIF($F$3:$F930,$F930))</f>
        <v>1</v>
      </c>
      <c r="H930">
        <f ca="1">IF(OR(G930&gt;1,G930=""),"",COUNTIF($G$3:$G930,1))</f>
        <v>837</v>
      </c>
      <c r="I930" t="str">
        <f t="shared" ca="1" si="130"/>
        <v>globsの大文字小文字を区別しない</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IFERROR(VLOOKUP($A931,python!$I:$J,2,FALSE),"")</f>
        <v/>
      </c>
      <c r="D931" t="str">
        <f ca="1">IFERROR(VLOOKUP($A931,bat!$F:$G,2,FALSE),"")</f>
        <v/>
      </c>
      <c r="E931" t="str">
        <f ca="1">IFERROR(VLOOKUP($A931,shell!$F:$G,2,FALSE),"")</f>
        <v>dotfilesもワイルドカードにマッチさせる</v>
      </c>
      <c r="F931" t="str">
        <f t="shared" ca="1" si="129"/>
        <v>dotfilesもワイルドカードにマッチさせる</v>
      </c>
      <c r="G931">
        <f ca="1">IF($F931="","",COUNTIF($F$3:$F931,$F931))</f>
        <v>1</v>
      </c>
      <c r="H931">
        <f ca="1">IF(OR(G931&gt;1,G931=""),"",COUNTIF($G$3:$G931,1))</f>
        <v>838</v>
      </c>
      <c r="I931" t="str">
        <f t="shared" ca="1" si="130"/>
        <v>dotfilesもワイルドカードにマッチさせる</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IFERROR(VLOOKUP($A932,python!$I:$J,2,FALSE),"")</f>
        <v/>
      </c>
      <c r="D932" t="str">
        <f ca="1">IFERROR(VLOOKUP($A932,bat!$F:$G,2,FALSE),"")</f>
        <v/>
      </c>
      <c r="E932" t="str">
        <f ca="1">IFERROR(VLOOKUP($A932,shell!$F:$G,2,FALSE),"")</f>
        <v>「**」を再帰マッチにする</v>
      </c>
      <c r="F932" t="str">
        <f t="shared" ca="1" si="129"/>
        <v>「**」を再帰マッチにする</v>
      </c>
      <c r="G932">
        <f ca="1">IF($F932="","",COUNTIF($F$3:$F932,$F932))</f>
        <v>1</v>
      </c>
      <c r="H932">
        <f ca="1">IF(OR(G932&gt;1,G932=""),"",COUNTIF($G$3:$G932,1))</f>
        <v>839</v>
      </c>
      <c r="I932" t="str">
        <f t="shared" ca="1" si="130"/>
        <v>「**」を再帰マッチにする</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IFERROR(VLOOKUP($A933,python!$I:$J,2,FALSE),"")</f>
        <v/>
      </c>
      <c r="D933" t="str">
        <f ca="1">IFERROR(VLOOKUP($A933,bat!$F:$G,2,FALSE),"")</f>
        <v/>
      </c>
      <c r="E933" t="str">
        <f ca="1">IFERROR(VLOOKUP($A933,shell!$F:$G,2,FALSE),"")</f>
        <v>ログ出力先指定toファイル（標準出力）</v>
      </c>
      <c r="F933" t="str">
        <f t="shared" ca="1" si="129"/>
        <v>ログ出力先指定toファイル（標準出力）</v>
      </c>
      <c r="G933">
        <f ca="1">IF($F933="","",COUNTIF($F$3:$F933,$F933))</f>
        <v>1</v>
      </c>
      <c r="H933">
        <f ca="1">IF(OR(G933&gt;1,G933=""),"",COUNTIF($G$3:$G933,1))</f>
        <v>840</v>
      </c>
      <c r="I933" t="str">
        <f t="shared" ca="1" si="130"/>
        <v>ログ出力先指定toファイル（標準出力）</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IFERROR(VLOOKUP($A934,python!$I:$J,2,FALSE),"")</f>
        <v/>
      </c>
      <c r="D934" t="str">
        <f ca="1">IFERROR(VLOOKUP($A934,bat!$F:$G,2,FALSE),"")</f>
        <v/>
      </c>
      <c r="E934" t="str">
        <f ca="1">IFERROR(VLOOKUP($A934,shell!$F:$G,2,FALSE),"")</f>
        <v>ログ出力先指定toファイル（標準エラー出力）</v>
      </c>
      <c r="F934" t="str">
        <f t="shared" ca="1" si="129"/>
        <v>ログ出力先指定toファイル（標準エラー出力）</v>
      </c>
      <c r="G934">
        <f ca="1">IF($F934="","",COUNTIF($F$3:$F934,$F934))</f>
        <v>1</v>
      </c>
      <c r="H934">
        <f ca="1">IF(OR(G934&gt;1,G934=""),"",COUNTIF($G$3:$G934,1))</f>
        <v>841</v>
      </c>
      <c r="I934" t="str">
        <f t="shared" ca="1" si="130"/>
        <v>ログ出力先指定toファイル（標準エラー出力）</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IFERROR(VLOOKUP($A935,python!$I:$J,2,FALSE),"")</f>
        <v/>
      </c>
      <c r="D935" t="str">
        <f ca="1">IFERROR(VLOOKUP($A935,bat!$F:$G,2,FALSE),"")</f>
        <v/>
      </c>
      <c r="E935" t="str">
        <f ca="1">IFERROR(VLOOKUP($A935,shell!$F:$G,2,FALSE),"")</f>
        <v>ログ出力先指定toファイル＆画面（標準出力）</v>
      </c>
      <c r="F935" t="str">
        <f t="shared" ca="1" si="129"/>
        <v>ログ出力先指定toファイル＆画面（標準出力）</v>
      </c>
      <c r="G935">
        <f ca="1">IF($F935="","",COUNTIF($F$3:$F935,$F935))</f>
        <v>1</v>
      </c>
      <c r="H935">
        <f ca="1">IF(OR(G935&gt;1,G935=""),"",COUNTIF($G$3:$G935,1))</f>
        <v>842</v>
      </c>
      <c r="I935" t="str">
        <f t="shared" ca="1" si="130"/>
        <v>ログ出力先指定toファイル＆画面（標準出力）</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IFERROR(VLOOKUP($A936,python!$I:$J,2,FALSE),"")</f>
        <v/>
      </c>
      <c r="D936" t="str">
        <f ca="1">IFERROR(VLOOKUP($A936,bat!$F:$G,2,FALSE),"")</f>
        <v/>
      </c>
      <c r="E936" t="str">
        <f ca="1">IFERROR(VLOOKUP($A936,shell!$F:$G,2,FALSE),"")</f>
        <v>ログ出力先指定toファイル＆画面（標準エラー出力）</v>
      </c>
      <c r="F936" t="str">
        <f t="shared" ca="1" si="129"/>
        <v>ログ出力先指定toファイル＆画面（標準エラー出力）</v>
      </c>
      <c r="G936">
        <f ca="1">IF($F936="","",COUNTIF($F$3:$F936,$F936))</f>
        <v>1</v>
      </c>
      <c r="H936">
        <f ca="1">IF(OR(G936&gt;1,G936=""),"",COUNTIF($G$3:$G936,1))</f>
        <v>843</v>
      </c>
      <c r="I936" t="str">
        <f t="shared" ca="1" si="130"/>
        <v>ログ出力先指定toファイル＆画面（標準エラー出力）</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IFERROR(VLOOKUP($A937,python!$I:$J,2,FALSE),"")</f>
        <v/>
      </c>
      <c r="D937" t="str">
        <f ca="1">IFERROR(VLOOKUP($A937,bat!$F:$G,2,FALSE),"")</f>
        <v/>
      </c>
      <c r="E937" t="str">
        <f ca="1">IFERROR(VLOOKUP($A937,shell!$F:$G,2,FALSE),"")</f>
        <v>ログ出力先指定toファイル＆画面（標準出力＆標準エラー出力）</v>
      </c>
      <c r="F937" t="str">
        <f t="shared" ca="1" si="129"/>
        <v>ログ出力先指定toファイル＆画面（標準出力＆標準エラー出力）</v>
      </c>
      <c r="G937">
        <f ca="1">IF($F937="","",COUNTIF($F$3:$F937,$F937))</f>
        <v>1</v>
      </c>
      <c r="H937">
        <f ca="1">IF(OR(G937&gt;1,G937=""),"",COUNTIF($G$3:$G937,1))</f>
        <v>844</v>
      </c>
      <c r="I937" t="str">
        <f t="shared" ca="1" si="130"/>
        <v>ログ出力先指定toファイル＆画面（標準出力＆標準エラー出力）</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IFERROR(VLOOKUP($A938,python!$I:$J,2,FALSE),"")</f>
        <v/>
      </c>
      <c r="D938" t="str">
        <f ca="1">IFERROR(VLOOKUP($A938,bat!$F:$G,2,FALSE),"")</f>
        <v/>
      </c>
      <c r="E938" t="str">
        <f ca="1">IFERROR(VLOOKUP($A938,shell!$F:$G,2,FALSE),"")</f>
        <v>ログ出力先指定to画面（標準出力＆標準エラー出力）</v>
      </c>
      <c r="F938" t="str">
        <f t="shared" ca="1" si="129"/>
        <v>ログ出力先指定to画面（標準出力＆標準エラー出力）</v>
      </c>
      <c r="G938">
        <f ca="1">IF($F938="","",COUNTIF($F$3:$F938,$F938))</f>
        <v>1</v>
      </c>
      <c r="H938">
        <f ca="1">IF(OR(G938&gt;1,G938=""),"",COUNTIF($G$3:$G938,1))</f>
        <v>845</v>
      </c>
      <c r="I938" t="str">
        <f t="shared" ca="1" si="130"/>
        <v>ログ出力先指定to画面（標準出力＆標準エラー出力）</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IFERROR(VLOOKUP($A939,python!$I:$J,2,FALSE),"")</f>
        <v/>
      </c>
      <c r="D939" t="str">
        <f ca="1">IFERROR(VLOOKUP($A939,bat!$F:$G,2,FALSE),"")</f>
        <v/>
      </c>
      <c r="E939" t="str">
        <f ca="1">IFERROR(VLOOKUP($A939,shell!$F:$G,2,FALSE),"")</f>
        <v>算術演算</v>
      </c>
      <c r="F939" t="str">
        <f t="shared" ca="1" si="129"/>
        <v>算術演算</v>
      </c>
      <c r="G939">
        <f ca="1">IF($F939="","",COUNTIF($F$3:$F939,$F939))</f>
        <v>1</v>
      </c>
      <c r="H939">
        <f ca="1">IF(OR(G939&gt;1,G939=""),"",COUNTIF($G$3:$G939,1))</f>
        <v>846</v>
      </c>
      <c r="I939" t="str">
        <f t="shared" ca="1" si="130"/>
        <v>算術演算</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IFERROR(VLOOKUP($A940,python!$I:$J,2,FALSE),"")</f>
        <v/>
      </c>
      <c r="D940" t="str">
        <f ca="1">IFERROR(VLOOKUP($A940,bat!$F:$G,2,FALSE),"")</f>
        <v/>
      </c>
      <c r="E940" t="str">
        <f ca="1">IFERROR(VLOOKUP($A940,shell!$F:$G,2,FALSE),"")</f>
        <v>算術演算(加)</v>
      </c>
      <c r="F940" t="str">
        <f t="shared" ca="1" si="129"/>
        <v>算術演算(加)</v>
      </c>
      <c r="G940">
        <f ca="1">IF($F940="","",COUNTIF($F$3:$F940,$F940))</f>
        <v>1</v>
      </c>
      <c r="H940">
        <f ca="1">IF(OR(G940&gt;1,G940=""),"",COUNTIF($G$3:$G940,1))</f>
        <v>847</v>
      </c>
      <c r="I940" t="str">
        <f t="shared" ca="1" si="130"/>
        <v>算術演算(加)</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IFERROR(VLOOKUP($A941,python!$I:$J,2,FALSE),"")</f>
        <v/>
      </c>
      <c r="D941" t="str">
        <f ca="1">IFERROR(VLOOKUP($A941,bat!$F:$G,2,FALSE),"")</f>
        <v/>
      </c>
      <c r="E941" t="str">
        <f ca="1">IFERROR(VLOOKUP($A941,shell!$F:$G,2,FALSE),"")</f>
        <v>算術演算(減)</v>
      </c>
      <c r="F941" t="str">
        <f t="shared" ca="1" si="129"/>
        <v>算術演算(減)</v>
      </c>
      <c r="G941">
        <f ca="1">IF($F941="","",COUNTIF($F$3:$F941,$F941))</f>
        <v>1</v>
      </c>
      <c r="H941">
        <f ca="1">IF(OR(G941&gt;1,G941=""),"",COUNTIF($G$3:$G941,1))</f>
        <v>848</v>
      </c>
      <c r="I941" t="str">
        <f t="shared" ca="1" si="130"/>
        <v>算術演算(減)</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IFERROR(VLOOKUP($A942,python!$I:$J,2,FALSE),"")</f>
        <v/>
      </c>
      <c r="D942" t="str">
        <f ca="1">IFERROR(VLOOKUP($A942,bat!$F:$G,2,FALSE),"")</f>
        <v/>
      </c>
      <c r="E942" t="str">
        <f ca="1">IFERROR(VLOOKUP($A942,shell!$F:$G,2,FALSE),"")</f>
        <v>算術演算(乗)</v>
      </c>
      <c r="F942" t="str">
        <f t="shared" ca="1" si="129"/>
        <v>算術演算(乗)</v>
      </c>
      <c r="G942">
        <f ca="1">IF($F942="","",COUNTIF($F$3:$F942,$F942))</f>
        <v>1</v>
      </c>
      <c r="H942">
        <f ca="1">IF(OR(G942&gt;1,G942=""),"",COUNTIF($G$3:$G942,1))</f>
        <v>849</v>
      </c>
      <c r="I942" t="str">
        <f t="shared" ca="1" si="130"/>
        <v>算術演算(乗)</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IFERROR(VLOOKUP($A943,python!$I:$J,2,FALSE),"")</f>
        <v/>
      </c>
      <c r="D943" t="str">
        <f ca="1">IFERROR(VLOOKUP($A943,bat!$F:$G,2,FALSE),"")</f>
        <v/>
      </c>
      <c r="E943" t="str">
        <f ca="1">IFERROR(VLOOKUP($A943,shell!$F:$G,2,FALSE),"")</f>
        <v>算術演算(割)</v>
      </c>
      <c r="F943" t="str">
        <f t="shared" ca="1" si="129"/>
        <v>算術演算(割)</v>
      </c>
      <c r="G943">
        <f ca="1">IF($F943="","",COUNTIF($F$3:$F943,$F943))</f>
        <v>1</v>
      </c>
      <c r="H943">
        <f ca="1">IF(OR(G943&gt;1,G943=""),"",COUNTIF($G$3:$G943,1))</f>
        <v>850</v>
      </c>
      <c r="I943" t="str">
        <f t="shared" ca="1" si="130"/>
        <v>算術演算(割)</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IFERROR(VLOOKUP($A944,python!$I:$J,2,FALSE),"")</f>
        <v/>
      </c>
      <c r="D944" t="str">
        <f ca="1">IFERROR(VLOOKUP($A944,bat!$F:$G,2,FALSE),"")</f>
        <v/>
      </c>
      <c r="E944" t="str">
        <f ca="1">IFERROR(VLOOKUP($A944,shell!$F:$G,2,FALSE),"")</f>
        <v>算術演算(剰余)</v>
      </c>
      <c r="F944" t="str">
        <f t="shared" ca="1" si="129"/>
        <v>算術演算(剰余)</v>
      </c>
      <c r="G944">
        <f ca="1">IF($F944="","",COUNTIF($F$3:$F944,$F944))</f>
        <v>1</v>
      </c>
      <c r="H944">
        <f ca="1">IF(OR(G944&gt;1,G944=""),"",COUNTIF($G$3:$G944,1))</f>
        <v>851</v>
      </c>
      <c r="I944" t="str">
        <f t="shared" ca="1" si="130"/>
        <v>算術演算(剰余)</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IFERROR(VLOOKUP($A945,python!$I:$J,2,FALSE),"")</f>
        <v/>
      </c>
      <c r="D945" t="str">
        <f ca="1">IFERROR(VLOOKUP($A945,bat!$F:$G,2,FALSE),"")</f>
        <v/>
      </c>
      <c r="E945" t="str">
        <f ca="1">IFERROR(VLOOKUP($A945,shell!$F:$G,2,FALSE),"")</f>
        <v>ブレース展開(例01)</v>
      </c>
      <c r="F945" t="str">
        <f t="shared" ca="1" si="129"/>
        <v>ブレース展開(例01)</v>
      </c>
      <c r="G945">
        <f ca="1">IF($F945="","",COUNTIF($F$3:$F945,$F945))</f>
        <v>1</v>
      </c>
      <c r="H945">
        <f ca="1">IF(OR(G945&gt;1,G945=""),"",COUNTIF($G$3:$G945,1))</f>
        <v>852</v>
      </c>
      <c r="I945" t="str">
        <f t="shared" ca="1" si="130"/>
        <v>ブレース展開(例01)</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IFERROR(VLOOKUP($A946,python!$I:$J,2,FALSE),"")</f>
        <v/>
      </c>
      <c r="D946" t="str">
        <f ca="1">IFERROR(VLOOKUP($A946,bat!$F:$G,2,FALSE),"")</f>
        <v/>
      </c>
      <c r="E946" t="str">
        <f ca="1">IFERROR(VLOOKUP($A946,shell!$F:$G,2,FALSE),"")</f>
        <v>ブレース展開(例02)</v>
      </c>
      <c r="F946" t="str">
        <f t="shared" ca="1" si="129"/>
        <v>ブレース展開(例02)</v>
      </c>
      <c r="G946">
        <f ca="1">IF($F946="","",COUNTIF($F$3:$F946,$F946))</f>
        <v>1</v>
      </c>
      <c r="H946">
        <f ca="1">IF(OR(G946&gt;1,G946=""),"",COUNTIF($G$3:$G946,1))</f>
        <v>853</v>
      </c>
      <c r="I946" t="str">
        <f t="shared" ca="1" si="130"/>
        <v>ブレース展開(例02)</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IFERROR(VLOOKUP($A947,python!$I:$J,2,FALSE),"")</f>
        <v/>
      </c>
      <c r="D947" t="str">
        <f ca="1">IFERROR(VLOOKUP($A947,bat!$F:$G,2,FALSE),"")</f>
        <v/>
      </c>
      <c r="E947" t="str">
        <f ca="1">IFERROR(VLOOKUP($A947,shell!$F:$G,2,FALSE),"")</f>
        <v>ブレース展開(例03)</v>
      </c>
      <c r="F947" t="str">
        <f t="shared" ca="1" si="129"/>
        <v>ブレース展開(例03)</v>
      </c>
      <c r="G947">
        <f ca="1">IF($F947="","",COUNTIF($F$3:$F947,$F947))</f>
        <v>1</v>
      </c>
      <c r="H947">
        <f ca="1">IF(OR(G947&gt;1,G947=""),"",COUNTIF($G$3:$G947,1))</f>
        <v>854</v>
      </c>
      <c r="I947" t="str">
        <f t="shared" ca="1" si="130"/>
        <v>ブレース展開(例03)</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IFERROR(VLOOKUP($A948,python!$I:$J,2,FALSE),"")</f>
        <v/>
      </c>
      <c r="D948" t="str">
        <f ca="1">IFERROR(VLOOKUP($A948,bat!$F:$G,2,FALSE),"")</f>
        <v/>
      </c>
      <c r="E948" t="str">
        <f ca="1">IFERROR(VLOOKUP($A948,shell!$F:$G,2,FALSE),"")</f>
        <v>ブレース展開(例04)</v>
      </c>
      <c r="F948" t="str">
        <f t="shared" ca="1" si="129"/>
        <v>ブレース展開(例04)</v>
      </c>
      <c r="G948">
        <f ca="1">IF($F948="","",COUNTIF($F$3:$F948,$F948))</f>
        <v>1</v>
      </c>
      <c r="H948">
        <f ca="1">IF(OR(G948&gt;1,G948=""),"",COUNTIF($G$3:$G948,1))</f>
        <v>855</v>
      </c>
      <c r="I948" t="str">
        <f t="shared" ca="1" si="130"/>
        <v>ブレース展開(例04)</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IFERROR(VLOOKUP($A949,python!$I:$J,2,FALSE),"")</f>
        <v/>
      </c>
      <c r="D949" t="str">
        <f ca="1">IFERROR(VLOOKUP($A949,bat!$F:$G,2,FALSE),"")</f>
        <v/>
      </c>
      <c r="E949" t="str">
        <f ca="1">IFERROR(VLOOKUP($A949,shell!$F:$G,2,FALSE),"")</f>
        <v>ブレース展開(例05)</v>
      </c>
      <c r="F949" t="str">
        <f t="shared" ca="1" si="129"/>
        <v>ブレース展開(例05)</v>
      </c>
      <c r="G949">
        <f ca="1">IF($F949="","",COUNTIF($F$3:$F949,$F949))</f>
        <v>1</v>
      </c>
      <c r="H949">
        <f ca="1">IF(OR(G949&gt;1,G949=""),"",COUNTIF($G$3:$G949,1))</f>
        <v>856</v>
      </c>
      <c r="I949" t="str">
        <f t="shared" ca="1" si="130"/>
        <v>ブレース展開(例05)</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IFERROR(VLOOKUP($A950,python!$I:$J,2,FALSE),"")</f>
        <v/>
      </c>
      <c r="D950" t="str">
        <f ca="1">IFERROR(VLOOKUP($A950,bat!$F:$G,2,FALSE),"")</f>
        <v/>
      </c>
      <c r="E950" t="str">
        <f ca="1">IFERROR(VLOOKUP($A950,shell!$F:$G,2,FALSE),"")</f>
        <v>ブレース展開(例06)</v>
      </c>
      <c r="F950" t="str">
        <f t="shared" ca="1" si="129"/>
        <v>ブレース展開(例06)</v>
      </c>
      <c r="G950">
        <f ca="1">IF($F950="","",COUNTIF($F$3:$F950,$F950))</f>
        <v>1</v>
      </c>
      <c r="H950">
        <f ca="1">IF(OR(G950&gt;1,G950=""),"",COUNTIF($G$3:$G950,1))</f>
        <v>857</v>
      </c>
      <c r="I950" t="str">
        <f t="shared" ca="1" si="130"/>
        <v>ブレース展開(例06)</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IFERROR(VLOOKUP($A951,python!$I:$J,2,FALSE),"")</f>
        <v/>
      </c>
      <c r="D951" t="str">
        <f ca="1">IFERROR(VLOOKUP($A951,bat!$F:$G,2,FALSE),"")</f>
        <v/>
      </c>
      <c r="E951" t="str">
        <f ca="1">IFERROR(VLOOKUP($A951,shell!$F:$G,2,FALSE),"")</f>
        <v>ブレース展開(例07)</v>
      </c>
      <c r="F951" t="str">
        <f t="shared" ca="1" si="129"/>
        <v>ブレース展開(例07)</v>
      </c>
      <c r="G951">
        <f ca="1">IF($F951="","",COUNTIF($F$3:$F951,$F951))</f>
        <v>1</v>
      </c>
      <c r="H951">
        <f ca="1">IF(OR(G951&gt;1,G951=""),"",COUNTIF($G$3:$G951,1))</f>
        <v>858</v>
      </c>
      <c r="I951" t="str">
        <f t="shared" ca="1" si="130"/>
        <v>ブレース展開(例07)</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IFERROR(VLOOKUP($A952,python!$I:$J,2,FALSE),"")</f>
        <v/>
      </c>
      <c r="D952" t="str">
        <f ca="1">IFERROR(VLOOKUP($A952,bat!$F:$G,2,FALSE),"")</f>
        <v/>
      </c>
      <c r="E952" t="str">
        <f ca="1">IFERROR(VLOOKUP($A952,shell!$F:$G,2,FALSE),"")</f>
        <v>ブレース展開(例08)</v>
      </c>
      <c r="F952" t="str">
        <f t="shared" ca="1" si="129"/>
        <v>ブレース展開(例08)</v>
      </c>
      <c r="G952">
        <f ca="1">IF($F952="","",COUNTIF($F$3:$F952,$F952))</f>
        <v>1</v>
      </c>
      <c r="H952">
        <f ca="1">IF(OR(G952&gt;1,G952=""),"",COUNTIF($G$3:$G952,1))</f>
        <v>859</v>
      </c>
      <c r="I952" t="str">
        <f t="shared" ca="1" si="130"/>
        <v>ブレース展開(例08)</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IFERROR(VLOOKUP($A953,python!$I:$J,2,FALSE),"")</f>
        <v/>
      </c>
      <c r="D953" t="str">
        <f ca="1">IFERROR(VLOOKUP($A953,bat!$F:$G,2,FALSE),"")</f>
        <v/>
      </c>
      <c r="E953" t="str">
        <f ca="1">IFERROR(VLOOKUP($A953,shell!$F:$G,2,FALSE),"")</f>
        <v>ブレース展開(例09)</v>
      </c>
      <c r="F953" t="str">
        <f t="shared" ca="1" si="129"/>
        <v>ブレース展開(例09)</v>
      </c>
      <c r="G953">
        <f ca="1">IF($F953="","",COUNTIF($F$3:$F953,$F953))</f>
        <v>1</v>
      </c>
      <c r="H953">
        <f ca="1">IF(OR(G953&gt;1,G953=""),"",COUNTIF($G$3:$G953,1))</f>
        <v>860</v>
      </c>
      <c r="I953" t="str">
        <f t="shared" ca="1" si="130"/>
        <v>ブレース展開(例09)</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IFERROR(VLOOKUP($A954,python!$I:$J,2,FALSE),"")</f>
        <v/>
      </c>
      <c r="D954" t="str">
        <f ca="1">IFERROR(VLOOKUP($A954,bat!$F:$G,2,FALSE),"")</f>
        <v/>
      </c>
      <c r="E954" t="str">
        <f ca="1">IFERROR(VLOOKUP($A954,shell!$F:$G,2,FALSE),"")</f>
        <v>ブレース展開(例10)</v>
      </c>
      <c r="F954" t="str">
        <f t="shared" ca="1" si="129"/>
        <v>ブレース展開(例10)</v>
      </c>
      <c r="G954">
        <f ca="1">IF($F954="","",COUNTIF($F$3:$F954,$F954))</f>
        <v>1</v>
      </c>
      <c r="H954">
        <f ca="1">IF(OR(G954&gt;1,G954=""),"",COUNTIF($G$3:$G954,1))</f>
        <v>861</v>
      </c>
      <c r="I954" t="str">
        <f t="shared" ca="1" si="130"/>
        <v>ブレース展開(例10)</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IFERROR(VLOOKUP($A955,python!$I:$J,2,FALSE),"")</f>
        <v/>
      </c>
      <c r="D955" t="str">
        <f ca="1">IFERROR(VLOOKUP($A955,bat!$F:$G,2,FALSE),"")</f>
        <v/>
      </c>
      <c r="E955" t="str">
        <f ca="1">IFERROR(VLOOKUP($A955,shell!$F:$G,2,FALSE),"")</f>
        <v>ブレース展開(例11)</v>
      </c>
      <c r="F955" t="str">
        <f t="shared" ca="1" si="129"/>
        <v>ブレース展開(例11)</v>
      </c>
      <c r="G955">
        <f ca="1">IF($F955="","",COUNTIF($F$3:$F955,$F955))</f>
        <v>1</v>
      </c>
      <c r="H955">
        <f ca="1">IF(OR(G955&gt;1,G955=""),"",COUNTIF($G$3:$G955,1))</f>
        <v>862</v>
      </c>
      <c r="I955" t="str">
        <f t="shared" ca="1" si="130"/>
        <v>ブレース展開(例11)</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IFERROR(VLOOKUP($A956,python!$I:$J,2,FALSE),"")</f>
        <v/>
      </c>
      <c r="D956" t="str">
        <f ca="1">IFERROR(VLOOKUP($A956,bat!$F:$G,2,FALSE),"")</f>
        <v/>
      </c>
      <c r="E956" t="str">
        <f ca="1">IFERROR(VLOOKUP($A956,shell!$F:$G,2,FALSE),"")</f>
        <v>参照</v>
      </c>
      <c r="F956" t="str">
        <f t="shared" ca="1" si="129"/>
        <v>参照</v>
      </c>
      <c r="G956">
        <f ca="1">IF($F956="","",COUNTIF($F$3:$F956,$F956))</f>
        <v>1</v>
      </c>
      <c r="H956">
        <f ca="1">IF(OR(G956&gt;1,G956=""),"",COUNTIF($G$3:$G956,1))</f>
        <v>863</v>
      </c>
      <c r="I956" t="str">
        <f t="shared" ca="1" si="130"/>
        <v>参照</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IFERROR(VLOOKUP($A957,python!$I:$J,2,FALSE),"")</f>
        <v/>
      </c>
      <c r="D957" t="str">
        <f ca="1">IFERROR(VLOOKUP($A957,bat!$F:$G,2,FALSE),"")</f>
        <v/>
      </c>
      <c r="E957" t="str">
        <f ca="1">IFERROR(VLOOKUP($A957,shell!$F:$G,2,FALSE),"")</f>
        <v>空変数時デフォルト値参照</v>
      </c>
      <c r="F957" t="str">
        <f t="shared" ca="1" si="129"/>
        <v>空変数時デフォルト値参照</v>
      </c>
      <c r="G957">
        <f ca="1">IF($F957="","",COUNTIF($F$3:$F957,$F957))</f>
        <v>1</v>
      </c>
      <c r="H957">
        <f ca="1">IF(OR(G957&gt;1,G957=""),"",COUNTIF($G$3:$G957,1))</f>
        <v>864</v>
      </c>
      <c r="I957" t="str">
        <f t="shared" ca="1" si="130"/>
        <v>空変数時デフォルト値参照</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IFERROR(VLOOKUP($A958,python!$I:$J,2,FALSE),"")</f>
        <v/>
      </c>
      <c r="D958" t="str">
        <f ca="1">IFERROR(VLOOKUP($A958,bat!$F:$G,2,FALSE),"")</f>
        <v/>
      </c>
      <c r="E958" t="str">
        <f ca="1">IFERROR(VLOOKUP($A958,shell!$F:$G,2,FALSE),"")</f>
        <v>空変数時デフォルト値代入</v>
      </c>
      <c r="F958" t="str">
        <f t="shared" ca="1" si="129"/>
        <v>空変数時デフォルト値代入</v>
      </c>
      <c r="G958">
        <f ca="1">IF($F958="","",COUNTIF($F$3:$F958,$F958))</f>
        <v>1</v>
      </c>
      <c r="H958">
        <f ca="1">IF(OR(G958&gt;1,G958=""),"",COUNTIF($G$3:$G958,1))</f>
        <v>865</v>
      </c>
      <c r="I958" t="str">
        <f t="shared" ca="1" si="130"/>
        <v>空変数時デフォルト値代入</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IFERROR(VLOOKUP($A959,python!$I:$J,2,FALSE),"")</f>
        <v/>
      </c>
      <c r="D959" t="str">
        <f ca="1">IFERROR(VLOOKUP($A959,bat!$F:$G,2,FALSE),"")</f>
        <v/>
      </c>
      <c r="E959" t="str">
        <f ca="1">IFERROR(VLOOKUP($A959,shell!$F:$G,2,FALSE),"")</f>
        <v>変数未定義時デフォルト値参照</v>
      </c>
      <c r="F959" t="str">
        <f t="shared" ca="1" si="129"/>
        <v>変数未定義時デフォルト値参照</v>
      </c>
      <c r="G959">
        <f ca="1">IF($F959="","",COUNTIF($F$3:$F959,$F959))</f>
        <v>1</v>
      </c>
      <c r="H959">
        <f ca="1">IF(OR(G959&gt;1,G959=""),"",COUNTIF($G$3:$G959,1))</f>
        <v>866</v>
      </c>
      <c r="I959" t="str">
        <f t="shared" ca="1" si="130"/>
        <v>変数未定義時デフォルト値参照</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IFERROR(VLOOKUP($A960,python!$I:$J,2,FALSE),"")</f>
        <v/>
      </c>
      <c r="D960" t="str">
        <f ca="1">IFERROR(VLOOKUP($A960,bat!$F:$G,2,FALSE),"")</f>
        <v/>
      </c>
      <c r="E960" t="str">
        <f ca="1">IFERROR(VLOOKUP($A960,shell!$F:$G,2,FALSE),"")</f>
        <v>変数未定義時デフォルト値代入</v>
      </c>
      <c r="F960" t="str">
        <f t="shared" ca="1" si="129"/>
        <v>変数未定義時デフォルト値代入</v>
      </c>
      <c r="G960">
        <f ca="1">IF($F960="","",COUNTIF($F$3:$F960,$F960))</f>
        <v>1</v>
      </c>
      <c r="H960">
        <f ca="1">IF(OR(G960&gt;1,G960=""),"",COUNTIF($G$3:$G960,1))</f>
        <v>867</v>
      </c>
      <c r="I960" t="str">
        <f t="shared" ca="1" si="130"/>
        <v>変数未定義時デフォルト値代入</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IFERROR(VLOOKUP($A961,python!$I:$J,2,FALSE),"")</f>
        <v/>
      </c>
      <c r="D961" t="str">
        <f ca="1">IFERROR(VLOOKUP($A961,bat!$F:$G,2,FALSE),"")</f>
        <v/>
      </c>
      <c r="E961" t="str">
        <f ca="1">IFERROR(VLOOKUP($A961,shell!$F:$G,2,FALSE),"")</f>
        <v>変数未定義時エラー出力</v>
      </c>
      <c r="F961" t="str">
        <f t="shared" ca="1" si="129"/>
        <v>変数未定義時エラー出力</v>
      </c>
      <c r="G961">
        <f ca="1">IF($F961="","",COUNTIF($F$3:$F961,$F961))</f>
        <v>1</v>
      </c>
      <c r="H961">
        <f ca="1">IF(OR(G961&gt;1,G961=""),"",COUNTIF($G$3:$G961,1))</f>
        <v>868</v>
      </c>
      <c r="I961" t="str">
        <f t="shared" ca="1" si="130"/>
        <v>変数未定義時エラー出力</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IFERROR(VLOOKUP($A962,python!$I:$J,2,FALSE),"")</f>
        <v/>
      </c>
      <c r="D962" t="str">
        <f ca="1">IFERROR(VLOOKUP($A962,bat!$F:$G,2,FALSE),"")</f>
        <v/>
      </c>
      <c r="E962" t="str">
        <f ca="1">IFERROR(VLOOKUP($A962,shell!$F:$G,2,FALSE),"")</f>
        <v>非空変数時代用代入</v>
      </c>
      <c r="F962" t="str">
        <f t="shared" ca="1" si="129"/>
        <v>非空変数時代用代入</v>
      </c>
      <c r="G962">
        <f ca="1">IF($F962="","",COUNTIF($F$3:$F962,$F962))</f>
        <v>1</v>
      </c>
      <c r="H962">
        <f ca="1">IF(OR(G962&gt;1,G962=""),"",COUNTIF($G$3:$G962,1))</f>
        <v>869</v>
      </c>
      <c r="I962" t="str">
        <f t="shared" ca="1" si="130"/>
        <v>非空変数時代用代入</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IFERROR(VLOOKUP($A963,python!$I:$J,2,FALSE),"")</f>
        <v/>
      </c>
      <c r="D963" t="str">
        <f ca="1">IFERROR(VLOOKUP($A963,bat!$F:$G,2,FALSE),"")</f>
        <v/>
      </c>
      <c r="E963" t="str">
        <f ca="1">IFERROR(VLOOKUP($A963,shell!$F:$G,2,FALSE),"")</f>
        <v>非空変数時代用参照</v>
      </c>
      <c r="F963" t="str">
        <f t="shared" ca="1" si="129"/>
        <v>非空変数時代用参照</v>
      </c>
      <c r="G963">
        <f ca="1">IF($F963="","",COUNTIF($F$3:$F963,$F963))</f>
        <v>1</v>
      </c>
      <c r="H963">
        <f ca="1">IF(OR(G963&gt;1,G963=""),"",COUNTIF($G$3:$G963,1))</f>
        <v>870</v>
      </c>
      <c r="I963" t="str">
        <f t="shared" ca="1" si="130"/>
        <v>非空変数時代用参照</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IFERROR(VLOOKUP($A964,python!$I:$J,2,FALSE),"")</f>
        <v/>
      </c>
      <c r="D964" t="str">
        <f ca="1">IFERROR(VLOOKUP($A964,bat!$F:$G,2,FALSE),"")</f>
        <v/>
      </c>
      <c r="E964" t="str">
        <f ca="1">IFERROR(VLOOKUP($A964,shell!$F:$G,2,FALSE),"")</f>
        <v>文字列抽出</v>
      </c>
      <c r="F964" t="str">
        <f t="shared" ca="1" si="129"/>
        <v>文字列抽出</v>
      </c>
      <c r="G964">
        <f ca="1">IF($F964="","",COUNTIF($F$3:$F964,$F964))</f>
        <v>1</v>
      </c>
      <c r="H964">
        <f ca="1">IF(OR(G964&gt;1,G964=""),"",COUNTIF($G$3:$G964,1))</f>
        <v>871</v>
      </c>
      <c r="I964" t="str">
        <f t="shared" ca="1" si="130"/>
        <v>文字列抽出</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IFERROR(VLOOKUP($A965,python!$I:$J,2,FALSE),"")</f>
        <v/>
      </c>
      <c r="D965" t="str">
        <f ca="1">IFERROR(VLOOKUP($A965,bat!$F:$G,2,FALSE),"")</f>
        <v/>
      </c>
      <c r="E965" t="str">
        <f ca="1">IFERROR(VLOOKUP($A965,shell!$F:$G,2,FALSE),"")</f>
        <v>文字列抽出</v>
      </c>
      <c r="F965" t="str">
        <f t="shared" ref="F965:F1003" ca="1" si="138">B965&amp;C965&amp;D965&amp;E965</f>
        <v>文字列抽出</v>
      </c>
      <c r="G965">
        <f ca="1">IF($F965="","",COUNTIF($F$3:$F965,$F965))</f>
        <v>2</v>
      </c>
      <c r="H965" t="str">
        <f ca="1">IF(OR(G965&gt;1,G965=""),"",COUNTIF($G$3:$G965,1))</f>
        <v/>
      </c>
      <c r="I965" t="str">
        <f ca="1">F965</f>
        <v>文字列抽出</v>
      </c>
      <c r="K965">
        <f t="shared" si="134"/>
        <v>962</v>
      </c>
      <c r="L965" t="str">
        <f t="shared" ca="1" si="136"/>
        <v/>
      </c>
      <c r="M965" s="2" t="str">
        <f t="shared" ca="1" si="135"/>
        <v/>
      </c>
      <c r="N965" s="2" t="str">
        <f t="shared" ca="1" si="137"/>
        <v/>
      </c>
      <c r="O965" s="2" t="str">
        <f t="shared" ref="O965:O1003" ca="1" si="139">IF($L965="","",IF(COUNTIF(D$3:D$1004,$L965)&gt;0,"○",""))</f>
        <v/>
      </c>
      <c r="P965" s="2" t="str">
        <f t="shared" ref="P965:P1003" ca="1" si="140">IF($L965="","",IF(COUNTIF(E$3:E$1004,$L965)&gt;0,"○",""))</f>
        <v/>
      </c>
    </row>
    <row r="966" spans="1:16">
      <c r="A966">
        <f>A965+1</f>
        <v>963</v>
      </c>
      <c r="B966" t="str">
        <f ca="1">IFERROR(VLOOKUP($A966,'vbs,vba'!$G:$H,2,FALSE),"")</f>
        <v/>
      </c>
      <c r="C966" t="str">
        <f ca="1">IFERROR(VLOOKUP($A966,python!$I:$J,2,FALSE),"")</f>
        <v/>
      </c>
      <c r="D966" t="str">
        <f ca="1">IFERROR(VLOOKUP($A966,bat!$F:$G,2,FALSE),"")</f>
        <v/>
      </c>
      <c r="E966" t="str">
        <f ca="1">IFERROR(VLOOKUP($A966,shell!$F:$G,2,FALSE),"")</f>
        <v>文字列抽出</v>
      </c>
      <c r="F966" t="str">
        <f t="shared" ca="1" si="138"/>
        <v>文字列抽出</v>
      </c>
      <c r="G966">
        <f ca="1">IF($F966="","",COUNTIF($F$3:$F966,$F966))</f>
        <v>3</v>
      </c>
      <c r="H966" t="str">
        <f ca="1">IF(OR(G966&gt;1,G966=""),"",COUNTIF($G$3:$G966,1))</f>
        <v/>
      </c>
      <c r="I966" t="str">
        <f ca="1">F966</f>
        <v>文字列抽出</v>
      </c>
      <c r="K966">
        <f t="shared" ref="K966:K1003" si="141">K965+1</f>
        <v>963</v>
      </c>
      <c r="L966" t="str">
        <f t="shared" ca="1" si="136"/>
        <v/>
      </c>
      <c r="M966" s="2" t="str">
        <f t="shared" ca="1" si="135"/>
        <v/>
      </c>
      <c r="N966" s="2" t="str">
        <f t="shared" ca="1" si="137"/>
        <v/>
      </c>
      <c r="O966" s="2" t="str">
        <f t="shared" ca="1" si="139"/>
        <v/>
      </c>
      <c r="P966" s="2" t="str">
        <f t="shared" ca="1" si="140"/>
        <v/>
      </c>
    </row>
    <row r="967" spans="1:16">
      <c r="A967">
        <f>A966+1</f>
        <v>964</v>
      </c>
      <c r="B967" t="str">
        <f ca="1">IFERROR(VLOOKUP($A967,'vbs,vba'!$G:$H,2,FALSE),"")</f>
        <v/>
      </c>
      <c r="C967" t="str">
        <f ca="1">IFERROR(VLOOKUP($A967,python!$I:$J,2,FALSE),"")</f>
        <v/>
      </c>
      <c r="D967" t="str">
        <f ca="1">IFERROR(VLOOKUP($A967,bat!$F:$G,2,FALSE),"")</f>
        <v/>
      </c>
      <c r="E967" t="str">
        <f ca="1">IFERROR(VLOOKUP($A967,shell!$F:$G,2,FALSE),"")</f>
        <v>文字数出力</v>
      </c>
      <c r="F967" t="str">
        <f t="shared" ca="1" si="138"/>
        <v>文字数出力</v>
      </c>
      <c r="G967">
        <f ca="1">IF($F967="","",COUNTIF($F$3:$F967,$F967))</f>
        <v>1</v>
      </c>
      <c r="H967">
        <f ca="1">IF(OR(G967&gt;1,G967=""),"",COUNTIF($G$3:$G967,1))</f>
        <v>872</v>
      </c>
      <c r="I967" t="str">
        <f ca="1">F967</f>
        <v>文字数出力</v>
      </c>
      <c r="K967">
        <f t="shared" si="141"/>
        <v>964</v>
      </c>
      <c r="L967" t="str">
        <f t="shared" ca="1" si="136"/>
        <v/>
      </c>
      <c r="M967" s="2" t="str">
        <f t="shared" ca="1" si="135"/>
        <v/>
      </c>
      <c r="N967" s="2" t="str">
        <f t="shared" ca="1" si="137"/>
        <v/>
      </c>
      <c r="O967" s="2" t="str">
        <f t="shared" ca="1" si="139"/>
        <v/>
      </c>
      <c r="P967" s="2" t="str">
        <f t="shared" ca="1" si="140"/>
        <v/>
      </c>
    </row>
    <row r="968" spans="1:16">
      <c r="A968">
        <f>A967+1</f>
        <v>965</v>
      </c>
      <c r="B968" t="str">
        <f ca="1">IFERROR(VLOOKUP($A968,'vbs,vba'!$G:$H,2,FALSE),"")</f>
        <v/>
      </c>
      <c r="C968" t="str">
        <f ca="1">IFERROR(VLOOKUP($A968,python!$I:$J,2,FALSE),"")</f>
        <v/>
      </c>
      <c r="D968" t="str">
        <f ca="1">IFERROR(VLOOKUP($A968,bat!$F:$G,2,FALSE),"")</f>
        <v/>
      </c>
      <c r="E968" t="str">
        <f ca="1">IFERROR(VLOOKUP($A968,shell!$F:$G,2,FALSE),"")</f>
        <v>配列要素数出力</v>
      </c>
      <c r="F968" t="str">
        <f t="shared" ca="1" si="138"/>
        <v>配列要素数出力</v>
      </c>
      <c r="G968">
        <f ca="1">IF($F968="","",COUNTIF($F$3:$F968,$F968))</f>
        <v>1</v>
      </c>
      <c r="H968">
        <f ca="1">IF(OR(G968&gt;1,G968=""),"",COUNTIF($G$3:$G968,1))</f>
        <v>873</v>
      </c>
      <c r="I968" t="str">
        <f ca="1">F968</f>
        <v>配列要素数出力</v>
      </c>
      <c r="K968">
        <f t="shared" si="141"/>
        <v>965</v>
      </c>
      <c r="L968" t="str">
        <f t="shared" ca="1" si="136"/>
        <v/>
      </c>
      <c r="M968" s="2" t="str">
        <f t="shared" ca="1" si="135"/>
        <v/>
      </c>
      <c r="N968" s="2" t="str">
        <f t="shared" ca="1" si="137"/>
        <v/>
      </c>
      <c r="O968" s="2" t="str">
        <f t="shared" ca="1" si="139"/>
        <v/>
      </c>
      <c r="P968" s="2" t="str">
        <f t="shared" ca="1" si="140"/>
        <v/>
      </c>
    </row>
    <row r="969" spans="1:16">
      <c r="A969">
        <f t="shared" ref="A969:A1003" si="142">A968+1</f>
        <v>966</v>
      </c>
      <c r="B969" t="str">
        <f ca="1">IFERROR(VLOOKUP($A969,'vbs,vba'!$G:$H,2,FALSE),"")</f>
        <v/>
      </c>
      <c r="C969" t="str">
        <f ca="1">IFERROR(VLOOKUP($A969,python!$I:$J,2,FALSE),"")</f>
        <v/>
      </c>
      <c r="D969" t="str">
        <f ca="1">IFERROR(VLOOKUP($A969,bat!$F:$G,2,FALSE),"")</f>
        <v/>
      </c>
      <c r="E969" t="str">
        <f ca="1">IFERROR(VLOOKUP($A969,shell!$F:$G,2,FALSE),"")</f>
        <v>前方一致除去(最短一致)</v>
      </c>
      <c r="F969" t="str">
        <f t="shared" ca="1" si="138"/>
        <v>前方一致除去(最短一致)</v>
      </c>
      <c r="G969">
        <f ca="1">IF($F969="","",COUNTIF($F$3:$F969,$F969))</f>
        <v>1</v>
      </c>
      <c r="H969">
        <f ca="1">IF(OR(G969&gt;1,G969=""),"",COUNTIF($G$3:$G969,1))</f>
        <v>874</v>
      </c>
      <c r="I969" t="str">
        <f t="shared" ref="I969:I1003" ca="1" si="143">F969</f>
        <v>前方一致除去(最短一致)</v>
      </c>
      <c r="K969">
        <f t="shared" si="141"/>
        <v>966</v>
      </c>
      <c r="L969" t="str">
        <f t="shared" ca="1" si="136"/>
        <v/>
      </c>
      <c r="M969" s="2" t="str">
        <f t="shared" ca="1" si="135"/>
        <v/>
      </c>
      <c r="N969" s="2" t="str">
        <f t="shared" ca="1" si="137"/>
        <v/>
      </c>
      <c r="O969" s="2" t="str">
        <f t="shared" ca="1" si="139"/>
        <v/>
      </c>
      <c r="P969" s="2" t="str">
        <f t="shared" ca="1" si="140"/>
        <v/>
      </c>
    </row>
    <row r="970" spans="1:16">
      <c r="A970">
        <f t="shared" si="142"/>
        <v>967</v>
      </c>
      <c r="B970" t="str">
        <f ca="1">IFERROR(VLOOKUP($A970,'vbs,vba'!$G:$H,2,FALSE),"")</f>
        <v/>
      </c>
      <c r="C970" t="str">
        <f ca="1">IFERROR(VLOOKUP($A970,python!$I:$J,2,FALSE),"")</f>
        <v/>
      </c>
      <c r="D970" t="str">
        <f ca="1">IFERROR(VLOOKUP($A970,bat!$F:$G,2,FALSE),"")</f>
        <v/>
      </c>
      <c r="E970" t="str">
        <f ca="1">IFERROR(VLOOKUP($A970,shell!$F:$G,2,FALSE),"")</f>
        <v>前方一致除去(最長一致)</v>
      </c>
      <c r="F970" t="str">
        <f t="shared" ca="1" si="138"/>
        <v>前方一致除去(最長一致)</v>
      </c>
      <c r="G970">
        <f ca="1">IF($F970="","",COUNTIF($F$3:$F970,$F970))</f>
        <v>1</v>
      </c>
      <c r="H970">
        <f ca="1">IF(OR(G970&gt;1,G970=""),"",COUNTIF($G$3:$G970,1))</f>
        <v>875</v>
      </c>
      <c r="I970" t="str">
        <f t="shared" ca="1" si="143"/>
        <v>前方一致除去(最長一致)</v>
      </c>
      <c r="K970">
        <f t="shared" si="141"/>
        <v>967</v>
      </c>
      <c r="L970" t="str">
        <f t="shared" ca="1" si="136"/>
        <v/>
      </c>
      <c r="M970" s="2" t="str">
        <f t="shared" ca="1" si="135"/>
        <v/>
      </c>
      <c r="N970" s="2" t="str">
        <f t="shared" ca="1" si="137"/>
        <v/>
      </c>
      <c r="O970" s="2" t="str">
        <f t="shared" ca="1" si="139"/>
        <v/>
      </c>
      <c r="P970" s="2" t="str">
        <f t="shared" ca="1" si="140"/>
        <v/>
      </c>
    </row>
    <row r="971" spans="1:16">
      <c r="A971">
        <f t="shared" si="142"/>
        <v>968</v>
      </c>
      <c r="B971" t="str">
        <f ca="1">IFERROR(VLOOKUP($A971,'vbs,vba'!$G:$H,2,FALSE),"")</f>
        <v/>
      </c>
      <c r="C971" t="str">
        <f ca="1">IFERROR(VLOOKUP($A971,python!$I:$J,2,FALSE),"")</f>
        <v/>
      </c>
      <c r="D971" t="str">
        <f ca="1">IFERROR(VLOOKUP($A971,bat!$F:$G,2,FALSE),"")</f>
        <v/>
      </c>
      <c r="E971" t="str">
        <f ca="1">IFERROR(VLOOKUP($A971,shell!$F:$G,2,FALSE),"")</f>
        <v>後方一致除去(最短一致)</v>
      </c>
      <c r="F971" t="str">
        <f t="shared" ca="1" si="138"/>
        <v>後方一致除去(最短一致)</v>
      </c>
      <c r="G971">
        <f ca="1">IF($F971="","",COUNTIF($F$3:$F971,$F971))</f>
        <v>1</v>
      </c>
      <c r="H971">
        <f ca="1">IF(OR(G971&gt;1,G971=""),"",COUNTIF($G$3:$G971,1))</f>
        <v>876</v>
      </c>
      <c r="I971" t="str">
        <f t="shared" ca="1" si="143"/>
        <v>後方一致除去(最短一致)</v>
      </c>
      <c r="K971">
        <f t="shared" si="141"/>
        <v>968</v>
      </c>
      <c r="L971" t="str">
        <f t="shared" ca="1" si="136"/>
        <v/>
      </c>
      <c r="M971" s="2" t="str">
        <f t="shared" ca="1" si="135"/>
        <v/>
      </c>
      <c r="N971" s="2" t="str">
        <f t="shared" ca="1" si="137"/>
        <v/>
      </c>
      <c r="O971" s="2" t="str">
        <f t="shared" ca="1" si="139"/>
        <v/>
      </c>
      <c r="P971" s="2" t="str">
        <f t="shared" ca="1" si="140"/>
        <v/>
      </c>
    </row>
    <row r="972" spans="1:16">
      <c r="A972">
        <f t="shared" si="142"/>
        <v>969</v>
      </c>
      <c r="B972" t="str">
        <f ca="1">IFERROR(VLOOKUP($A972,'vbs,vba'!$G:$H,2,FALSE),"")</f>
        <v/>
      </c>
      <c r="C972" t="str">
        <f ca="1">IFERROR(VLOOKUP($A972,python!$I:$J,2,FALSE),"")</f>
        <v/>
      </c>
      <c r="D972" t="str">
        <f ca="1">IFERROR(VLOOKUP($A972,bat!$F:$G,2,FALSE),"")</f>
        <v/>
      </c>
      <c r="E972" t="str">
        <f ca="1">IFERROR(VLOOKUP($A972,shell!$F:$G,2,FALSE),"")</f>
        <v>後方一致除去(最長一致)</v>
      </c>
      <c r="F972" t="str">
        <f t="shared" ca="1" si="138"/>
        <v>後方一致除去(最長一致)</v>
      </c>
      <c r="G972">
        <f ca="1">IF($F972="","",COUNTIF($F$3:$F972,$F972))</f>
        <v>1</v>
      </c>
      <c r="H972">
        <f ca="1">IF(OR(G972&gt;1,G972=""),"",COUNTIF($G$3:$G972,1))</f>
        <v>877</v>
      </c>
      <c r="I972" t="str">
        <f t="shared" ca="1" si="143"/>
        <v>後方一致除去(最長一致)</v>
      </c>
      <c r="K972">
        <f t="shared" si="141"/>
        <v>969</v>
      </c>
      <c r="L972" t="str">
        <f t="shared" ca="1" si="136"/>
        <v/>
      </c>
      <c r="M972" s="2" t="str">
        <f t="shared" ca="1" si="135"/>
        <v/>
      </c>
      <c r="N972" s="2" t="str">
        <f t="shared" ca="1" si="137"/>
        <v/>
      </c>
      <c r="O972" s="2" t="str">
        <f t="shared" ca="1" si="139"/>
        <v/>
      </c>
      <c r="P972" s="2" t="str">
        <f t="shared" ca="1" si="140"/>
        <v/>
      </c>
    </row>
    <row r="973" spans="1:16">
      <c r="A973">
        <f t="shared" si="142"/>
        <v>970</v>
      </c>
      <c r="B973" t="str">
        <f ca="1">IFERROR(VLOOKUP($A973,'vbs,vba'!$G:$H,2,FALSE),"")</f>
        <v/>
      </c>
      <c r="C973" t="str">
        <f ca="1">IFERROR(VLOOKUP($A973,python!$I:$J,2,FALSE),"")</f>
        <v/>
      </c>
      <c r="D973" t="str">
        <f ca="1">IFERROR(VLOOKUP($A973,bat!$F:$G,2,FALSE),"")</f>
        <v/>
      </c>
      <c r="E973" t="str">
        <f ca="1">IFERROR(VLOOKUP($A973,shell!$F:$G,2,FALSE),"")</f>
        <v>文字列置換(先頭単語のみ)</v>
      </c>
      <c r="F973" t="str">
        <f t="shared" ca="1" si="138"/>
        <v>文字列置換(先頭単語のみ)</v>
      </c>
      <c r="G973">
        <f ca="1">IF($F973="","",COUNTIF($F$3:$F973,$F973))</f>
        <v>1</v>
      </c>
      <c r="H973">
        <f ca="1">IF(OR(G973&gt;1,G973=""),"",COUNTIF($G$3:$G973,1))</f>
        <v>878</v>
      </c>
      <c r="I973" t="str">
        <f t="shared" ca="1" si="143"/>
        <v>文字列置換(先頭単語のみ)</v>
      </c>
      <c r="K973">
        <f t="shared" si="141"/>
        <v>970</v>
      </c>
      <c r="L973" t="str">
        <f t="shared" ca="1" si="136"/>
        <v/>
      </c>
      <c r="M973" s="2" t="str">
        <f t="shared" ca="1" si="135"/>
        <v/>
      </c>
      <c r="N973" s="2" t="str">
        <f t="shared" ca="1" si="137"/>
        <v/>
      </c>
      <c r="O973" s="2" t="str">
        <f t="shared" ca="1" si="139"/>
        <v/>
      </c>
      <c r="P973" s="2" t="str">
        <f t="shared" ca="1" si="140"/>
        <v/>
      </c>
    </row>
    <row r="974" spans="1:16">
      <c r="A974">
        <f t="shared" si="142"/>
        <v>971</v>
      </c>
      <c r="B974" t="str">
        <f ca="1">IFERROR(VLOOKUP($A974,'vbs,vba'!$G:$H,2,FALSE),"")</f>
        <v/>
      </c>
      <c r="C974" t="str">
        <f ca="1">IFERROR(VLOOKUP($A974,python!$I:$J,2,FALSE),"")</f>
        <v/>
      </c>
      <c r="D974" t="str">
        <f ca="1">IFERROR(VLOOKUP($A974,bat!$F:$G,2,FALSE),"")</f>
        <v/>
      </c>
      <c r="E974" t="str">
        <f ca="1">IFERROR(VLOOKUP($A974,shell!$F:$G,2,FALSE),"")</f>
        <v>文字列置換(全単語)</v>
      </c>
      <c r="F974" t="str">
        <f t="shared" ca="1" si="138"/>
        <v>文字列置換(全単語)</v>
      </c>
      <c r="G974">
        <f ca="1">IF($F974="","",COUNTIF($F$3:$F974,$F974))</f>
        <v>1</v>
      </c>
      <c r="H974">
        <f ca="1">IF(OR(G974&gt;1,G974=""),"",COUNTIF($G$3:$G974,1))</f>
        <v>879</v>
      </c>
      <c r="I974" t="str">
        <f t="shared" ca="1" si="143"/>
        <v>文字列置換(全単語)</v>
      </c>
      <c r="K974">
        <f t="shared" si="141"/>
        <v>971</v>
      </c>
      <c r="L974" t="str">
        <f t="shared" ca="1" si="136"/>
        <v/>
      </c>
      <c r="M974" s="2" t="str">
        <f t="shared" ca="1" si="135"/>
        <v/>
      </c>
      <c r="N974" s="2" t="str">
        <f t="shared" ca="1" si="137"/>
        <v/>
      </c>
      <c r="O974" s="2" t="str">
        <f t="shared" ca="1" si="139"/>
        <v/>
      </c>
      <c r="P974" s="2" t="str">
        <f t="shared" ca="1" si="140"/>
        <v/>
      </c>
    </row>
    <row r="975" spans="1:16">
      <c r="A975">
        <f t="shared" si="142"/>
        <v>972</v>
      </c>
      <c r="B975" t="str">
        <f ca="1">IFERROR(VLOOKUP($A975,'vbs,vba'!$G:$H,2,FALSE),"")</f>
        <v/>
      </c>
      <c r="C975" t="str">
        <f ca="1">IFERROR(VLOOKUP($A975,python!$I:$J,2,FALSE),"")</f>
        <v/>
      </c>
      <c r="D975" t="str">
        <f ca="1">IFERROR(VLOOKUP($A975,bat!$F:$G,2,FALSE),"")</f>
        <v/>
      </c>
      <c r="E975" t="str">
        <f ca="1">IFERROR(VLOOKUP($A975,shell!$F:$G,2,FALSE),"")</f>
        <v>大文字化(先頭文字)</v>
      </c>
      <c r="F975" t="str">
        <f t="shared" ca="1" si="138"/>
        <v>大文字化(先頭文字)</v>
      </c>
      <c r="G975">
        <f ca="1">IF($F975="","",COUNTIF($F$3:$F975,$F975))</f>
        <v>1</v>
      </c>
      <c r="H975">
        <f ca="1">IF(OR(G975&gt;1,G975=""),"",COUNTIF($G$3:$G975,1))</f>
        <v>880</v>
      </c>
      <c r="I975" t="str">
        <f t="shared" ca="1" si="143"/>
        <v>大文字化(先頭文字)</v>
      </c>
      <c r="K975">
        <f t="shared" si="141"/>
        <v>972</v>
      </c>
      <c r="L975" t="str">
        <f t="shared" ca="1" si="136"/>
        <v/>
      </c>
      <c r="M975" s="2" t="str">
        <f t="shared" ca="1" si="135"/>
        <v/>
      </c>
      <c r="N975" s="2" t="str">
        <f t="shared" ca="1" si="137"/>
        <v/>
      </c>
      <c r="O975" s="2" t="str">
        <f t="shared" ca="1" si="139"/>
        <v/>
      </c>
      <c r="P975" s="2" t="str">
        <f t="shared" ca="1" si="140"/>
        <v/>
      </c>
    </row>
    <row r="976" spans="1:16">
      <c r="A976">
        <f t="shared" si="142"/>
        <v>973</v>
      </c>
      <c r="B976" t="str">
        <f ca="1">IFERROR(VLOOKUP($A976,'vbs,vba'!$G:$H,2,FALSE),"")</f>
        <v/>
      </c>
      <c r="C976" t="str">
        <f ca="1">IFERROR(VLOOKUP($A976,python!$I:$J,2,FALSE),"")</f>
        <v/>
      </c>
      <c r="D976" t="str">
        <f ca="1">IFERROR(VLOOKUP($A976,bat!$F:$G,2,FALSE),"")</f>
        <v/>
      </c>
      <c r="E976" t="str">
        <f ca="1">IFERROR(VLOOKUP($A976,shell!$F:$G,2,FALSE),"")</f>
        <v>大文字化(全文字)</v>
      </c>
      <c r="F976" t="str">
        <f t="shared" ca="1" si="138"/>
        <v>大文字化(全文字)</v>
      </c>
      <c r="G976">
        <f ca="1">IF($F976="","",COUNTIF($F$3:$F976,$F976))</f>
        <v>1</v>
      </c>
      <c r="H976">
        <f ca="1">IF(OR(G976&gt;1,G976=""),"",COUNTIF($G$3:$G976,1))</f>
        <v>881</v>
      </c>
      <c r="I976" t="str">
        <f t="shared" ca="1" si="143"/>
        <v>大文字化(全文字)</v>
      </c>
      <c r="K976">
        <f t="shared" si="141"/>
        <v>973</v>
      </c>
      <c r="L976" t="str">
        <f t="shared" ca="1" si="136"/>
        <v/>
      </c>
      <c r="M976" s="2" t="str">
        <f t="shared" ca="1" si="135"/>
        <v/>
      </c>
      <c r="N976" s="2" t="str">
        <f t="shared" ca="1" si="137"/>
        <v/>
      </c>
      <c r="O976" s="2" t="str">
        <f t="shared" ca="1" si="139"/>
        <v/>
      </c>
      <c r="P976" s="2" t="str">
        <f t="shared" ca="1" si="140"/>
        <v/>
      </c>
    </row>
    <row r="977" spans="1:16">
      <c r="A977">
        <f t="shared" si="142"/>
        <v>974</v>
      </c>
      <c r="B977" t="str">
        <f ca="1">IFERROR(VLOOKUP($A977,'vbs,vba'!$G:$H,2,FALSE),"")</f>
        <v/>
      </c>
      <c r="C977" t="str">
        <f ca="1">IFERROR(VLOOKUP($A977,python!$I:$J,2,FALSE),"")</f>
        <v/>
      </c>
      <c r="D977" t="str">
        <f ca="1">IFERROR(VLOOKUP($A977,bat!$F:$G,2,FALSE),"")</f>
        <v/>
      </c>
      <c r="E977" t="str">
        <f ca="1">IFERROR(VLOOKUP($A977,shell!$F:$G,2,FALSE),"")</f>
        <v>小文字化(先頭文字)</v>
      </c>
      <c r="F977" t="str">
        <f t="shared" ca="1" si="138"/>
        <v>小文字化(先頭文字)</v>
      </c>
      <c r="G977">
        <f ca="1">IF($F977="","",COUNTIF($F$3:$F977,$F977))</f>
        <v>1</v>
      </c>
      <c r="H977">
        <f ca="1">IF(OR(G977&gt;1,G977=""),"",COUNTIF($G$3:$G977,1))</f>
        <v>882</v>
      </c>
      <c r="I977" t="str">
        <f t="shared" ca="1" si="143"/>
        <v>小文字化(先頭文字)</v>
      </c>
      <c r="K977">
        <f t="shared" si="141"/>
        <v>974</v>
      </c>
      <c r="L977" t="str">
        <f t="shared" ca="1" si="136"/>
        <v/>
      </c>
      <c r="M977" s="2" t="str">
        <f t="shared" ca="1" si="135"/>
        <v/>
      </c>
      <c r="N977" s="2" t="str">
        <f t="shared" ca="1" si="137"/>
        <v/>
      </c>
      <c r="O977" s="2" t="str">
        <f t="shared" ca="1" si="139"/>
        <v/>
      </c>
      <c r="P977" s="2" t="str">
        <f t="shared" ca="1" si="140"/>
        <v/>
      </c>
    </row>
    <row r="978" spans="1:16">
      <c r="A978">
        <f t="shared" si="142"/>
        <v>975</v>
      </c>
      <c r="B978" t="str">
        <f ca="1">IFERROR(VLOOKUP($A978,'vbs,vba'!$G:$H,2,FALSE),"")</f>
        <v/>
      </c>
      <c r="C978" t="str">
        <f ca="1">IFERROR(VLOOKUP($A978,python!$I:$J,2,FALSE),"")</f>
        <v/>
      </c>
      <c r="D978" t="str">
        <f ca="1">IFERROR(VLOOKUP($A978,bat!$F:$G,2,FALSE),"")</f>
        <v/>
      </c>
      <c r="E978" t="str">
        <f ca="1">IFERROR(VLOOKUP($A978,shell!$F:$G,2,FALSE),"")</f>
        <v>小文字化(全文字)</v>
      </c>
      <c r="F978" t="str">
        <f t="shared" ca="1" si="138"/>
        <v>小文字化(全文字)</v>
      </c>
      <c r="G978">
        <f ca="1">IF($F978="","",COUNTIF($F$3:$F978,$F978))</f>
        <v>1</v>
      </c>
      <c r="H978">
        <f ca="1">IF(OR(G978&gt;1,G978=""),"",COUNTIF($G$3:$G978,1))</f>
        <v>883</v>
      </c>
      <c r="I978" t="str">
        <f t="shared" ca="1" si="143"/>
        <v>小文字化(全文字)</v>
      </c>
      <c r="K978">
        <f t="shared" si="141"/>
        <v>975</v>
      </c>
      <c r="L978" t="str">
        <f t="shared" ca="1" si="136"/>
        <v/>
      </c>
      <c r="M978" s="2" t="str">
        <f t="shared" ca="1" si="135"/>
        <v/>
      </c>
      <c r="N978" s="2" t="str">
        <f t="shared" ca="1" si="137"/>
        <v/>
      </c>
      <c r="O978" s="2" t="str">
        <f t="shared" ca="1" si="139"/>
        <v/>
      </c>
      <c r="P978" s="2" t="str">
        <f t="shared" ca="1" si="140"/>
        <v/>
      </c>
    </row>
    <row r="979" spans="1:16">
      <c r="A979">
        <f t="shared" si="142"/>
        <v>976</v>
      </c>
      <c r="B979" t="str">
        <f ca="1">IFERROR(VLOOKUP($A979,'vbs,vba'!$G:$H,2,FALSE),"")</f>
        <v/>
      </c>
      <c r="C979" t="str">
        <f ca="1">IFERROR(VLOOKUP($A979,python!$I:$J,2,FALSE),"")</f>
        <v/>
      </c>
      <c r="D979" t="str">
        <f ca="1">IFERROR(VLOOKUP($A979,bat!$F:$G,2,FALSE),"")</f>
        <v/>
      </c>
      <c r="E979" t="str">
        <f ca="1">IFERROR(VLOOKUP($A979,shell!$F:$G,2,FALSE),"")</f>
        <v>大文字小文字反転(先頭文字)</v>
      </c>
      <c r="F979" t="str">
        <f t="shared" ca="1" si="138"/>
        <v>大文字小文字反転(先頭文字)</v>
      </c>
      <c r="G979">
        <f ca="1">IF($F979="","",COUNTIF($F$3:$F979,$F979))</f>
        <v>1</v>
      </c>
      <c r="H979">
        <f ca="1">IF(OR(G979&gt;1,G979=""),"",COUNTIF($G$3:$G979,1))</f>
        <v>884</v>
      </c>
      <c r="I979" t="str">
        <f t="shared" ca="1" si="143"/>
        <v>大文字小文字反転(先頭文字)</v>
      </c>
      <c r="K979">
        <f t="shared" si="141"/>
        <v>976</v>
      </c>
      <c r="L979" t="str">
        <f t="shared" ca="1" si="136"/>
        <v/>
      </c>
      <c r="M979" s="2" t="str">
        <f t="shared" ca="1" si="135"/>
        <v/>
      </c>
      <c r="N979" s="2" t="str">
        <f t="shared" ca="1" si="137"/>
        <v/>
      </c>
      <c r="O979" s="2" t="str">
        <f t="shared" ca="1" si="139"/>
        <v/>
      </c>
      <c r="P979" s="2" t="str">
        <f t="shared" ca="1" si="140"/>
        <v/>
      </c>
    </row>
    <row r="980" spans="1:16">
      <c r="A980">
        <f t="shared" si="142"/>
        <v>977</v>
      </c>
      <c r="B980" t="str">
        <f ca="1">IFERROR(VLOOKUP($A980,'vbs,vba'!$G:$H,2,FALSE),"")</f>
        <v/>
      </c>
      <c r="C980" t="str">
        <f ca="1">IFERROR(VLOOKUP($A980,python!$I:$J,2,FALSE),"")</f>
        <v/>
      </c>
      <c r="D980" t="str">
        <f ca="1">IFERROR(VLOOKUP($A980,bat!$F:$G,2,FALSE),"")</f>
        <v/>
      </c>
      <c r="E980" t="str">
        <f ca="1">IFERROR(VLOOKUP($A980,shell!$F:$G,2,FALSE),"")</f>
        <v>大文字小文字反転(全文字)</v>
      </c>
      <c r="F980" t="str">
        <f t="shared" ca="1" si="138"/>
        <v>大文字小文字反転(全文字)</v>
      </c>
      <c r="G980">
        <f ca="1">IF($F980="","",COUNTIF($F$3:$F980,$F980))</f>
        <v>1</v>
      </c>
      <c r="H980">
        <f ca="1">IF(OR(G980&gt;1,G980=""),"",COUNTIF($G$3:$G980,1))</f>
        <v>885</v>
      </c>
      <c r="I980" t="str">
        <f t="shared" ca="1" si="143"/>
        <v>大文字小文字反転(全文字)</v>
      </c>
      <c r="K980">
        <f t="shared" si="141"/>
        <v>977</v>
      </c>
      <c r="L980" t="str">
        <f t="shared" ca="1" si="136"/>
        <v/>
      </c>
      <c r="M980" s="2" t="str">
        <f t="shared" ca="1" si="135"/>
        <v/>
      </c>
      <c r="N980" s="2" t="str">
        <f t="shared" ca="1" si="137"/>
        <v/>
      </c>
      <c r="O980" s="2" t="str">
        <f t="shared" ca="1" si="139"/>
        <v/>
      </c>
      <c r="P980" s="2" t="str">
        <f t="shared" ca="1" si="140"/>
        <v/>
      </c>
    </row>
    <row r="981" spans="1:16">
      <c r="A981">
        <f t="shared" si="142"/>
        <v>978</v>
      </c>
      <c r="B981" t="str">
        <f ca="1">IFERROR(VLOOKUP($A981,'vbs,vba'!$G:$H,2,FALSE),"")</f>
        <v/>
      </c>
      <c r="C981" t="str">
        <f ca="1">IFERROR(VLOOKUP($A981,python!$I:$J,2,FALSE),"")</f>
        <v/>
      </c>
      <c r="D981" t="str">
        <f ca="1">IFERROR(VLOOKUP($A981,bat!$F:$G,2,FALSE),"")</f>
        <v/>
      </c>
      <c r="E981" t="str">
        <f ca="1">IFERROR(VLOOKUP($A981,shell!$F:$G,2,FALSE),"")</f>
        <v>数式展開</v>
      </c>
      <c r="F981" t="str">
        <f t="shared" ca="1" si="138"/>
        <v>数式展開</v>
      </c>
      <c r="G981">
        <f ca="1">IF($F981="","",COUNTIF($F$3:$F981,$F981))</f>
        <v>1</v>
      </c>
      <c r="H981">
        <f ca="1">IF(OR(G981&gt;1,G981=""),"",COUNTIF($G$3:$G981,1))</f>
        <v>886</v>
      </c>
      <c r="I981" t="str">
        <f t="shared" ca="1" si="143"/>
        <v>数式展開</v>
      </c>
      <c r="K981">
        <f t="shared" si="141"/>
        <v>978</v>
      </c>
      <c r="L981" t="str">
        <f t="shared" ca="1" si="136"/>
        <v/>
      </c>
      <c r="M981" s="2" t="str">
        <f t="shared" ca="1" si="135"/>
        <v/>
      </c>
      <c r="N981" s="2" t="str">
        <f t="shared" ca="1" si="137"/>
        <v/>
      </c>
      <c r="O981" s="2" t="str">
        <f t="shared" ca="1" si="139"/>
        <v/>
      </c>
      <c r="P981" s="2" t="str">
        <f t="shared" ca="1" si="140"/>
        <v/>
      </c>
    </row>
    <row r="982" spans="1:16">
      <c r="A982">
        <f t="shared" si="142"/>
        <v>979</v>
      </c>
      <c r="B982" t="str">
        <f ca="1">IFERROR(VLOOKUP($A982,'vbs,vba'!$G:$H,2,FALSE),"")</f>
        <v/>
      </c>
      <c r="C982" t="str">
        <f ca="1">IFERROR(VLOOKUP($A982,python!$I:$J,2,FALSE),"")</f>
        <v/>
      </c>
      <c r="D982" t="str">
        <f ca="1">IFERROR(VLOOKUP($A982,bat!$F:$G,2,FALSE),"")</f>
        <v/>
      </c>
      <c r="E982" t="str">
        <f ca="1">IFERROR(VLOOKUP($A982,shell!$F:$G,2,FALSE),"")</f>
        <v>特殊変数 引数の数</v>
      </c>
      <c r="F982" t="str">
        <f t="shared" ca="1" si="138"/>
        <v>特殊変数 引数の数</v>
      </c>
      <c r="G982">
        <f ca="1">IF($F982="","",COUNTIF($F$3:$F982,$F982))</f>
        <v>1</v>
      </c>
      <c r="H982">
        <f ca="1">IF(OR(G982&gt;1,G982=""),"",COUNTIF($G$3:$G982,1))</f>
        <v>887</v>
      </c>
      <c r="I982" t="str">
        <f t="shared" ca="1" si="143"/>
        <v>特殊変数 引数の数</v>
      </c>
      <c r="K982">
        <f t="shared" si="141"/>
        <v>979</v>
      </c>
      <c r="L982" t="str">
        <f t="shared" ca="1" si="136"/>
        <v/>
      </c>
      <c r="M982" s="2" t="str">
        <f t="shared" ca="1" si="135"/>
        <v/>
      </c>
      <c r="N982" s="2" t="str">
        <f t="shared" ca="1" si="137"/>
        <v/>
      </c>
      <c r="O982" s="2" t="str">
        <f t="shared" ca="1" si="139"/>
        <v/>
      </c>
      <c r="P982" s="2" t="str">
        <f t="shared" ca="1" si="140"/>
        <v/>
      </c>
    </row>
    <row r="983" spans="1:16">
      <c r="A983">
        <f t="shared" si="142"/>
        <v>980</v>
      </c>
      <c r="B983" t="str">
        <f ca="1">IFERROR(VLOOKUP($A983,'vbs,vba'!$G:$H,2,FALSE),"")</f>
        <v/>
      </c>
      <c r="C983" t="str">
        <f ca="1">IFERROR(VLOOKUP($A983,python!$I:$J,2,FALSE),"")</f>
        <v/>
      </c>
      <c r="D983" t="str">
        <f ca="1">IFERROR(VLOOKUP($A983,bat!$F:$G,2,FALSE),"")</f>
        <v/>
      </c>
      <c r="E983" t="str">
        <f ca="1">IFERROR(VLOOKUP($A983,shell!$F:$G,2,FALSE),"")</f>
        <v>特殊変数 引数の値</v>
      </c>
      <c r="F983" t="str">
        <f t="shared" ca="1" si="138"/>
        <v>特殊変数 引数の値</v>
      </c>
      <c r="G983">
        <f ca="1">IF($F983="","",COUNTIF($F$3:$F983,$F983))</f>
        <v>1</v>
      </c>
      <c r="H983">
        <f ca="1">IF(OR(G983&gt;1,G983=""),"",COUNTIF($G$3:$G983,1))</f>
        <v>888</v>
      </c>
      <c r="I983" t="str">
        <f t="shared" ca="1" si="143"/>
        <v>特殊変数 引数の値</v>
      </c>
      <c r="K983">
        <f t="shared" si="141"/>
        <v>980</v>
      </c>
      <c r="L983" t="str">
        <f t="shared" ca="1" si="136"/>
        <v/>
      </c>
      <c r="M983" s="2" t="str">
        <f t="shared" ca="1" si="135"/>
        <v/>
      </c>
      <c r="N983" s="2" t="str">
        <f t="shared" ca="1" si="137"/>
        <v/>
      </c>
      <c r="O983" s="2" t="str">
        <f t="shared" ca="1" si="139"/>
        <v/>
      </c>
      <c r="P983" s="2" t="str">
        <f t="shared" ca="1" si="140"/>
        <v/>
      </c>
    </row>
    <row r="984" spans="1:16">
      <c r="A984">
        <f t="shared" si="142"/>
        <v>981</v>
      </c>
      <c r="B984" t="str">
        <f ca="1">IFERROR(VLOOKUP($A984,'vbs,vba'!$G:$H,2,FALSE),"")</f>
        <v/>
      </c>
      <c r="C984" t="str">
        <f ca="1">IFERROR(VLOOKUP($A984,python!$I:$J,2,FALSE),"")</f>
        <v/>
      </c>
      <c r="D984" t="str">
        <f ca="1">IFERROR(VLOOKUP($A984,bat!$F:$G,2,FALSE),"")</f>
        <v/>
      </c>
      <c r="E984" t="str">
        <f ca="1">IFERROR(VLOOKUP($A984,shell!$F:$G,2,FALSE),"")</f>
        <v>特殊変数 シェルスクリプトファイル名</v>
      </c>
      <c r="F984" t="str">
        <f t="shared" ca="1" si="138"/>
        <v>特殊変数 シェルスクリプトファイル名</v>
      </c>
      <c r="G984">
        <f ca="1">IF($F984="","",COUNTIF($F$3:$F984,$F984))</f>
        <v>1</v>
      </c>
      <c r="H984">
        <f ca="1">IF(OR(G984&gt;1,G984=""),"",COUNTIF($G$3:$G984,1))</f>
        <v>889</v>
      </c>
      <c r="I984" t="str">
        <f t="shared" ca="1" si="143"/>
        <v>特殊変数 シェルスクリプトファイル名</v>
      </c>
      <c r="K984">
        <f t="shared" si="141"/>
        <v>981</v>
      </c>
      <c r="L984" t="str">
        <f t="shared" ca="1" si="136"/>
        <v/>
      </c>
      <c r="M984" s="2" t="str">
        <f t="shared" ca="1" si="135"/>
        <v/>
      </c>
      <c r="N984" s="2" t="str">
        <f t="shared" ca="1" si="137"/>
        <v/>
      </c>
      <c r="O984" s="2" t="str">
        <f t="shared" ca="1" si="139"/>
        <v/>
      </c>
      <c r="P984" s="2" t="str">
        <f t="shared" ca="1" si="140"/>
        <v/>
      </c>
    </row>
    <row r="985" spans="1:16">
      <c r="A985">
        <f t="shared" si="142"/>
        <v>982</v>
      </c>
      <c r="B985" t="str">
        <f ca="1">IFERROR(VLOOKUP($A985,'vbs,vba'!$G:$H,2,FALSE),"")</f>
        <v/>
      </c>
      <c r="C985" t="str">
        <f ca="1">IFERROR(VLOOKUP($A985,python!$I:$J,2,FALSE),"")</f>
        <v/>
      </c>
      <c r="D985" t="str">
        <f ca="1">IFERROR(VLOOKUP($A985,bat!$F:$G,2,FALSE),"")</f>
        <v/>
      </c>
      <c r="E985" t="str">
        <f ca="1">IFERROR(VLOOKUP($A985,shell!$F:$G,2,FALSE),"")</f>
        <v>特殊変数 全ての引数(区切りはスペース)</v>
      </c>
      <c r="F985" t="str">
        <f t="shared" ca="1" si="138"/>
        <v>特殊変数 全ての引数(区切りはスペース)</v>
      </c>
      <c r="G985">
        <f ca="1">IF($F985="","",COUNTIF($F$3:$F985,$F985))</f>
        <v>1</v>
      </c>
      <c r="H985">
        <f ca="1">IF(OR(G985&gt;1,G985=""),"",COUNTIF($G$3:$G985,1))</f>
        <v>890</v>
      </c>
      <c r="I985" t="str">
        <f t="shared" ca="1" si="143"/>
        <v>特殊変数 全ての引数(区切りはスペース)</v>
      </c>
      <c r="K985">
        <f t="shared" si="141"/>
        <v>982</v>
      </c>
      <c r="L985" t="str">
        <f t="shared" ca="1" si="136"/>
        <v/>
      </c>
      <c r="M985" s="2" t="str">
        <f t="shared" ca="1" si="135"/>
        <v/>
      </c>
      <c r="N985" s="2" t="str">
        <f t="shared" ca="1" si="137"/>
        <v/>
      </c>
      <c r="O985" s="2" t="str">
        <f t="shared" ca="1" si="139"/>
        <v/>
      </c>
      <c r="P985" s="2" t="str">
        <f t="shared" ca="1" si="140"/>
        <v/>
      </c>
    </row>
    <row r="986" spans="1:16">
      <c r="A986">
        <f t="shared" si="142"/>
        <v>983</v>
      </c>
      <c r="B986" t="str">
        <f ca="1">IFERROR(VLOOKUP($A986,'vbs,vba'!$G:$H,2,FALSE),"")</f>
        <v/>
      </c>
      <c r="C986" t="str">
        <f ca="1">IFERROR(VLOOKUP($A986,python!$I:$J,2,FALSE),"")</f>
        <v/>
      </c>
      <c r="D986" t="str">
        <f ca="1">IFERROR(VLOOKUP($A986,bat!$F:$G,2,FALSE),"")</f>
        <v/>
      </c>
      <c r="E986" t="str">
        <f ca="1">IFERROR(VLOOKUP($A986,shell!$F:$G,2,FALSE),"")</f>
        <v>特殊変数 全ての引数(区切りは環境変数IFSで指定したもの)</v>
      </c>
      <c r="F986" t="str">
        <f t="shared" ca="1" si="138"/>
        <v>特殊変数 全ての引数(区切りは環境変数IFSで指定したもの)</v>
      </c>
      <c r="G986">
        <f ca="1">IF($F986="","",COUNTIF($F$3:$F986,$F986))</f>
        <v>1</v>
      </c>
      <c r="H986">
        <f ca="1">IF(OR(G986&gt;1,G986=""),"",COUNTIF($G$3:$G986,1))</f>
        <v>891</v>
      </c>
      <c r="I986" t="str">
        <f t="shared" ca="1" si="143"/>
        <v>特殊変数 全ての引数(区切りは環境変数IFSで指定したもの)</v>
      </c>
      <c r="K986">
        <f t="shared" si="141"/>
        <v>983</v>
      </c>
      <c r="L986" t="str">
        <f t="shared" ca="1" si="136"/>
        <v/>
      </c>
      <c r="M986" s="2" t="str">
        <f t="shared" ca="1" si="135"/>
        <v/>
      </c>
      <c r="N986" s="2" t="str">
        <f t="shared" ca="1" si="137"/>
        <v/>
      </c>
      <c r="O986" s="2" t="str">
        <f t="shared" ca="1" si="139"/>
        <v/>
      </c>
      <c r="P986" s="2" t="str">
        <f t="shared" ca="1" si="140"/>
        <v/>
      </c>
    </row>
    <row r="987" spans="1:16">
      <c r="A987">
        <f t="shared" si="142"/>
        <v>984</v>
      </c>
      <c r="B987" t="str">
        <f ca="1">IFERROR(VLOOKUP($A987,'vbs,vba'!$G:$H,2,FALSE),"")</f>
        <v/>
      </c>
      <c r="C987" t="str">
        <f ca="1">IFERROR(VLOOKUP($A987,python!$I:$J,2,FALSE),"")</f>
        <v/>
      </c>
      <c r="D987" t="str">
        <f ca="1">IFERROR(VLOOKUP($A987,bat!$F:$G,2,FALSE),"")</f>
        <v/>
      </c>
      <c r="E987" t="str">
        <f ca="1">IFERROR(VLOOKUP($A987,shell!$F:$G,2,FALSE),"")</f>
        <v>特殊変数 現在実行シェルプロセスID</v>
      </c>
      <c r="F987" t="str">
        <f t="shared" ca="1" si="138"/>
        <v>特殊変数 現在実行シェルプロセスID</v>
      </c>
      <c r="G987">
        <f ca="1">IF($F987="","",COUNTIF($F$3:$F987,$F987))</f>
        <v>1</v>
      </c>
      <c r="H987">
        <f ca="1">IF(OR(G987&gt;1,G987=""),"",COUNTIF($G$3:$G987,1))</f>
        <v>892</v>
      </c>
      <c r="I987" t="str">
        <f t="shared" ca="1" si="143"/>
        <v>特殊変数 現在実行シェルプロセスID</v>
      </c>
      <c r="K987">
        <f t="shared" si="141"/>
        <v>984</v>
      </c>
      <c r="L987" t="str">
        <f t="shared" ca="1" si="136"/>
        <v/>
      </c>
      <c r="M987" s="2" t="str">
        <f t="shared" ca="1" si="135"/>
        <v/>
      </c>
      <c r="N987" s="2" t="str">
        <f t="shared" ca="1" si="137"/>
        <v/>
      </c>
      <c r="O987" s="2" t="str">
        <f t="shared" ca="1" si="139"/>
        <v/>
      </c>
      <c r="P987" s="2" t="str">
        <f t="shared" ca="1" si="140"/>
        <v/>
      </c>
    </row>
    <row r="988" spans="1:16">
      <c r="A988">
        <f t="shared" si="142"/>
        <v>985</v>
      </c>
      <c r="B988" t="str">
        <f ca="1">IFERROR(VLOOKUP($A988,'vbs,vba'!$G:$H,2,FALSE),"")</f>
        <v/>
      </c>
      <c r="C988" t="str">
        <f ca="1">IFERROR(VLOOKUP($A988,python!$I:$J,2,FALSE),"")</f>
        <v/>
      </c>
      <c r="D988" t="str">
        <f ca="1">IFERROR(VLOOKUP($A988,bat!$F:$G,2,FALSE),"")</f>
        <v/>
      </c>
      <c r="E988" t="str">
        <f ca="1">IFERROR(VLOOKUP($A988,shell!$F:$G,2,FALSE),"")</f>
        <v>特殊変数 最終実行バックグラウンドプロセスID</v>
      </c>
      <c r="F988" t="str">
        <f t="shared" ca="1" si="138"/>
        <v>特殊変数 最終実行バックグラウンドプロセスID</v>
      </c>
      <c r="G988">
        <f ca="1">IF($F988="","",COUNTIF($F$3:$F988,$F988))</f>
        <v>1</v>
      </c>
      <c r="H988">
        <f ca="1">IF(OR(G988&gt;1,G988=""),"",COUNTIF($G$3:$G988,1))</f>
        <v>893</v>
      </c>
      <c r="I988" t="str">
        <f t="shared" ca="1" si="143"/>
        <v>特殊変数 最終実行バックグラウンドプロセスID</v>
      </c>
      <c r="K988">
        <f t="shared" si="141"/>
        <v>985</v>
      </c>
      <c r="L988" t="str">
        <f t="shared" ca="1" si="136"/>
        <v/>
      </c>
      <c r="M988" s="2" t="str">
        <f t="shared" ca="1" si="135"/>
        <v/>
      </c>
      <c r="N988" s="2" t="str">
        <f t="shared" ca="1" si="137"/>
        <v/>
      </c>
      <c r="O988" s="2" t="str">
        <f t="shared" ca="1" si="139"/>
        <v/>
      </c>
      <c r="P988" s="2" t="str">
        <f t="shared" ca="1" si="140"/>
        <v/>
      </c>
    </row>
    <row r="989" spans="1:16">
      <c r="A989">
        <f t="shared" si="142"/>
        <v>986</v>
      </c>
      <c r="B989" t="str">
        <f ca="1">IFERROR(VLOOKUP($A989,'vbs,vba'!$G:$H,2,FALSE),"")</f>
        <v/>
      </c>
      <c r="C989" t="str">
        <f ca="1">IFERROR(VLOOKUP($A989,python!$I:$J,2,FALSE),"")</f>
        <v/>
      </c>
      <c r="D989" t="str">
        <f ca="1">IFERROR(VLOOKUP($A989,bat!$F:$G,2,FALSE),"")</f>
        <v/>
      </c>
      <c r="E989" t="str">
        <f ca="1">IFERROR(VLOOKUP($A989,shell!$F:$G,2,FALSE),"")</f>
        <v>特殊変数 直前実行したコマンド終了ステータス</v>
      </c>
      <c r="F989" t="str">
        <f t="shared" ca="1" si="138"/>
        <v>特殊変数 直前実行したコマンド終了ステータス</v>
      </c>
      <c r="G989">
        <f ca="1">IF($F989="","",COUNTIF($F$3:$F989,$F989))</f>
        <v>1</v>
      </c>
      <c r="H989">
        <f ca="1">IF(OR(G989&gt;1,G989=""),"",COUNTIF($G$3:$G989,1))</f>
        <v>894</v>
      </c>
      <c r="I989" t="str">
        <f t="shared" ca="1" si="143"/>
        <v>特殊変数 直前実行したコマンド終了ステータス</v>
      </c>
      <c r="K989">
        <f t="shared" si="141"/>
        <v>986</v>
      </c>
      <c r="L989" t="str">
        <f t="shared" ca="1" si="136"/>
        <v/>
      </c>
      <c r="M989" s="2" t="str">
        <f t="shared" ca="1" si="135"/>
        <v/>
      </c>
      <c r="N989" s="2" t="str">
        <f t="shared" ca="1" si="137"/>
        <v/>
      </c>
      <c r="O989" s="2" t="str">
        <f t="shared" ca="1" si="139"/>
        <v/>
      </c>
      <c r="P989" s="2" t="str">
        <f t="shared" ca="1" si="140"/>
        <v/>
      </c>
    </row>
    <row r="990" spans="1:16">
      <c r="A990">
        <f t="shared" si="142"/>
        <v>987</v>
      </c>
      <c r="B990" t="str">
        <f ca="1">IFERROR(VLOOKUP($A990,'vbs,vba'!$G:$H,2,FALSE),"")</f>
        <v/>
      </c>
      <c r="C990" t="str">
        <f ca="1">IFERROR(VLOOKUP($A990,python!$I:$J,2,FALSE),"")</f>
        <v/>
      </c>
      <c r="D990" t="str">
        <f ca="1">IFERROR(VLOOKUP($A990,bat!$F:$G,2,FALSE),"")</f>
        <v/>
      </c>
      <c r="E990" t="str">
        <f ca="1">IFERROR(VLOOKUP($A990,shell!$F:$G,2,FALSE),"")</f>
        <v>特殊変数 最終実行コマンド最終引数</v>
      </c>
      <c r="F990" t="str">
        <f t="shared" ca="1" si="138"/>
        <v>特殊変数 最終実行コマンド最終引数</v>
      </c>
      <c r="G990">
        <f ca="1">IF($F990="","",COUNTIF($F$3:$F990,$F990))</f>
        <v>1</v>
      </c>
      <c r="H990">
        <f ca="1">IF(OR(G990&gt;1,G990=""),"",COUNTIF($G$3:$G990,1))</f>
        <v>895</v>
      </c>
      <c r="I990" t="str">
        <f t="shared" ca="1" si="143"/>
        <v>特殊変数 最終実行コマンド最終引数</v>
      </c>
      <c r="K990">
        <f t="shared" si="141"/>
        <v>987</v>
      </c>
      <c r="L990" t="str">
        <f t="shared" ca="1" si="136"/>
        <v/>
      </c>
      <c r="M990" s="2" t="str">
        <f t="shared" ca="1" si="135"/>
        <v/>
      </c>
      <c r="N990" s="2" t="str">
        <f t="shared" ca="1" si="137"/>
        <v/>
      </c>
      <c r="O990" s="2" t="str">
        <f t="shared" ca="1" si="139"/>
        <v/>
      </c>
      <c r="P990" s="2" t="str">
        <f t="shared" ca="1" si="140"/>
        <v/>
      </c>
    </row>
    <row r="991" spans="1:16">
      <c r="A991">
        <f t="shared" si="142"/>
        <v>988</v>
      </c>
      <c r="B991" t="str">
        <f ca="1">IFERROR(VLOOKUP($A991,'vbs,vba'!$G:$H,2,FALSE),"")</f>
        <v/>
      </c>
      <c r="C991" t="str">
        <f ca="1">IFERROR(VLOOKUP($A991,python!$I:$J,2,FALSE),"")</f>
        <v/>
      </c>
      <c r="D991" t="str">
        <f ca="1">IFERROR(VLOOKUP($A991,bat!$F:$G,2,FALSE),"")</f>
        <v/>
      </c>
      <c r="E991" t="str">
        <f ca="1">IFERROR(VLOOKUP($A991,shell!$F:$G,2,FALSE),"")</f>
        <v>if</v>
      </c>
      <c r="F991" t="str">
        <f t="shared" ca="1" si="138"/>
        <v>if</v>
      </c>
      <c r="G991">
        <f ca="1">IF($F991="","",COUNTIF($F$3:$F991,$F991))</f>
        <v>2</v>
      </c>
      <c r="H991" t="str">
        <f ca="1">IF(OR(G991&gt;1,G991=""),"",COUNTIF($G$3:$G991,1))</f>
        <v/>
      </c>
      <c r="I991" t="str">
        <f t="shared" ca="1" si="143"/>
        <v>if</v>
      </c>
      <c r="K991">
        <f t="shared" si="141"/>
        <v>988</v>
      </c>
      <c r="L991" t="str">
        <f t="shared" ca="1" si="136"/>
        <v/>
      </c>
      <c r="M991" s="2" t="str">
        <f t="shared" ca="1" si="135"/>
        <v/>
      </c>
      <c r="N991" s="2" t="str">
        <f t="shared" ca="1" si="137"/>
        <v/>
      </c>
      <c r="O991" s="2" t="str">
        <f t="shared" ca="1" si="139"/>
        <v/>
      </c>
      <c r="P991" s="2" t="str">
        <f t="shared" ca="1" si="140"/>
        <v/>
      </c>
    </row>
    <row r="992" spans="1:16">
      <c r="A992">
        <f t="shared" si="142"/>
        <v>989</v>
      </c>
      <c r="B992" t="str">
        <f ca="1">IFERROR(VLOOKUP($A992,'vbs,vba'!$G:$H,2,FALSE),"")</f>
        <v/>
      </c>
      <c r="C992" t="str">
        <f ca="1">IFERROR(VLOOKUP($A992,python!$I:$J,2,FALSE),"")</f>
        <v/>
      </c>
      <c r="D992" t="str">
        <f ca="1">IFERROR(VLOOKUP($A992,bat!$F:$G,2,FALSE),"")</f>
        <v/>
      </c>
      <c r="E992" t="str">
        <f ca="1">IFERROR(VLOOKUP($A992,shell!$F:$G,2,FALSE),"")</f>
        <v>if (何もしない)</v>
      </c>
      <c r="F992" t="str">
        <f t="shared" ca="1" si="138"/>
        <v>if (何もしない)</v>
      </c>
      <c r="G992">
        <f ca="1">IF($F992="","",COUNTIF($F$3:$F992,$F992))</f>
        <v>1</v>
      </c>
      <c r="H992">
        <f ca="1">IF(OR(G992&gt;1,G992=""),"",COUNTIF($G$3:$G992,1))</f>
        <v>896</v>
      </c>
      <c r="I992" t="str">
        <f t="shared" ca="1" si="143"/>
        <v>if (何もしない)</v>
      </c>
      <c r="K992">
        <f t="shared" si="141"/>
        <v>989</v>
      </c>
      <c r="L992" t="str">
        <f t="shared" ca="1" si="136"/>
        <v/>
      </c>
      <c r="M992" s="2" t="str">
        <f t="shared" ca="1" si="135"/>
        <v/>
      </c>
      <c r="N992" s="2" t="str">
        <f t="shared" ca="1" si="137"/>
        <v/>
      </c>
      <c r="O992" s="2" t="str">
        <f t="shared" ca="1" si="139"/>
        <v/>
      </c>
      <c r="P992" s="2" t="str">
        <f t="shared" ca="1" si="140"/>
        <v/>
      </c>
    </row>
    <row r="993" spans="1:16">
      <c r="A993">
        <f t="shared" si="142"/>
        <v>990</v>
      </c>
      <c r="B993" t="str">
        <f ca="1">IFERROR(VLOOKUP($A993,'vbs,vba'!$G:$H,2,FALSE),"")</f>
        <v/>
      </c>
      <c r="C993" t="str">
        <f ca="1">IFERROR(VLOOKUP($A993,python!$I:$J,2,FALSE),"")</f>
        <v/>
      </c>
      <c r="D993" t="str">
        <f ca="1">IFERROR(VLOOKUP($A993,bat!$F:$G,2,FALSE),"")</f>
        <v/>
      </c>
      <c r="E993" t="str">
        <f ca="1">IFERROR(VLOOKUP($A993,shell!$F:$G,2,FALSE),"")</f>
        <v>if (否定)</v>
      </c>
      <c r="F993" t="str">
        <f t="shared" ca="1" si="138"/>
        <v>if (否定)</v>
      </c>
      <c r="G993">
        <f ca="1">IF($F993="","",COUNTIF($F$3:$F993,$F993))</f>
        <v>1</v>
      </c>
      <c r="H993">
        <f ca="1">IF(OR(G993&gt;1,G993=""),"",COUNTIF($G$3:$G993,1))</f>
        <v>897</v>
      </c>
      <c r="I993" t="str">
        <f t="shared" ca="1" si="143"/>
        <v>if (否定)</v>
      </c>
      <c r="K993">
        <f t="shared" si="141"/>
        <v>990</v>
      </c>
      <c r="L993" t="str">
        <f t="shared" ca="1" si="136"/>
        <v/>
      </c>
      <c r="M993" s="2" t="str">
        <f t="shared" ca="1" si="135"/>
        <v/>
      </c>
      <c r="N993" s="2" t="str">
        <f t="shared" ca="1" si="137"/>
        <v/>
      </c>
      <c r="O993" s="2" t="str">
        <f t="shared" ca="1" si="139"/>
        <v/>
      </c>
      <c r="P993" s="2" t="str">
        <f t="shared" ca="1" si="140"/>
        <v/>
      </c>
    </row>
    <row r="994" spans="1:16">
      <c r="A994">
        <f t="shared" si="142"/>
        <v>991</v>
      </c>
      <c r="B994" t="str">
        <f ca="1">IFERROR(VLOOKUP($A994,'vbs,vba'!$G:$H,2,FALSE),"")</f>
        <v/>
      </c>
      <c r="C994" t="str">
        <f ca="1">IFERROR(VLOOKUP($A994,python!$I:$J,2,FALSE),"")</f>
        <v/>
      </c>
      <c r="D994" t="str">
        <f ca="1">IFERROR(VLOOKUP($A994,bat!$F:$G,2,FALSE),"")</f>
        <v/>
      </c>
      <c r="E994" t="str">
        <f ca="1">IFERROR(VLOOKUP($A994,shell!$F:$G,2,FALSE),"")</f>
        <v>if 論理結合(AND)</v>
      </c>
      <c r="F994" t="str">
        <f t="shared" ca="1" si="138"/>
        <v>if 論理結合(AND)</v>
      </c>
      <c r="G994">
        <f ca="1">IF($F994="","",COUNTIF($F$3:$F994,$F994))</f>
        <v>1</v>
      </c>
      <c r="H994">
        <f ca="1">IF(OR(G994&gt;1,G994=""),"",COUNTIF($G$3:$G994,1))</f>
        <v>898</v>
      </c>
      <c r="I994" t="str">
        <f t="shared" ca="1" si="143"/>
        <v>if 論理結合(AND)</v>
      </c>
      <c r="K994">
        <f t="shared" si="141"/>
        <v>991</v>
      </c>
      <c r="L994" t="str">
        <f t="shared" ca="1" si="136"/>
        <v/>
      </c>
      <c r="M994" s="2" t="str">
        <f t="shared" ca="1" si="135"/>
        <v/>
      </c>
      <c r="N994" s="2" t="str">
        <f t="shared" ca="1" si="137"/>
        <v/>
      </c>
      <c r="O994" s="2" t="str">
        <f t="shared" ca="1" si="139"/>
        <v/>
      </c>
      <c r="P994" s="2" t="str">
        <f t="shared" ca="1" si="140"/>
        <v/>
      </c>
    </row>
    <row r="995" spans="1:16">
      <c r="A995">
        <f t="shared" si="142"/>
        <v>992</v>
      </c>
      <c r="B995" t="str">
        <f ca="1">IFERROR(VLOOKUP($A995,'vbs,vba'!$G:$H,2,FALSE),"")</f>
        <v/>
      </c>
      <c r="C995" t="str">
        <f ca="1">IFERROR(VLOOKUP($A995,python!$I:$J,2,FALSE),"")</f>
        <v/>
      </c>
      <c r="D995" t="str">
        <f ca="1">IFERROR(VLOOKUP($A995,bat!$F:$G,2,FALSE),"")</f>
        <v/>
      </c>
      <c r="E995" t="str">
        <f ca="1">IFERROR(VLOOKUP($A995,shell!$F:$G,2,FALSE),"")</f>
        <v>if 論理結合(OR)</v>
      </c>
      <c r="F995" t="str">
        <f t="shared" ca="1" si="138"/>
        <v>if 論理結合(OR)</v>
      </c>
      <c r="G995">
        <f ca="1">IF($F995="","",COUNTIF($F$3:$F995,$F995))</f>
        <v>1</v>
      </c>
      <c r="H995">
        <f ca="1">IF(OR(G995&gt;1,G995=""),"",COUNTIF($G$3:$G995,1))</f>
        <v>899</v>
      </c>
      <c r="I995" t="str">
        <f t="shared" ca="1" si="143"/>
        <v>if 論理結合(OR)</v>
      </c>
      <c r="K995">
        <f t="shared" si="141"/>
        <v>992</v>
      </c>
      <c r="L995" t="str">
        <f t="shared" ca="1" si="136"/>
        <v/>
      </c>
      <c r="M995" s="2" t="str">
        <f t="shared" ca="1" si="135"/>
        <v/>
      </c>
      <c r="N995" s="2" t="str">
        <f t="shared" ca="1" si="137"/>
        <v/>
      </c>
      <c r="O995" s="2" t="str">
        <f t="shared" ca="1" si="139"/>
        <v/>
      </c>
      <c r="P995" s="2" t="str">
        <f t="shared" ca="1" si="140"/>
        <v/>
      </c>
    </row>
    <row r="996" spans="1:16">
      <c r="A996">
        <f t="shared" si="142"/>
        <v>993</v>
      </c>
      <c r="B996" t="str">
        <f ca="1">IFERROR(VLOOKUP($A996,'vbs,vba'!$G:$H,2,FALSE),"")</f>
        <v/>
      </c>
      <c r="C996" t="str">
        <f ca="1">IFERROR(VLOOKUP($A996,python!$I:$J,2,FALSE),"")</f>
        <v/>
      </c>
      <c r="D996" t="str">
        <f ca="1">IFERROR(VLOOKUP($A996,bat!$F:$G,2,FALSE),"")</f>
        <v/>
      </c>
      <c r="E996" t="str">
        <f ca="1">IFERROR(VLOOKUP($A996,shell!$F:$G,2,FALSE),"")</f>
        <v>if 論理結合(AND+OR)</v>
      </c>
      <c r="F996" t="str">
        <f t="shared" ca="1" si="138"/>
        <v>if 論理結合(AND+OR)</v>
      </c>
      <c r="G996">
        <f ca="1">IF($F996="","",COUNTIF($F$3:$F996,$F996))</f>
        <v>1</v>
      </c>
      <c r="H996">
        <f ca="1">IF(OR(G996&gt;1,G996=""),"",COUNTIF($G$3:$G996,1))</f>
        <v>900</v>
      </c>
      <c r="I996" t="str">
        <f t="shared" ca="1" si="143"/>
        <v>if 論理結合(AND+OR)</v>
      </c>
      <c r="K996">
        <f t="shared" si="141"/>
        <v>993</v>
      </c>
      <c r="L996" t="str">
        <f t="shared" ca="1" si="136"/>
        <v/>
      </c>
      <c r="M996" s="2" t="str">
        <f t="shared" ca="1" si="135"/>
        <v/>
      </c>
      <c r="N996" s="2" t="str">
        <f t="shared" ca="1" si="137"/>
        <v/>
      </c>
      <c r="O996" s="2" t="str">
        <f t="shared" ca="1" si="139"/>
        <v/>
      </c>
      <c r="P996" s="2" t="str">
        <f t="shared" ca="1" si="140"/>
        <v/>
      </c>
    </row>
    <row r="997" spans="1:16">
      <c r="A997">
        <f t="shared" si="142"/>
        <v>994</v>
      </c>
      <c r="B997" t="str">
        <f ca="1">IFERROR(VLOOKUP($A997,'vbs,vba'!$G:$H,2,FALSE),"")</f>
        <v/>
      </c>
      <c r="C997" t="str">
        <f ca="1">IFERROR(VLOOKUP($A997,python!$I:$J,2,FALSE),"")</f>
        <v/>
      </c>
      <c r="D997" t="str">
        <f ca="1">IFERROR(VLOOKUP($A997,bat!$F:$G,2,FALSE),"")</f>
        <v/>
      </c>
      <c r="E997" t="str">
        <f ca="1">IFERROR(VLOOKUP($A997,shell!$F:$G,2,FALSE),"")</f>
        <v>switch</v>
      </c>
      <c r="F997" t="str">
        <f t="shared" ca="1" si="138"/>
        <v>switch</v>
      </c>
      <c r="G997">
        <f ca="1">IF($F997="","",COUNTIF($F$3:$F997,$F997))</f>
        <v>1</v>
      </c>
      <c r="H997">
        <f ca="1">IF(OR(G997&gt;1,G997=""),"",COUNTIF($G$3:$G997,1))</f>
        <v>901</v>
      </c>
      <c r="I997" t="str">
        <f t="shared" ca="1" si="143"/>
        <v>switch</v>
      </c>
      <c r="K997">
        <f t="shared" si="141"/>
        <v>994</v>
      </c>
      <c r="L997" t="str">
        <f t="shared" ca="1" si="136"/>
        <v/>
      </c>
      <c r="M997" s="2" t="str">
        <f t="shared" ca="1" si="135"/>
        <v/>
      </c>
      <c r="N997" s="2" t="str">
        <f t="shared" ca="1" si="137"/>
        <v/>
      </c>
      <c r="O997" s="2" t="str">
        <f t="shared" ca="1" si="139"/>
        <v/>
      </c>
      <c r="P997" s="2" t="str">
        <f t="shared" ca="1" si="140"/>
        <v/>
      </c>
    </row>
    <row r="998" spans="1:16">
      <c r="A998">
        <f t="shared" si="142"/>
        <v>995</v>
      </c>
      <c r="B998" t="str">
        <f ca="1">IFERROR(VLOOKUP($A998,'vbs,vba'!$G:$H,2,FALSE),"")</f>
        <v/>
      </c>
      <c r="C998" t="str">
        <f ca="1">IFERROR(VLOOKUP($A998,python!$I:$J,2,FALSE),"")</f>
        <v/>
      </c>
      <c r="D998" t="str">
        <f ca="1">IFERROR(VLOOKUP($A998,bat!$F:$G,2,FALSE),"")</f>
        <v/>
      </c>
      <c r="E998" t="str">
        <f ca="1">IFERROR(VLOOKUP($A998,shell!$F:$G,2,FALSE),"")</f>
        <v>for(数値指定1)</v>
      </c>
      <c r="F998" t="str">
        <f t="shared" ca="1" si="138"/>
        <v>for(数値指定1)</v>
      </c>
      <c r="G998">
        <f ca="1">IF($F998="","",COUNTIF($F$3:$F998,$F998))</f>
        <v>1</v>
      </c>
      <c r="H998">
        <f ca="1">IF(OR(G998&gt;1,G998=""),"",COUNTIF($G$3:$G998,1))</f>
        <v>902</v>
      </c>
      <c r="I998" t="str">
        <f t="shared" ca="1" si="143"/>
        <v>for(数値指定1)</v>
      </c>
      <c r="K998">
        <f t="shared" si="141"/>
        <v>995</v>
      </c>
      <c r="L998" t="str">
        <f t="shared" ca="1" si="136"/>
        <v/>
      </c>
      <c r="M998" s="2" t="str">
        <f t="shared" ca="1" si="135"/>
        <v/>
      </c>
      <c r="N998" s="2" t="str">
        <f t="shared" ca="1" si="137"/>
        <v/>
      </c>
      <c r="O998" s="2" t="str">
        <f t="shared" ca="1" si="139"/>
        <v/>
      </c>
      <c r="P998" s="2" t="str">
        <f t="shared" ca="1" si="140"/>
        <v/>
      </c>
    </row>
    <row r="999" spans="1:16">
      <c r="A999">
        <f t="shared" si="142"/>
        <v>996</v>
      </c>
      <c r="B999" t="str">
        <f ca="1">IFERROR(VLOOKUP($A999,'vbs,vba'!$G:$H,2,FALSE),"")</f>
        <v/>
      </c>
      <c r="C999" t="str">
        <f ca="1">IFERROR(VLOOKUP($A999,python!$I:$J,2,FALSE),"")</f>
        <v/>
      </c>
      <c r="D999" t="str">
        <f ca="1">IFERROR(VLOOKUP($A999,bat!$F:$G,2,FALSE),"")</f>
        <v/>
      </c>
      <c r="E999" t="str">
        <f ca="1">IFERROR(VLOOKUP($A999,shell!$F:$G,2,FALSE),"")</f>
        <v>for(数値指定2)</v>
      </c>
      <c r="F999" t="str">
        <f t="shared" ca="1" si="138"/>
        <v>for(数値指定2)</v>
      </c>
      <c r="G999">
        <f ca="1">IF($F999="","",COUNTIF($F$3:$F999,$F999))</f>
        <v>1</v>
      </c>
      <c r="H999">
        <f ca="1">IF(OR(G999&gt;1,G999=""),"",COUNTIF($G$3:$G999,1))</f>
        <v>903</v>
      </c>
      <c r="I999" t="str">
        <f t="shared" ca="1" si="143"/>
        <v>for(数値指定2)</v>
      </c>
      <c r="K999">
        <f t="shared" si="141"/>
        <v>996</v>
      </c>
      <c r="L999" t="str">
        <f t="shared" ca="1" si="136"/>
        <v/>
      </c>
      <c r="M999" s="2" t="str">
        <f t="shared" ca="1" si="135"/>
        <v/>
      </c>
      <c r="N999" s="2" t="str">
        <f t="shared" ca="1" si="137"/>
        <v/>
      </c>
      <c r="O999" s="2" t="str">
        <f t="shared" ca="1" si="139"/>
        <v/>
      </c>
      <c r="P999" s="2" t="str">
        <f t="shared" ca="1" si="140"/>
        <v/>
      </c>
    </row>
    <row r="1000" spans="1:16">
      <c r="A1000">
        <f t="shared" si="142"/>
        <v>997</v>
      </c>
      <c r="B1000" t="str">
        <f ca="1">IFERROR(VLOOKUP($A1000,'vbs,vba'!$G:$H,2,FALSE),"")</f>
        <v/>
      </c>
      <c r="C1000" t="str">
        <f ca="1">IFERROR(VLOOKUP($A1000,python!$I:$J,2,FALSE),"")</f>
        <v/>
      </c>
      <c r="D1000" t="str">
        <f ca="1">IFERROR(VLOOKUP($A1000,bat!$F:$G,2,FALSE),"")</f>
        <v/>
      </c>
      <c r="E1000" t="str">
        <f ca="1">IFERROR(VLOOKUP($A1000,shell!$F:$G,2,FALSE),"")</f>
        <v>for(文字列リスト指定)</v>
      </c>
      <c r="F1000" t="str">
        <f t="shared" ca="1" si="138"/>
        <v>for(文字列リスト指定)</v>
      </c>
      <c r="G1000">
        <f ca="1">IF($F1000="","",COUNTIF($F$3:$F1000,$F1000))</f>
        <v>1</v>
      </c>
      <c r="H1000">
        <f ca="1">IF(OR(G1000&gt;1,G1000=""),"",COUNTIF($G$3:$G1000,1))</f>
        <v>904</v>
      </c>
      <c r="I1000" t="str">
        <f t="shared" ca="1" si="143"/>
        <v>for(文字列リスト指定)</v>
      </c>
      <c r="K1000">
        <f t="shared" si="141"/>
        <v>997</v>
      </c>
      <c r="L1000" t="str">
        <f t="shared" ca="1" si="136"/>
        <v/>
      </c>
      <c r="M1000" s="2" t="str">
        <f t="shared" ca="1" si="135"/>
        <v/>
      </c>
      <c r="N1000" s="2" t="str">
        <f t="shared" ca="1" si="137"/>
        <v/>
      </c>
      <c r="O1000" s="2" t="str">
        <f t="shared" ca="1" si="139"/>
        <v/>
      </c>
      <c r="P1000" s="2" t="str">
        <f t="shared" ca="1" si="140"/>
        <v/>
      </c>
    </row>
    <row r="1001" spans="1:16">
      <c r="A1001">
        <f t="shared" si="142"/>
        <v>998</v>
      </c>
      <c r="B1001" t="str">
        <f ca="1">IFERROR(VLOOKUP($A1001,'vbs,vba'!$G:$H,2,FALSE),"")</f>
        <v/>
      </c>
      <c r="C1001" t="str">
        <f ca="1">IFERROR(VLOOKUP($A1001,python!$I:$J,2,FALSE),"")</f>
        <v/>
      </c>
      <c r="D1001" t="str">
        <f ca="1">IFERROR(VLOOKUP($A1001,bat!$F:$G,2,FALSE),"")</f>
        <v/>
      </c>
      <c r="E1001" t="str">
        <f ca="1">IFERROR(VLOOKUP($A1001,shell!$F:$G,2,FALSE),"")</f>
        <v>for(配列指定)</v>
      </c>
      <c r="F1001" t="str">
        <f t="shared" ca="1" si="138"/>
        <v>for(配列指定)</v>
      </c>
      <c r="G1001">
        <f ca="1">IF($F1001="","",COUNTIF($F$3:$F1001,$F1001))</f>
        <v>1</v>
      </c>
      <c r="H1001">
        <f ca="1">IF(OR(G1001&gt;1,G1001=""),"",COUNTIF($G$3:$G1001,1))</f>
        <v>905</v>
      </c>
      <c r="I1001" t="str">
        <f t="shared" ca="1" si="143"/>
        <v>for(配列指定)</v>
      </c>
      <c r="K1001">
        <f t="shared" si="141"/>
        <v>998</v>
      </c>
      <c r="L1001" t="str">
        <f t="shared" ca="1" si="136"/>
        <v/>
      </c>
      <c r="M1001" s="2" t="str">
        <f t="shared" ca="1" si="135"/>
        <v/>
      </c>
      <c r="N1001" s="2" t="str">
        <f t="shared" ca="1" si="137"/>
        <v/>
      </c>
      <c r="O1001" s="2" t="str">
        <f t="shared" ca="1" si="139"/>
        <v/>
      </c>
      <c r="P1001" s="2" t="str">
        <f t="shared" ca="1" si="140"/>
        <v/>
      </c>
    </row>
    <row r="1002" spans="1:16">
      <c r="A1002">
        <f t="shared" si="142"/>
        <v>999</v>
      </c>
      <c r="B1002" t="str">
        <f ca="1">IFERROR(VLOOKUP($A1002,'vbs,vba'!$G:$H,2,FALSE),"")</f>
        <v/>
      </c>
      <c r="C1002" t="str">
        <f ca="1">IFERROR(VLOOKUP($A1002,python!$I:$J,2,FALSE),"")</f>
        <v/>
      </c>
      <c r="D1002" t="str">
        <f ca="1">IFERROR(VLOOKUP($A1002,bat!$F:$G,2,FALSE),"")</f>
        <v/>
      </c>
      <c r="E1002" t="str">
        <f ca="1">IFERROR(VLOOKUP($A1002,shell!$F:$G,2,FALSE),"")</f>
        <v>for(ファイル指定)</v>
      </c>
      <c r="F1002" t="str">
        <f t="shared" ca="1" si="138"/>
        <v>for(ファイル指定)</v>
      </c>
      <c r="G1002">
        <f ca="1">IF($F1002="","",COUNTIF($F$3:$F1002,$F1002))</f>
        <v>1</v>
      </c>
      <c r="H1002">
        <f ca="1">IF(OR(G1002&gt;1,G1002=""),"",COUNTIF($G$3:$G1002,1))</f>
        <v>906</v>
      </c>
      <c r="I1002" t="str">
        <f t="shared" ca="1" si="143"/>
        <v>for(ファイル指定)</v>
      </c>
      <c r="K1002">
        <f t="shared" si="141"/>
        <v>999</v>
      </c>
      <c r="L1002" t="str">
        <f t="shared" ca="1" si="136"/>
        <v/>
      </c>
      <c r="M1002" s="2" t="str">
        <f t="shared" ca="1" si="135"/>
        <v/>
      </c>
      <c r="N1002" s="2" t="str">
        <f t="shared" ca="1" si="137"/>
        <v/>
      </c>
      <c r="O1002" s="2" t="str">
        <f t="shared" ca="1" si="139"/>
        <v/>
      </c>
      <c r="P1002" s="2" t="str">
        <f t="shared" ca="1" si="140"/>
        <v/>
      </c>
    </row>
    <row r="1003" spans="1:16">
      <c r="A1003">
        <f t="shared" si="142"/>
        <v>1000</v>
      </c>
      <c r="B1003" t="str">
        <f ca="1">IFERROR(VLOOKUP($A1003,'vbs,vba'!$G:$H,2,FALSE),"")</f>
        <v/>
      </c>
      <c r="C1003" t="str">
        <f ca="1">IFERROR(VLOOKUP($A1003,python!$I:$J,2,FALSE),"")</f>
        <v/>
      </c>
      <c r="D1003" t="str">
        <f ca="1">IFERROR(VLOOKUP($A1003,bat!$F:$G,2,FALSE),"")</f>
        <v/>
      </c>
      <c r="E1003" t="str">
        <f ca="1">IFERROR(VLOOKUP($A1003,shell!$F:$G,2,FALSE),"")</f>
        <v>for(引数操作＠for each形式)</v>
      </c>
      <c r="F1003" t="str">
        <f t="shared" ca="1" si="138"/>
        <v>for(引数操作＠for each形式)</v>
      </c>
      <c r="G1003">
        <f ca="1">IF($F1003="","",COUNTIF($F$3:$F1003,$F1003))</f>
        <v>1</v>
      </c>
      <c r="H1003">
        <f ca="1">IF(OR(G1003&gt;1,G1003=""),"",COUNTIF($G$3:$G1003,1))</f>
        <v>907</v>
      </c>
      <c r="I1003" t="str">
        <f t="shared" ca="1" si="143"/>
        <v>for(引数操作＠for each形式)</v>
      </c>
      <c r="K1003">
        <f t="shared" si="141"/>
        <v>1000</v>
      </c>
      <c r="L1003" t="str">
        <f t="shared" ca="1" si="136"/>
        <v/>
      </c>
      <c r="M1003" s="2" t="str">
        <f t="shared" ca="1" si="135"/>
        <v/>
      </c>
      <c r="N1003" s="2" t="str">
        <f t="shared" ca="1" si="137"/>
        <v/>
      </c>
      <c r="O1003" s="2" t="str">
        <f t="shared" ca="1" si="139"/>
        <v/>
      </c>
      <c r="P1003" s="2" t="str">
        <f t="shared" ca="1" si="140"/>
        <v/>
      </c>
    </row>
    <row r="1004" spans="1:16" ht="4.5" customHeight="1"/>
  </sheetData>
  <autoFilter ref="A2:O1003" xr:uid="{B5C20B35-9378-4643-B97D-9DC84694E9A0}"/>
  <phoneticPr fontId="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7</vt:i4>
      </vt:variant>
    </vt:vector>
  </HeadingPairs>
  <TitlesOfParts>
    <vt:vector size="16" baseType="lpstr">
      <vt:lpstr>vbs,vba</vt:lpstr>
      <vt:lpstr>python</vt:lpstr>
      <vt:lpstr>c++</vt:lpstr>
      <vt:lpstr>bat</vt:lpstr>
      <vt:lpstr>shell</vt:lpstr>
      <vt:lpstr>ps</vt:lpstr>
      <vt:lpstr>git</vt:lpstr>
      <vt:lpstr>正規表現</vt:lpstr>
      <vt:lpstr>重複チェック</vt:lpstr>
      <vt:lpstr>bat!Print_Area</vt:lpstr>
      <vt:lpstr>'c++'!Print_Area</vt:lpstr>
      <vt:lpstr>git!Print_Area</vt:lpstr>
      <vt:lpstr>ps!Print_Area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2025-07-17T13:02:47Z</dcterms:modified>
</cp:coreProperties>
</file>