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1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6"/>
  <workbookPr showInkAnnotation="0"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ENEDIS_COMMUNICATION_PYRENEES_LANDES\Relations presses\Mediascope - kantarmedia\Historique du médiascope\"/>
    </mc:Choice>
  </mc:AlternateContent>
  <xr:revisionPtr revIDLastSave="0" documentId="11_E04591B98A20F76DD91446B844FF21A2EC350A9C" xr6:coauthVersionLast="46" xr6:coauthVersionMax="46" xr10:uidLastSave="{00000000-0000-0000-0000-000000000000}"/>
  <bookViews>
    <workbookView xWindow="-90" yWindow="-450" windowWidth="19290" windowHeight="8070" tabRatio="770" firstSheet="15" activeTab="15" xr2:uid="{00000000-000D-0000-FFFF-FFFF00000000}"/>
  </bookViews>
  <sheets>
    <sheet name="BILAN_DR" sheetId="56" r:id="rId1"/>
    <sheet name="BILAN_LANDES" sheetId="90" r:id="rId2"/>
    <sheet name="BILAN_HP" sheetId="53" r:id="rId3"/>
    <sheet name="BILAN_PA" sheetId="46" r:id="rId4"/>
    <sheet name="Janv" sheetId="65" r:id="rId5"/>
    <sheet name="Fev" sheetId="77" r:id="rId6"/>
    <sheet name="Mars" sheetId="78" r:id="rId7"/>
    <sheet name="Avr" sheetId="79" r:id="rId8"/>
    <sheet name="Mai" sheetId="80" r:id="rId9"/>
    <sheet name="Juin" sheetId="81" r:id="rId10"/>
    <sheet name="Juill" sheetId="82" r:id="rId11"/>
    <sheet name="Aout" sheetId="83" r:id="rId12"/>
    <sheet name="Sept" sheetId="89" r:id="rId13"/>
    <sheet name="Oct" sheetId="85" r:id="rId14"/>
    <sheet name="Nov" sheetId="86" r:id="rId15"/>
    <sheet name="Dec" sheetId="87" r:id="rId16"/>
    <sheet name="radio" sheetId="104" r:id="rId17"/>
    <sheet name="pqr" sheetId="105" r:id="rId18"/>
    <sheet name="tv" sheetId="106" r:id="rId19"/>
    <sheet name="internet" sheetId="107" r:id="rId20"/>
    <sheet name="Donnees" sheetId="99" r:id="rId21"/>
  </sheets>
  <externalReferences>
    <externalReference r:id="rId22"/>
  </externalReferences>
  <definedNames>
    <definedName name="_xlnm._FilterDatabase" localSheetId="11" hidden="1">Aout!$C$10:$K$60</definedName>
    <definedName name="_xlnm._FilterDatabase" localSheetId="7" hidden="1">Avr!$C$10:$J$59</definedName>
    <definedName name="_xlnm._FilterDatabase" localSheetId="15" hidden="1">Dec!$C$10:$J$157</definedName>
    <definedName name="_xlnm._FilterDatabase" localSheetId="20" hidden="1">Donnees!$D$1:$D$40</definedName>
    <definedName name="_xlnm._FilterDatabase" localSheetId="5" hidden="1">Fev!$C$10:$J$81</definedName>
    <definedName name="_xlnm._FilterDatabase" localSheetId="19" hidden="1">internet!$A$1:$C$1</definedName>
    <definedName name="_xlnm._FilterDatabase" localSheetId="4" hidden="1">Janv!$C$10:$K$75</definedName>
    <definedName name="_xlnm._FilterDatabase" localSheetId="10" hidden="1">Juill!$C$10:$J$87</definedName>
    <definedName name="_xlnm._FilterDatabase" localSheetId="9" hidden="1">Juin!$C$10:$J$100</definedName>
    <definedName name="_xlnm._FilterDatabase" localSheetId="8" hidden="1">Mai!$C$10:$J$66</definedName>
    <definedName name="_xlnm._FilterDatabase" localSheetId="6" hidden="1">Mars!$C$10:$J$109</definedName>
    <definedName name="_xlnm._FilterDatabase" localSheetId="14" hidden="1">Nov!$C$10:$J$109</definedName>
    <definedName name="_xlnm._FilterDatabase" localSheetId="13" hidden="1">Oct!$C$10:$K$151</definedName>
    <definedName name="_xlnm._FilterDatabase" localSheetId="17" hidden="1">pqr!$A$1:$B$1</definedName>
    <definedName name="_xlnm._FilterDatabase" localSheetId="16" hidden="1">radio!$A$1:$B$36</definedName>
    <definedName name="_xlnm._FilterDatabase" localSheetId="12" hidden="1">Sept!$C$10:$J$70</definedName>
    <definedName name="_xlnm._FilterDatabase" localSheetId="18" hidden="1">tv!$A$1:$B$1</definedName>
    <definedName name="PQR">Donnees!$A$2:$A$20</definedName>
    <definedName name="Radio">Donnees!$C$2:$C$36</definedName>
    <definedName name="TV">Donnees!$D$2:$D$10</definedName>
    <definedName name="Type">Donnees!$F$2:$F$5</definedName>
    <definedName name="Web">Donnees!$B$2:$B$44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86" l="1"/>
  <c r="T24" i="87" l="1"/>
  <c r="T25" i="87"/>
  <c r="T26" i="87"/>
  <c r="T27" i="87"/>
  <c r="T28" i="87"/>
  <c r="T29" i="87"/>
  <c r="T30" i="87"/>
  <c r="T41" i="87" l="1"/>
  <c r="T32" i="87"/>
  <c r="T33" i="87"/>
  <c r="T34" i="87"/>
  <c r="T35" i="87"/>
  <c r="T36" i="87"/>
  <c r="T37" i="87"/>
  <c r="T38" i="87"/>
  <c r="G12" i="83" l="1"/>
  <c r="T20" i="87" l="1"/>
  <c r="T22" i="87"/>
  <c r="T23" i="87"/>
  <c r="T21" i="87"/>
  <c r="T18" i="87" l="1"/>
  <c r="T26" i="89" l="1"/>
  <c r="T19" i="65"/>
  <c r="T23" i="85"/>
  <c r="T17" i="89"/>
  <c r="T18" i="89"/>
  <c r="T12" i="82" l="1"/>
  <c r="T13" i="82"/>
  <c r="T14" i="82"/>
  <c r="T15" i="82"/>
  <c r="T16" i="82"/>
  <c r="T17" i="82"/>
  <c r="T18" i="82"/>
  <c r="T19" i="82"/>
  <c r="T20" i="82"/>
  <c r="T11" i="81" l="1"/>
  <c r="T12" i="81"/>
  <c r="T13" i="81"/>
  <c r="T14" i="81"/>
  <c r="T15" i="81"/>
  <c r="T18" i="81"/>
  <c r="T19" i="81"/>
  <c r="T20" i="81"/>
  <c r="T21" i="81"/>
  <c r="T22" i="81"/>
  <c r="T23" i="81"/>
  <c r="T24" i="81"/>
  <c r="T17" i="81"/>
  <c r="T17" i="85" l="1"/>
  <c r="T18" i="85"/>
  <c r="T19" i="85"/>
  <c r="T20" i="85"/>
  <c r="T21" i="85"/>
  <c r="T22" i="85"/>
  <c r="T11" i="85" l="1"/>
  <c r="T12" i="85"/>
  <c r="T13" i="85"/>
  <c r="T14" i="85"/>
  <c r="T15" i="85"/>
  <c r="T16" i="85"/>
  <c r="T21" i="89" l="1"/>
  <c r="T22" i="89"/>
  <c r="T23" i="89"/>
  <c r="T24" i="89"/>
  <c r="T25" i="89"/>
  <c r="T19" i="89" l="1"/>
  <c r="T20" i="89"/>
  <c r="T14" i="89"/>
  <c r="T15" i="89"/>
  <c r="T16" i="89"/>
  <c r="T13" i="89" l="1"/>
  <c r="T12" i="89"/>
  <c r="T11" i="89"/>
  <c r="T18" i="77" l="1"/>
  <c r="T17" i="77"/>
  <c r="T12" i="87" l="1"/>
  <c r="T13" i="87"/>
  <c r="T14" i="87"/>
  <c r="T17" i="87"/>
  <c r="T19" i="87"/>
  <c r="T15" i="87"/>
  <c r="T16" i="87"/>
  <c r="T11" i="87"/>
  <c r="T12" i="86" l="1"/>
  <c r="T13" i="86"/>
  <c r="T14" i="86"/>
  <c r="T15" i="86"/>
  <c r="T16" i="86"/>
  <c r="T17" i="86"/>
  <c r="T18" i="86"/>
  <c r="T19" i="86"/>
  <c r="T20" i="86"/>
  <c r="T22" i="86"/>
  <c r="T23" i="86"/>
  <c r="T24" i="86"/>
  <c r="T25" i="86"/>
  <c r="T26" i="86"/>
  <c r="T27" i="86"/>
  <c r="T28" i="86"/>
  <c r="T29" i="86"/>
  <c r="T30" i="86"/>
  <c r="T31" i="86"/>
  <c r="T32" i="86"/>
  <c r="T33" i="86"/>
  <c r="T34" i="86"/>
  <c r="T35" i="86"/>
  <c r="T36" i="86"/>
  <c r="T37" i="86"/>
  <c r="T38" i="86"/>
  <c r="T11" i="86"/>
  <c r="T14" i="83"/>
  <c r="T15" i="83"/>
  <c r="T16" i="83"/>
  <c r="T17" i="83"/>
  <c r="T18" i="83"/>
  <c r="G32" i="86" l="1"/>
  <c r="G27" i="86"/>
  <c r="G28" i="86"/>
  <c r="G29" i="86"/>
  <c r="G31" i="86"/>
  <c r="G30" i="86"/>
  <c r="G39" i="86"/>
  <c r="G38" i="86"/>
  <c r="G146" i="85"/>
  <c r="G12" i="86"/>
  <c r="G14" i="86"/>
  <c r="G15" i="86"/>
  <c r="G17" i="86"/>
  <c r="G145" i="85"/>
  <c r="G144" i="85"/>
  <c r="G143" i="85"/>
  <c r="G142" i="85"/>
  <c r="G141" i="85"/>
  <c r="G78" i="85" l="1"/>
  <c r="T21" i="82" l="1"/>
  <c r="T22" i="82"/>
  <c r="T23" i="82"/>
  <c r="T24" i="82"/>
  <c r="T25" i="82"/>
  <c r="T26" i="82"/>
  <c r="T27" i="82"/>
  <c r="T28" i="82"/>
  <c r="T29" i="82"/>
  <c r="T30" i="82"/>
  <c r="T15" i="80" l="1"/>
  <c r="T27" i="79"/>
  <c r="T16" i="77"/>
  <c r="T21" i="65"/>
  <c r="T20" i="65"/>
  <c r="T18" i="65"/>
  <c r="T17" i="65"/>
  <c r="G35" i="83" l="1"/>
  <c r="T14" i="80" l="1"/>
  <c r="T25" i="79"/>
  <c r="G30" i="82" l="1"/>
  <c r="G31" i="82"/>
  <c r="G35" i="82"/>
  <c r="G36" i="82"/>
  <c r="G34" i="82"/>
  <c r="G45" i="82"/>
  <c r="G47" i="82"/>
  <c r="G48" i="82"/>
  <c r="G43" i="82"/>
  <c r="G39" i="82"/>
  <c r="G41" i="82"/>
  <c r="G49" i="82"/>
  <c r="G50" i="82"/>
  <c r="G51" i="82"/>
  <c r="G52" i="82"/>
  <c r="G13" i="82" l="1"/>
  <c r="G12" i="82"/>
  <c r="G23" i="82"/>
  <c r="G16" i="82"/>
  <c r="G17" i="82"/>
  <c r="G18" i="82"/>
  <c r="G19" i="82"/>
  <c r="G22" i="82"/>
  <c r="G24" i="82"/>
  <c r="G28" i="82"/>
  <c r="G62" i="82"/>
  <c r="G63" i="82"/>
  <c r="G64" i="82"/>
  <c r="G65" i="82"/>
  <c r="G66" i="82"/>
  <c r="G67" i="82"/>
  <c r="G68" i="82"/>
  <c r="G69" i="82"/>
  <c r="G70" i="82"/>
  <c r="G71" i="82"/>
  <c r="G72" i="82"/>
  <c r="G73" i="82"/>
  <c r="G74" i="82"/>
  <c r="G75" i="82"/>
  <c r="G76" i="82"/>
  <c r="G77" i="82"/>
  <c r="G78" i="82"/>
  <c r="G79" i="82"/>
  <c r="G80" i="82"/>
  <c r="G81" i="82"/>
  <c r="G82" i="82"/>
  <c r="G83" i="82"/>
  <c r="G84" i="82"/>
  <c r="G85" i="82"/>
  <c r="G86" i="82"/>
  <c r="G87" i="82"/>
  <c r="G11" i="82"/>
  <c r="G13" i="83"/>
  <c r="G14" i="83"/>
  <c r="G15" i="83"/>
  <c r="G16" i="83"/>
  <c r="G17" i="83"/>
  <c r="G18" i="83"/>
  <c r="G19" i="83"/>
  <c r="G20" i="83"/>
  <c r="G21" i="83"/>
  <c r="G22" i="83"/>
  <c r="G23" i="83"/>
  <c r="G25" i="83"/>
  <c r="G26" i="83"/>
  <c r="G27" i="83"/>
  <c r="G28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11" i="83"/>
  <c r="G18" i="85"/>
  <c r="G19" i="85"/>
  <c r="G20" i="85"/>
  <c r="G21" i="85"/>
  <c r="G22" i="85"/>
  <c r="G24" i="85"/>
  <c r="G25" i="85"/>
  <c r="G26" i="85"/>
  <c r="G27" i="85"/>
  <c r="G28" i="85"/>
  <c r="G29" i="85"/>
  <c r="G33" i="85"/>
  <c r="G34" i="85"/>
  <c r="G35" i="85"/>
  <c r="G37" i="85"/>
  <c r="G38" i="85"/>
  <c r="G39" i="85"/>
  <c r="G40" i="85"/>
  <c r="G42" i="85"/>
  <c r="G44" i="85"/>
  <c r="G45" i="85"/>
  <c r="G48" i="85"/>
  <c r="G52" i="85"/>
  <c r="G53" i="85"/>
  <c r="G56" i="85"/>
  <c r="G41" i="85"/>
  <c r="G49" i="85"/>
  <c r="G50" i="85"/>
  <c r="G57" i="85"/>
  <c r="G55" i="85"/>
  <c r="G64" i="85"/>
  <c r="G80" i="85"/>
  <c r="G19" i="86"/>
  <c r="G20" i="86"/>
  <c r="G21" i="86"/>
  <c r="G22" i="86"/>
  <c r="G24" i="86"/>
  <c r="G25" i="86"/>
  <c r="G37" i="86"/>
  <c r="G88" i="86"/>
  <c r="G89" i="86"/>
  <c r="G90" i="86"/>
  <c r="G91" i="86"/>
  <c r="G92" i="86"/>
  <c r="G93" i="86"/>
  <c r="G94" i="86"/>
  <c r="G95" i="86"/>
  <c r="G96" i="86"/>
  <c r="G97" i="86"/>
  <c r="G98" i="86"/>
  <c r="G99" i="86"/>
  <c r="G100" i="86"/>
  <c r="G101" i="86"/>
  <c r="G102" i="86"/>
  <c r="G103" i="86"/>
  <c r="G104" i="86"/>
  <c r="G105" i="86"/>
  <c r="G106" i="86"/>
  <c r="G107" i="86"/>
  <c r="G11" i="86"/>
  <c r="G35" i="46"/>
  <c r="H35" i="46"/>
  <c r="M35" i="46"/>
  <c r="L35" i="46"/>
  <c r="K35" i="46"/>
  <c r="J35" i="46"/>
  <c r="I35" i="46"/>
  <c r="F35" i="46"/>
  <c r="E35" i="46"/>
  <c r="N35" i="85" l="1"/>
  <c r="E31" i="56"/>
  <c r="G9" i="56"/>
  <c r="G10" i="56"/>
  <c r="G11" i="56"/>
  <c r="G8" i="56"/>
  <c r="F13" i="56"/>
  <c r="H13" i="56"/>
  <c r="I13" i="56"/>
  <c r="K13" i="56"/>
  <c r="L13" i="56"/>
  <c r="M13" i="56"/>
  <c r="F14" i="56"/>
  <c r="H14" i="56"/>
  <c r="I14" i="56"/>
  <c r="K14" i="56"/>
  <c r="M14" i="56"/>
  <c r="F15" i="56"/>
  <c r="H15" i="56"/>
  <c r="I15" i="56"/>
  <c r="K15" i="56"/>
  <c r="L15" i="56"/>
  <c r="M15" i="56"/>
  <c r="F16" i="56"/>
  <c r="H16" i="56"/>
  <c r="I16" i="56"/>
  <c r="K16" i="56"/>
  <c r="L16" i="56"/>
  <c r="M16" i="56"/>
  <c r="H17" i="56"/>
  <c r="I17" i="56"/>
  <c r="F19" i="56"/>
  <c r="H19" i="56"/>
  <c r="I19" i="56"/>
  <c r="K19" i="56"/>
  <c r="L19" i="56"/>
  <c r="M19" i="56"/>
  <c r="F20" i="56"/>
  <c r="H20" i="56"/>
  <c r="I20" i="56"/>
  <c r="K20" i="56"/>
  <c r="L20" i="56"/>
  <c r="M20" i="56"/>
  <c r="F21" i="56"/>
  <c r="H21" i="56"/>
  <c r="I21" i="56"/>
  <c r="L21" i="56"/>
  <c r="M21" i="56"/>
  <c r="F22" i="56"/>
  <c r="H22" i="56"/>
  <c r="I22" i="56"/>
  <c r="L22" i="56"/>
  <c r="M22" i="56"/>
  <c r="H23" i="56"/>
  <c r="I23" i="56"/>
  <c r="F31" i="56"/>
  <c r="G31" i="56"/>
  <c r="H31" i="56"/>
  <c r="I31" i="56"/>
  <c r="J31" i="56"/>
  <c r="K31" i="56"/>
  <c r="L31" i="56"/>
  <c r="F32" i="56"/>
  <c r="G32" i="56"/>
  <c r="H32" i="56"/>
  <c r="I32" i="56"/>
  <c r="J32" i="56"/>
  <c r="K32" i="56"/>
  <c r="L32" i="56"/>
  <c r="M32" i="56"/>
  <c r="F33" i="56"/>
  <c r="G33" i="56"/>
  <c r="H33" i="56"/>
  <c r="I33" i="56"/>
  <c r="J33" i="56"/>
  <c r="K33" i="56"/>
  <c r="L33" i="56"/>
  <c r="F34" i="56"/>
  <c r="G34" i="56"/>
  <c r="H34" i="56"/>
  <c r="I34" i="56"/>
  <c r="J34" i="56"/>
  <c r="K34" i="56"/>
  <c r="L34" i="56"/>
  <c r="E14" i="56"/>
  <c r="E19" i="56"/>
  <c r="E20" i="56"/>
  <c r="E21" i="56"/>
  <c r="E22" i="56"/>
  <c r="E32" i="56"/>
  <c r="E33" i="56"/>
  <c r="E34" i="56"/>
  <c r="E13" i="56"/>
  <c r="M34" i="53"/>
  <c r="M34" i="56" s="1"/>
  <c r="M33" i="53"/>
  <c r="M33" i="56" s="1"/>
  <c r="M31" i="53"/>
  <c r="M31" i="56" s="1"/>
  <c r="J35" i="53"/>
  <c r="I35" i="53"/>
  <c r="H35" i="53"/>
  <c r="L35" i="90"/>
  <c r="K35" i="90"/>
  <c r="J35" i="90"/>
  <c r="I35" i="90"/>
  <c r="H35" i="90"/>
  <c r="G35" i="90"/>
  <c r="F35" i="90"/>
  <c r="E35" i="90"/>
  <c r="M28" i="90"/>
  <c r="L28" i="90"/>
  <c r="K28" i="90"/>
  <c r="J28" i="90"/>
  <c r="I28" i="90"/>
  <c r="H28" i="90"/>
  <c r="G28" i="90"/>
  <c r="F28" i="90"/>
  <c r="E28" i="90"/>
  <c r="M27" i="90"/>
  <c r="L27" i="90"/>
  <c r="K27" i="90"/>
  <c r="J27" i="90"/>
  <c r="I27" i="90"/>
  <c r="H27" i="90"/>
  <c r="G27" i="90"/>
  <c r="F27" i="90"/>
  <c r="E27" i="90"/>
  <c r="M26" i="90"/>
  <c r="L26" i="90"/>
  <c r="K26" i="90"/>
  <c r="J26" i="90"/>
  <c r="I26" i="90"/>
  <c r="H26" i="90"/>
  <c r="G26" i="90"/>
  <c r="F26" i="90"/>
  <c r="E26" i="90"/>
  <c r="M25" i="90"/>
  <c r="L25" i="90"/>
  <c r="K25" i="90"/>
  <c r="J25" i="90"/>
  <c r="I25" i="90"/>
  <c r="H25" i="90"/>
  <c r="G25" i="90"/>
  <c r="F25" i="90"/>
  <c r="E25" i="90"/>
  <c r="M23" i="90"/>
  <c r="L23" i="90"/>
  <c r="K23" i="90"/>
  <c r="J23" i="90"/>
  <c r="F23" i="90"/>
  <c r="E23" i="90"/>
  <c r="G22" i="90"/>
  <c r="G21" i="90"/>
  <c r="G20" i="90"/>
  <c r="G19" i="90"/>
  <c r="M17" i="90"/>
  <c r="L17" i="90"/>
  <c r="K17" i="90"/>
  <c r="F17" i="90"/>
  <c r="J16" i="90"/>
  <c r="G16" i="90"/>
  <c r="E16" i="90"/>
  <c r="J15" i="90"/>
  <c r="G15" i="90"/>
  <c r="E15" i="90"/>
  <c r="J14" i="90"/>
  <c r="G14" i="90"/>
  <c r="J13" i="90"/>
  <c r="G13" i="90"/>
  <c r="M10" i="90"/>
  <c r="L10" i="90"/>
  <c r="K10" i="90"/>
  <c r="J10" i="90"/>
  <c r="F10" i="90"/>
  <c r="E10" i="90"/>
  <c r="M9" i="90"/>
  <c r="L9" i="90"/>
  <c r="K9" i="90"/>
  <c r="J9" i="90"/>
  <c r="F9" i="90"/>
  <c r="E9" i="90"/>
  <c r="M8" i="90"/>
  <c r="L8" i="90"/>
  <c r="K8" i="90"/>
  <c r="J8" i="90"/>
  <c r="F8" i="90"/>
  <c r="E8" i="90"/>
  <c r="J35" i="56" l="1"/>
  <c r="I35" i="56"/>
  <c r="H35" i="56"/>
  <c r="K35" i="53"/>
  <c r="K35" i="56" s="1"/>
  <c r="E35" i="53"/>
  <c r="E35" i="56" s="1"/>
  <c r="M35" i="53"/>
  <c r="L35" i="53"/>
  <c r="L35" i="56" s="1"/>
  <c r="F35" i="53"/>
  <c r="F35" i="56" s="1"/>
  <c r="G35" i="53"/>
  <c r="G35" i="56" s="1"/>
  <c r="M35" i="90"/>
  <c r="G23" i="90"/>
  <c r="K29" i="90"/>
  <c r="F11" i="90"/>
  <c r="J29" i="90"/>
  <c r="I29" i="90"/>
  <c r="L11" i="90"/>
  <c r="G29" i="90"/>
  <c r="F29" i="90"/>
  <c r="E29" i="90"/>
  <c r="M29" i="90"/>
  <c r="L29" i="90"/>
  <c r="E17" i="90"/>
  <c r="H29" i="90"/>
  <c r="E11" i="90"/>
  <c r="G17" i="90"/>
  <c r="J11" i="90"/>
  <c r="K11" i="90"/>
  <c r="M11" i="90"/>
  <c r="J17" i="90"/>
  <c r="M35" i="56" l="1"/>
  <c r="T15" i="79" l="1"/>
  <c r="T16" i="79"/>
  <c r="T17" i="79"/>
  <c r="T18" i="79"/>
  <c r="T19" i="79"/>
  <c r="T20" i="79"/>
  <c r="T21" i="79"/>
  <c r="T22" i="79"/>
  <c r="T23" i="79"/>
  <c r="T24" i="79"/>
  <c r="T12" i="79"/>
  <c r="T13" i="79"/>
  <c r="T14" i="79"/>
  <c r="T14" i="65"/>
  <c r="T11" i="65"/>
  <c r="T12" i="65"/>
  <c r="T13" i="65"/>
  <c r="T11" i="78" l="1"/>
  <c r="T36" i="78" l="1"/>
  <c r="T37" i="78"/>
  <c r="T38" i="78"/>
  <c r="T15" i="77" l="1"/>
  <c r="T34" i="78" l="1"/>
  <c r="T32" i="78"/>
  <c r="T33" i="78"/>
  <c r="T31" i="78"/>
  <c r="T21" i="78"/>
  <c r="T22" i="78"/>
  <c r="T14" i="77" l="1"/>
  <c r="T13" i="77"/>
  <c r="I137" i="77" s="1"/>
  <c r="T12" i="77" l="1"/>
  <c r="T11" i="77"/>
  <c r="T16" i="65"/>
  <c r="T15" i="65"/>
  <c r="T12" i="80" l="1"/>
  <c r="T12" i="78"/>
  <c r="T13" i="78"/>
  <c r="T14" i="78"/>
  <c r="T15" i="78"/>
  <c r="T16" i="78"/>
  <c r="T17" i="78"/>
  <c r="T20" i="78"/>
  <c r="G14" i="53" l="1"/>
  <c r="T12" i="83" l="1"/>
  <c r="T13" i="83"/>
  <c r="L181" i="89" l="1"/>
  <c r="L180" i="89"/>
  <c r="K181" i="89"/>
  <c r="J181" i="89"/>
  <c r="I181" i="89"/>
  <c r="H181" i="89"/>
  <c r="M181" i="89"/>
  <c r="L179" i="89"/>
  <c r="K180" i="89"/>
  <c r="J180" i="89"/>
  <c r="I180" i="89"/>
  <c r="H180" i="89"/>
  <c r="M180" i="89"/>
  <c r="L178" i="89"/>
  <c r="K179" i="89"/>
  <c r="J179" i="89"/>
  <c r="I179" i="89"/>
  <c r="H179" i="89"/>
  <c r="M179" i="89"/>
  <c r="L177" i="89"/>
  <c r="K178" i="89"/>
  <c r="J178" i="89"/>
  <c r="I178" i="89"/>
  <c r="H178" i="89"/>
  <c r="M178" i="89"/>
  <c r="L176" i="89"/>
  <c r="K177" i="89"/>
  <c r="J177" i="89"/>
  <c r="I177" i="89"/>
  <c r="H177" i="89"/>
  <c r="M177" i="89"/>
  <c r="L175" i="89"/>
  <c r="K176" i="89"/>
  <c r="J176" i="89"/>
  <c r="I176" i="89"/>
  <c r="H176" i="89"/>
  <c r="M176" i="89"/>
  <c r="L174" i="89"/>
  <c r="K175" i="89"/>
  <c r="J175" i="89"/>
  <c r="I175" i="89"/>
  <c r="H175" i="89"/>
  <c r="M175" i="89"/>
  <c r="K174" i="89"/>
  <c r="J174" i="89"/>
  <c r="I174" i="89"/>
  <c r="H174" i="89"/>
  <c r="M174" i="89"/>
  <c r="I165" i="89"/>
  <c r="H165" i="89"/>
  <c r="G165" i="89"/>
  <c r="F165" i="89"/>
  <c r="I164" i="89"/>
  <c r="H164" i="89"/>
  <c r="G164" i="89"/>
  <c r="F164" i="89"/>
  <c r="I163" i="89"/>
  <c r="H163" i="89"/>
  <c r="G163" i="89"/>
  <c r="F163" i="89"/>
  <c r="I162" i="89"/>
  <c r="H162" i="89"/>
  <c r="G162" i="89"/>
  <c r="F162" i="89"/>
  <c r="I161" i="89"/>
  <c r="H161" i="89"/>
  <c r="G161" i="89"/>
  <c r="F161" i="89"/>
  <c r="I160" i="89"/>
  <c r="H160" i="89"/>
  <c r="G160" i="89"/>
  <c r="F160" i="89"/>
  <c r="I159" i="89"/>
  <c r="H159" i="89"/>
  <c r="G159" i="89"/>
  <c r="F159" i="89"/>
  <c r="I158" i="89"/>
  <c r="H158" i="89"/>
  <c r="G158" i="89"/>
  <c r="F158" i="89"/>
  <c r="F152" i="89"/>
  <c r="F151" i="89"/>
  <c r="F150" i="89"/>
  <c r="L142" i="89"/>
  <c r="L141" i="89"/>
  <c r="K142" i="89"/>
  <c r="J142" i="89"/>
  <c r="G142" i="89"/>
  <c r="F142" i="89"/>
  <c r="L140" i="89"/>
  <c r="K141" i="89"/>
  <c r="J141" i="89"/>
  <c r="G141" i="89"/>
  <c r="F141" i="89"/>
  <c r="L139" i="89"/>
  <c r="K140" i="89"/>
  <c r="J140" i="89"/>
  <c r="G140" i="89"/>
  <c r="F140" i="89"/>
  <c r="K139" i="89"/>
  <c r="J139" i="89"/>
  <c r="G139" i="89"/>
  <c r="F139" i="89"/>
  <c r="F176" i="89" l="1"/>
  <c r="F180" i="89"/>
  <c r="F174" i="89"/>
  <c r="G180" i="89"/>
  <c r="G177" i="89"/>
  <c r="F179" i="89"/>
  <c r="F181" i="89"/>
  <c r="F175" i="89"/>
  <c r="I151" i="89"/>
  <c r="I152" i="89"/>
  <c r="F177" i="89"/>
  <c r="G179" i="89"/>
  <c r="G174" i="89"/>
  <c r="G176" i="89"/>
  <c r="G178" i="89"/>
  <c r="G175" i="89"/>
  <c r="F178" i="89"/>
  <c r="G181" i="89"/>
  <c r="I150" i="89"/>
  <c r="I149" i="89"/>
  <c r="N46" i="89" l="1"/>
  <c r="N44" i="89"/>
  <c r="N45" i="89"/>
  <c r="I26" i="46"/>
  <c r="I27" i="46"/>
  <c r="I28" i="46"/>
  <c r="N43" i="89" l="1"/>
  <c r="F138" i="65"/>
  <c r="F137" i="65"/>
  <c r="L135" i="65" l="1"/>
  <c r="L136" i="65" l="1"/>
  <c r="G136" i="65"/>
  <c r="G135" i="65"/>
  <c r="K54" i="56" l="1"/>
  <c r="T11" i="82" l="1"/>
  <c r="T13" i="80"/>
  <c r="T11" i="80"/>
  <c r="G131" i="78" l="1"/>
  <c r="G132" i="78"/>
  <c r="M169" i="79" l="1"/>
  <c r="L169" i="79"/>
  <c r="K169" i="79"/>
  <c r="J169" i="79"/>
  <c r="I169" i="79"/>
  <c r="H169" i="79"/>
  <c r="M168" i="79"/>
  <c r="L168" i="79"/>
  <c r="K168" i="79"/>
  <c r="J168" i="79"/>
  <c r="I168" i="79"/>
  <c r="H168" i="79"/>
  <c r="M167" i="79"/>
  <c r="L167" i="79"/>
  <c r="K167" i="79"/>
  <c r="J167" i="79"/>
  <c r="I167" i="79"/>
  <c r="H167" i="79"/>
  <c r="M166" i="79"/>
  <c r="L166" i="79"/>
  <c r="K166" i="79"/>
  <c r="J166" i="79"/>
  <c r="I166" i="79"/>
  <c r="H166" i="79"/>
  <c r="M165" i="79"/>
  <c r="L165" i="79"/>
  <c r="K165" i="79"/>
  <c r="J165" i="79"/>
  <c r="I165" i="79"/>
  <c r="H165" i="79"/>
  <c r="M164" i="79"/>
  <c r="L164" i="79"/>
  <c r="K164" i="79"/>
  <c r="J164" i="79"/>
  <c r="I164" i="79"/>
  <c r="H164" i="79"/>
  <c r="M163" i="79"/>
  <c r="L163" i="79"/>
  <c r="K163" i="79"/>
  <c r="J163" i="79"/>
  <c r="I163" i="79"/>
  <c r="H163" i="79"/>
  <c r="M162" i="79"/>
  <c r="L162" i="79"/>
  <c r="K162" i="79"/>
  <c r="J162" i="79"/>
  <c r="I162" i="79"/>
  <c r="H162" i="79"/>
  <c r="I153" i="79"/>
  <c r="H153" i="79"/>
  <c r="G153" i="79"/>
  <c r="F153" i="79"/>
  <c r="I152" i="79"/>
  <c r="H152" i="79"/>
  <c r="G152" i="79"/>
  <c r="F152" i="79"/>
  <c r="I151" i="79"/>
  <c r="H151" i="79"/>
  <c r="G151" i="79"/>
  <c r="F151" i="79"/>
  <c r="I150" i="79"/>
  <c r="H150" i="79"/>
  <c r="G150" i="79"/>
  <c r="F150" i="79"/>
  <c r="I149" i="79"/>
  <c r="H149" i="79"/>
  <c r="G149" i="79"/>
  <c r="F149" i="79"/>
  <c r="I148" i="79"/>
  <c r="H148" i="79"/>
  <c r="G148" i="79"/>
  <c r="F148" i="79"/>
  <c r="I147" i="79"/>
  <c r="H147" i="79"/>
  <c r="G147" i="79"/>
  <c r="F147" i="79"/>
  <c r="I146" i="79"/>
  <c r="H146" i="79"/>
  <c r="G146" i="79"/>
  <c r="F146" i="79"/>
  <c r="F140" i="79"/>
  <c r="F139" i="79"/>
  <c r="F138" i="79"/>
  <c r="L130" i="79"/>
  <c r="K130" i="79"/>
  <c r="J130" i="79"/>
  <c r="G130" i="79"/>
  <c r="F130" i="79"/>
  <c r="L129" i="79"/>
  <c r="K129" i="79"/>
  <c r="J129" i="79"/>
  <c r="G129" i="79"/>
  <c r="F129" i="79"/>
  <c r="L128" i="79"/>
  <c r="K128" i="79"/>
  <c r="J128" i="79"/>
  <c r="G128" i="79"/>
  <c r="F128" i="79"/>
  <c r="L127" i="79"/>
  <c r="K127" i="79"/>
  <c r="J127" i="79"/>
  <c r="G127" i="79"/>
  <c r="F127" i="79"/>
  <c r="M213" i="87"/>
  <c r="L213" i="87"/>
  <c r="K213" i="87"/>
  <c r="J213" i="87"/>
  <c r="I213" i="87"/>
  <c r="H213" i="87"/>
  <c r="M212" i="87"/>
  <c r="L212" i="87"/>
  <c r="K212" i="87"/>
  <c r="J212" i="87"/>
  <c r="I212" i="87"/>
  <c r="H212" i="87"/>
  <c r="M211" i="87"/>
  <c r="L211" i="87"/>
  <c r="K211" i="87"/>
  <c r="J211" i="87"/>
  <c r="I211" i="87"/>
  <c r="H211" i="87"/>
  <c r="M210" i="87"/>
  <c r="L210" i="87"/>
  <c r="K210" i="87"/>
  <c r="J210" i="87"/>
  <c r="I210" i="87"/>
  <c r="H210" i="87"/>
  <c r="M209" i="87"/>
  <c r="L209" i="87"/>
  <c r="K209" i="87"/>
  <c r="J209" i="87"/>
  <c r="I209" i="87"/>
  <c r="H209" i="87"/>
  <c r="M208" i="87"/>
  <c r="L208" i="87"/>
  <c r="K208" i="87"/>
  <c r="J208" i="87"/>
  <c r="I208" i="87"/>
  <c r="H208" i="87"/>
  <c r="M207" i="87"/>
  <c r="L207" i="87"/>
  <c r="K207" i="87"/>
  <c r="J207" i="87"/>
  <c r="I207" i="87"/>
  <c r="H207" i="87"/>
  <c r="M206" i="87"/>
  <c r="L206" i="87"/>
  <c r="K206" i="87"/>
  <c r="J206" i="87"/>
  <c r="I206" i="87"/>
  <c r="H206" i="87"/>
  <c r="I197" i="87"/>
  <c r="H197" i="87"/>
  <c r="G197" i="87"/>
  <c r="F197" i="87"/>
  <c r="I196" i="87"/>
  <c r="H196" i="87"/>
  <c r="G196" i="87"/>
  <c r="F196" i="87"/>
  <c r="I195" i="87"/>
  <c r="H195" i="87"/>
  <c r="G195" i="87"/>
  <c r="F195" i="87"/>
  <c r="I194" i="87"/>
  <c r="H194" i="87"/>
  <c r="G194" i="87"/>
  <c r="F194" i="87"/>
  <c r="I193" i="87"/>
  <c r="H193" i="87"/>
  <c r="G193" i="87"/>
  <c r="F193" i="87"/>
  <c r="I192" i="87"/>
  <c r="H192" i="87"/>
  <c r="G192" i="87"/>
  <c r="F192" i="87"/>
  <c r="I191" i="87"/>
  <c r="H191" i="87"/>
  <c r="G191" i="87"/>
  <c r="F191" i="87"/>
  <c r="I190" i="87"/>
  <c r="H190" i="87"/>
  <c r="G190" i="87"/>
  <c r="F190" i="87"/>
  <c r="F184" i="87"/>
  <c r="F183" i="87"/>
  <c r="F182" i="87"/>
  <c r="L174" i="87"/>
  <c r="K174" i="87"/>
  <c r="J174" i="87"/>
  <c r="G174" i="87"/>
  <c r="F174" i="87"/>
  <c r="L173" i="87"/>
  <c r="K173" i="87"/>
  <c r="J173" i="87"/>
  <c r="G173" i="87"/>
  <c r="F173" i="87"/>
  <c r="L172" i="87"/>
  <c r="K172" i="87"/>
  <c r="J172" i="87"/>
  <c r="G172" i="87"/>
  <c r="F172" i="87"/>
  <c r="L171" i="87"/>
  <c r="K171" i="87"/>
  <c r="J171" i="87"/>
  <c r="G171" i="87"/>
  <c r="F171" i="87"/>
  <c r="M189" i="86"/>
  <c r="L189" i="86"/>
  <c r="K189" i="86"/>
  <c r="J189" i="86"/>
  <c r="I189" i="86"/>
  <c r="H189" i="86"/>
  <c r="M188" i="86"/>
  <c r="L188" i="86"/>
  <c r="K188" i="86"/>
  <c r="J188" i="86"/>
  <c r="I188" i="86"/>
  <c r="H188" i="86"/>
  <c r="M187" i="86"/>
  <c r="L187" i="86"/>
  <c r="K187" i="86"/>
  <c r="J187" i="86"/>
  <c r="I187" i="86"/>
  <c r="H187" i="86"/>
  <c r="M186" i="86"/>
  <c r="L186" i="86"/>
  <c r="K186" i="86"/>
  <c r="J186" i="86"/>
  <c r="I186" i="86"/>
  <c r="H186" i="86"/>
  <c r="M185" i="86"/>
  <c r="L185" i="86"/>
  <c r="K185" i="86"/>
  <c r="J185" i="86"/>
  <c r="I185" i="86"/>
  <c r="H185" i="86"/>
  <c r="M184" i="86"/>
  <c r="L184" i="86"/>
  <c r="K184" i="86"/>
  <c r="J184" i="86"/>
  <c r="I184" i="86"/>
  <c r="H184" i="86"/>
  <c r="M183" i="86"/>
  <c r="L183" i="86"/>
  <c r="K183" i="86"/>
  <c r="J183" i="86"/>
  <c r="I183" i="86"/>
  <c r="H183" i="86"/>
  <c r="M182" i="86"/>
  <c r="L182" i="86"/>
  <c r="K182" i="86"/>
  <c r="J182" i="86"/>
  <c r="I182" i="86"/>
  <c r="H182" i="86"/>
  <c r="I173" i="86"/>
  <c r="H173" i="86"/>
  <c r="G173" i="86"/>
  <c r="F173" i="86"/>
  <c r="I172" i="86"/>
  <c r="H172" i="86"/>
  <c r="G172" i="86"/>
  <c r="F172" i="86"/>
  <c r="I171" i="86"/>
  <c r="H171" i="86"/>
  <c r="G171" i="86"/>
  <c r="F171" i="86"/>
  <c r="I170" i="86"/>
  <c r="H170" i="86"/>
  <c r="G170" i="86"/>
  <c r="F170" i="86"/>
  <c r="I169" i="86"/>
  <c r="H169" i="86"/>
  <c r="G169" i="86"/>
  <c r="F169" i="86"/>
  <c r="I168" i="86"/>
  <c r="H168" i="86"/>
  <c r="G168" i="86"/>
  <c r="F168" i="86"/>
  <c r="I167" i="86"/>
  <c r="H167" i="86"/>
  <c r="G167" i="86"/>
  <c r="F167" i="86"/>
  <c r="I166" i="86"/>
  <c r="H166" i="86"/>
  <c r="G166" i="86"/>
  <c r="F166" i="86"/>
  <c r="I160" i="86"/>
  <c r="F160" i="86"/>
  <c r="I159" i="86"/>
  <c r="F159" i="86"/>
  <c r="I158" i="86"/>
  <c r="F158" i="86"/>
  <c r="L150" i="86"/>
  <c r="K150" i="86"/>
  <c r="J150" i="86"/>
  <c r="G150" i="86"/>
  <c r="F150" i="86"/>
  <c r="L149" i="86"/>
  <c r="K149" i="86"/>
  <c r="J149" i="86"/>
  <c r="G149" i="86"/>
  <c r="F149" i="86"/>
  <c r="L148" i="86"/>
  <c r="K148" i="86"/>
  <c r="J148" i="86"/>
  <c r="G148" i="86"/>
  <c r="F148" i="86"/>
  <c r="L147" i="86"/>
  <c r="K147" i="86"/>
  <c r="J147" i="86"/>
  <c r="G147" i="86"/>
  <c r="F147" i="86"/>
  <c r="M261" i="85"/>
  <c r="L261" i="85"/>
  <c r="K261" i="85"/>
  <c r="J261" i="85"/>
  <c r="I261" i="85"/>
  <c r="H261" i="85"/>
  <c r="M260" i="85"/>
  <c r="L260" i="85"/>
  <c r="K260" i="85"/>
  <c r="J260" i="85"/>
  <c r="I260" i="85"/>
  <c r="H260" i="85"/>
  <c r="M259" i="85"/>
  <c r="L259" i="85"/>
  <c r="K259" i="85"/>
  <c r="J259" i="85"/>
  <c r="I259" i="85"/>
  <c r="H259" i="85"/>
  <c r="M258" i="85"/>
  <c r="L258" i="85"/>
  <c r="K258" i="85"/>
  <c r="J258" i="85"/>
  <c r="I258" i="85"/>
  <c r="H258" i="85"/>
  <c r="M257" i="85"/>
  <c r="L257" i="85"/>
  <c r="K257" i="85"/>
  <c r="J257" i="85"/>
  <c r="I257" i="85"/>
  <c r="H257" i="85"/>
  <c r="M256" i="85"/>
  <c r="L256" i="85"/>
  <c r="K256" i="85"/>
  <c r="J256" i="85"/>
  <c r="I256" i="85"/>
  <c r="H256" i="85"/>
  <c r="M255" i="85"/>
  <c r="L255" i="85"/>
  <c r="K255" i="85"/>
  <c r="J255" i="85"/>
  <c r="I255" i="85"/>
  <c r="H255" i="85"/>
  <c r="M254" i="85"/>
  <c r="L254" i="85"/>
  <c r="K254" i="85"/>
  <c r="J254" i="85"/>
  <c r="I254" i="85"/>
  <c r="H254" i="85"/>
  <c r="I245" i="85"/>
  <c r="H245" i="85"/>
  <c r="G245" i="85"/>
  <c r="F245" i="85"/>
  <c r="I244" i="85"/>
  <c r="H244" i="85"/>
  <c r="G244" i="85"/>
  <c r="F244" i="85"/>
  <c r="I243" i="85"/>
  <c r="H243" i="85"/>
  <c r="G243" i="85"/>
  <c r="F243" i="85"/>
  <c r="I242" i="85"/>
  <c r="H242" i="85"/>
  <c r="G242" i="85"/>
  <c r="F242" i="85"/>
  <c r="I241" i="85"/>
  <c r="H241" i="85"/>
  <c r="G241" i="85"/>
  <c r="F241" i="85"/>
  <c r="I240" i="85"/>
  <c r="H240" i="85"/>
  <c r="G240" i="85"/>
  <c r="F240" i="85"/>
  <c r="I239" i="85"/>
  <c r="H239" i="85"/>
  <c r="G239" i="85"/>
  <c r="F239" i="85"/>
  <c r="I238" i="85"/>
  <c r="H238" i="85"/>
  <c r="G238" i="85"/>
  <c r="F238" i="85"/>
  <c r="I232" i="85"/>
  <c r="F232" i="85"/>
  <c r="I231" i="85"/>
  <c r="F231" i="85"/>
  <c r="I230" i="85"/>
  <c r="F230" i="85"/>
  <c r="L222" i="85"/>
  <c r="K222" i="85"/>
  <c r="J222" i="85"/>
  <c r="G222" i="85"/>
  <c r="F222" i="85"/>
  <c r="L221" i="85"/>
  <c r="K221" i="85"/>
  <c r="J221" i="85"/>
  <c r="G221" i="85"/>
  <c r="F221" i="85"/>
  <c r="L220" i="85"/>
  <c r="K220" i="85"/>
  <c r="J220" i="85"/>
  <c r="G220" i="85"/>
  <c r="F220" i="85"/>
  <c r="L219" i="85"/>
  <c r="K219" i="85"/>
  <c r="J219" i="85"/>
  <c r="G219" i="85"/>
  <c r="F219" i="85"/>
  <c r="M173" i="83"/>
  <c r="L173" i="83"/>
  <c r="K173" i="83"/>
  <c r="J173" i="83"/>
  <c r="I173" i="83"/>
  <c r="H173" i="83"/>
  <c r="M172" i="83"/>
  <c r="L172" i="83"/>
  <c r="K172" i="83"/>
  <c r="J172" i="83"/>
  <c r="I172" i="83"/>
  <c r="H172" i="83"/>
  <c r="M171" i="83"/>
  <c r="L171" i="83"/>
  <c r="K171" i="83"/>
  <c r="J171" i="83"/>
  <c r="I171" i="83"/>
  <c r="H171" i="83"/>
  <c r="M170" i="83"/>
  <c r="L170" i="83"/>
  <c r="K170" i="83"/>
  <c r="J170" i="83"/>
  <c r="I170" i="83"/>
  <c r="H170" i="83"/>
  <c r="M169" i="83"/>
  <c r="L169" i="83"/>
  <c r="K169" i="83"/>
  <c r="J169" i="83"/>
  <c r="I169" i="83"/>
  <c r="H169" i="83"/>
  <c r="M168" i="83"/>
  <c r="L168" i="83"/>
  <c r="K168" i="83"/>
  <c r="J168" i="83"/>
  <c r="I168" i="83"/>
  <c r="H168" i="83"/>
  <c r="M167" i="83"/>
  <c r="L167" i="83"/>
  <c r="K167" i="83"/>
  <c r="J167" i="83"/>
  <c r="I167" i="83"/>
  <c r="H167" i="83"/>
  <c r="M166" i="83"/>
  <c r="L166" i="83"/>
  <c r="K166" i="83"/>
  <c r="J166" i="83"/>
  <c r="I166" i="83"/>
  <c r="H166" i="83"/>
  <c r="I157" i="83"/>
  <c r="H157" i="83"/>
  <c r="G157" i="83"/>
  <c r="F157" i="83"/>
  <c r="I156" i="83"/>
  <c r="H156" i="83"/>
  <c r="G156" i="83"/>
  <c r="F156" i="83"/>
  <c r="I155" i="83"/>
  <c r="H155" i="83"/>
  <c r="G155" i="83"/>
  <c r="F155" i="83"/>
  <c r="I154" i="83"/>
  <c r="H154" i="83"/>
  <c r="G154" i="83"/>
  <c r="F154" i="83"/>
  <c r="I153" i="83"/>
  <c r="H153" i="83"/>
  <c r="G153" i="83"/>
  <c r="F153" i="83"/>
  <c r="I152" i="83"/>
  <c r="H152" i="83"/>
  <c r="G152" i="83"/>
  <c r="F152" i="83"/>
  <c r="I151" i="83"/>
  <c r="H151" i="83"/>
  <c r="G151" i="83"/>
  <c r="F151" i="83"/>
  <c r="I150" i="83"/>
  <c r="H150" i="83"/>
  <c r="G150" i="83"/>
  <c r="F150" i="83"/>
  <c r="I144" i="83"/>
  <c r="F144" i="83"/>
  <c r="I143" i="83"/>
  <c r="F143" i="83"/>
  <c r="I142" i="83"/>
  <c r="F142" i="83"/>
  <c r="L134" i="83"/>
  <c r="K134" i="83"/>
  <c r="J134" i="83"/>
  <c r="G134" i="83"/>
  <c r="F134" i="83"/>
  <c r="L133" i="83"/>
  <c r="K133" i="83"/>
  <c r="J133" i="83"/>
  <c r="G133" i="83"/>
  <c r="F133" i="83"/>
  <c r="L132" i="83"/>
  <c r="K132" i="83"/>
  <c r="J132" i="83"/>
  <c r="G132" i="83"/>
  <c r="F132" i="83"/>
  <c r="L131" i="83"/>
  <c r="K131" i="83"/>
  <c r="J131" i="83"/>
  <c r="G131" i="83"/>
  <c r="F131" i="83"/>
  <c r="M200" i="82"/>
  <c r="L200" i="82"/>
  <c r="K200" i="82"/>
  <c r="J200" i="82"/>
  <c r="I200" i="82"/>
  <c r="H200" i="82"/>
  <c r="M199" i="82"/>
  <c r="L199" i="82"/>
  <c r="K199" i="82"/>
  <c r="J199" i="82"/>
  <c r="I199" i="82"/>
  <c r="H199" i="82"/>
  <c r="M198" i="82"/>
  <c r="L198" i="82"/>
  <c r="K198" i="82"/>
  <c r="J198" i="82"/>
  <c r="I198" i="82"/>
  <c r="H198" i="82"/>
  <c r="M197" i="82"/>
  <c r="L197" i="82"/>
  <c r="K197" i="82"/>
  <c r="J197" i="82"/>
  <c r="I197" i="82"/>
  <c r="H197" i="82"/>
  <c r="M196" i="82"/>
  <c r="L196" i="82"/>
  <c r="K196" i="82"/>
  <c r="J196" i="82"/>
  <c r="I196" i="82"/>
  <c r="H196" i="82"/>
  <c r="M195" i="82"/>
  <c r="L195" i="82"/>
  <c r="K195" i="82"/>
  <c r="J195" i="82"/>
  <c r="I195" i="82"/>
  <c r="H195" i="82"/>
  <c r="M194" i="82"/>
  <c r="L194" i="82"/>
  <c r="K194" i="82"/>
  <c r="J194" i="82"/>
  <c r="I194" i="82"/>
  <c r="H194" i="82"/>
  <c r="M193" i="82"/>
  <c r="L193" i="82"/>
  <c r="K193" i="82"/>
  <c r="J193" i="82"/>
  <c r="I193" i="82"/>
  <c r="H193" i="82"/>
  <c r="I184" i="82"/>
  <c r="H184" i="82"/>
  <c r="G184" i="82"/>
  <c r="F184" i="82"/>
  <c r="I183" i="82"/>
  <c r="H183" i="82"/>
  <c r="G183" i="82"/>
  <c r="F183" i="82"/>
  <c r="I182" i="82"/>
  <c r="H182" i="82"/>
  <c r="G182" i="82"/>
  <c r="F182" i="82"/>
  <c r="I181" i="82"/>
  <c r="H181" i="82"/>
  <c r="G181" i="82"/>
  <c r="F181" i="82"/>
  <c r="I180" i="82"/>
  <c r="H180" i="82"/>
  <c r="G180" i="82"/>
  <c r="F180" i="82"/>
  <c r="I179" i="82"/>
  <c r="H179" i="82"/>
  <c r="G179" i="82"/>
  <c r="F179" i="82"/>
  <c r="I178" i="82"/>
  <c r="H178" i="82"/>
  <c r="G178" i="82"/>
  <c r="F178" i="82"/>
  <c r="I177" i="82"/>
  <c r="H177" i="82"/>
  <c r="G177" i="82"/>
  <c r="F177" i="82"/>
  <c r="I171" i="82"/>
  <c r="F171" i="82"/>
  <c r="I170" i="82"/>
  <c r="F170" i="82"/>
  <c r="I169" i="82"/>
  <c r="F169" i="82"/>
  <c r="L161" i="82"/>
  <c r="K161" i="82"/>
  <c r="J161" i="82"/>
  <c r="G161" i="82"/>
  <c r="F161" i="82"/>
  <c r="L160" i="82"/>
  <c r="K160" i="82"/>
  <c r="J160" i="82"/>
  <c r="G160" i="82"/>
  <c r="F160" i="82"/>
  <c r="L159" i="82"/>
  <c r="K159" i="82"/>
  <c r="J159" i="82"/>
  <c r="G159" i="82"/>
  <c r="F159" i="82"/>
  <c r="L158" i="82"/>
  <c r="K158" i="82"/>
  <c r="J158" i="82"/>
  <c r="G158" i="82"/>
  <c r="F158" i="82"/>
  <c r="M187" i="81"/>
  <c r="L187" i="81"/>
  <c r="K187" i="81"/>
  <c r="J187" i="81"/>
  <c r="I187" i="81"/>
  <c r="H187" i="81"/>
  <c r="M186" i="81"/>
  <c r="L186" i="81"/>
  <c r="K186" i="81"/>
  <c r="J186" i="81"/>
  <c r="I186" i="81"/>
  <c r="H186" i="81"/>
  <c r="M185" i="81"/>
  <c r="L185" i="81"/>
  <c r="K185" i="81"/>
  <c r="J185" i="81"/>
  <c r="I185" i="81"/>
  <c r="H185" i="81"/>
  <c r="M184" i="81"/>
  <c r="L184" i="81"/>
  <c r="K184" i="81"/>
  <c r="J184" i="81"/>
  <c r="I184" i="81"/>
  <c r="H184" i="81"/>
  <c r="M183" i="81"/>
  <c r="L183" i="81"/>
  <c r="K183" i="81"/>
  <c r="J183" i="81"/>
  <c r="I183" i="81"/>
  <c r="H183" i="81"/>
  <c r="M182" i="81"/>
  <c r="L182" i="81"/>
  <c r="K182" i="81"/>
  <c r="J182" i="81"/>
  <c r="I182" i="81"/>
  <c r="H182" i="81"/>
  <c r="M181" i="81"/>
  <c r="L181" i="81"/>
  <c r="K181" i="81"/>
  <c r="J181" i="81"/>
  <c r="I181" i="81"/>
  <c r="H181" i="81"/>
  <c r="M180" i="81"/>
  <c r="L180" i="81"/>
  <c r="K180" i="81"/>
  <c r="J180" i="81"/>
  <c r="I180" i="81"/>
  <c r="H180" i="81"/>
  <c r="I171" i="81"/>
  <c r="H171" i="81"/>
  <c r="G171" i="81"/>
  <c r="F171" i="81"/>
  <c r="I170" i="81"/>
  <c r="H170" i="81"/>
  <c r="G170" i="81"/>
  <c r="F170" i="81"/>
  <c r="I169" i="81"/>
  <c r="H169" i="81"/>
  <c r="G169" i="81"/>
  <c r="F169" i="81"/>
  <c r="I168" i="81"/>
  <c r="H168" i="81"/>
  <c r="G168" i="81"/>
  <c r="F168" i="81"/>
  <c r="I167" i="81"/>
  <c r="H167" i="81"/>
  <c r="G167" i="81"/>
  <c r="F167" i="81"/>
  <c r="I166" i="81"/>
  <c r="H166" i="81"/>
  <c r="G166" i="81"/>
  <c r="F166" i="81"/>
  <c r="I165" i="81"/>
  <c r="H165" i="81"/>
  <c r="G165" i="81"/>
  <c r="F165" i="81"/>
  <c r="I164" i="81"/>
  <c r="H164" i="81"/>
  <c r="G164" i="81"/>
  <c r="F164" i="81"/>
  <c r="F158" i="81"/>
  <c r="I157" i="81"/>
  <c r="F157" i="81"/>
  <c r="F156" i="81"/>
  <c r="L148" i="81"/>
  <c r="K148" i="81"/>
  <c r="J148" i="81"/>
  <c r="G148" i="81"/>
  <c r="F148" i="81"/>
  <c r="L147" i="81"/>
  <c r="K147" i="81"/>
  <c r="J147" i="81"/>
  <c r="G147" i="81"/>
  <c r="F147" i="81"/>
  <c r="L146" i="81"/>
  <c r="K146" i="81"/>
  <c r="J146" i="81"/>
  <c r="G146" i="81"/>
  <c r="F146" i="81"/>
  <c r="L145" i="81"/>
  <c r="K145" i="81"/>
  <c r="J145" i="81"/>
  <c r="G145" i="81"/>
  <c r="F145" i="81"/>
  <c r="M179" i="80"/>
  <c r="L179" i="80"/>
  <c r="K179" i="80"/>
  <c r="J179" i="80"/>
  <c r="I179" i="80"/>
  <c r="H179" i="80"/>
  <c r="M178" i="80"/>
  <c r="L178" i="80"/>
  <c r="K178" i="80"/>
  <c r="J178" i="80"/>
  <c r="I178" i="80"/>
  <c r="H178" i="80"/>
  <c r="M177" i="80"/>
  <c r="L177" i="80"/>
  <c r="K177" i="80"/>
  <c r="J177" i="80"/>
  <c r="I177" i="80"/>
  <c r="H177" i="80"/>
  <c r="M176" i="80"/>
  <c r="L176" i="80"/>
  <c r="K176" i="80"/>
  <c r="J176" i="80"/>
  <c r="I176" i="80"/>
  <c r="H176" i="80"/>
  <c r="M175" i="80"/>
  <c r="L175" i="80"/>
  <c r="K175" i="80"/>
  <c r="J175" i="80"/>
  <c r="I175" i="80"/>
  <c r="H175" i="80"/>
  <c r="M174" i="80"/>
  <c r="L174" i="80"/>
  <c r="K174" i="80"/>
  <c r="J174" i="80"/>
  <c r="I174" i="80"/>
  <c r="H174" i="80"/>
  <c r="M173" i="80"/>
  <c r="L173" i="80"/>
  <c r="K173" i="80"/>
  <c r="J173" i="80"/>
  <c r="I173" i="80"/>
  <c r="H173" i="80"/>
  <c r="M172" i="80"/>
  <c r="L172" i="80"/>
  <c r="K172" i="80"/>
  <c r="J172" i="80"/>
  <c r="I172" i="80"/>
  <c r="H172" i="80"/>
  <c r="I163" i="80"/>
  <c r="H163" i="80"/>
  <c r="G163" i="80"/>
  <c r="F163" i="80"/>
  <c r="I162" i="80"/>
  <c r="H162" i="80"/>
  <c r="G162" i="80"/>
  <c r="F162" i="80"/>
  <c r="I161" i="80"/>
  <c r="H161" i="80"/>
  <c r="G161" i="80"/>
  <c r="F161" i="80"/>
  <c r="I160" i="80"/>
  <c r="H160" i="80"/>
  <c r="G160" i="80"/>
  <c r="F160" i="80"/>
  <c r="I159" i="80"/>
  <c r="H159" i="80"/>
  <c r="G159" i="80"/>
  <c r="F159" i="80"/>
  <c r="I158" i="80"/>
  <c r="H158" i="80"/>
  <c r="G158" i="80"/>
  <c r="F158" i="80"/>
  <c r="I157" i="80"/>
  <c r="H157" i="80"/>
  <c r="G157" i="80"/>
  <c r="F157" i="80"/>
  <c r="I156" i="80"/>
  <c r="H156" i="80"/>
  <c r="G156" i="80"/>
  <c r="F156" i="80"/>
  <c r="F150" i="80"/>
  <c r="F149" i="80"/>
  <c r="F148" i="80"/>
  <c r="L140" i="80"/>
  <c r="K140" i="80"/>
  <c r="J140" i="80"/>
  <c r="G140" i="80"/>
  <c r="F140" i="80"/>
  <c r="L139" i="80"/>
  <c r="K139" i="80"/>
  <c r="J139" i="80"/>
  <c r="G139" i="80"/>
  <c r="F139" i="80"/>
  <c r="L138" i="80"/>
  <c r="K138" i="80"/>
  <c r="J138" i="80"/>
  <c r="G138" i="80"/>
  <c r="F138" i="80"/>
  <c r="L137" i="80"/>
  <c r="K137" i="80"/>
  <c r="J137" i="80"/>
  <c r="G137" i="80"/>
  <c r="F137" i="80"/>
  <c r="M172" i="78"/>
  <c r="L172" i="78"/>
  <c r="K172" i="78"/>
  <c r="J172" i="78"/>
  <c r="I172" i="78"/>
  <c r="H172" i="78"/>
  <c r="M171" i="78"/>
  <c r="L171" i="78"/>
  <c r="K171" i="78"/>
  <c r="J171" i="78"/>
  <c r="I171" i="78"/>
  <c r="H171" i="78"/>
  <c r="M170" i="78"/>
  <c r="L170" i="78"/>
  <c r="K170" i="78"/>
  <c r="J170" i="78"/>
  <c r="I170" i="78"/>
  <c r="H170" i="78"/>
  <c r="M169" i="78"/>
  <c r="L169" i="78"/>
  <c r="K169" i="78"/>
  <c r="J169" i="78"/>
  <c r="I169" i="78"/>
  <c r="H169" i="78"/>
  <c r="M168" i="78"/>
  <c r="L168" i="78"/>
  <c r="K168" i="78"/>
  <c r="J168" i="78"/>
  <c r="I168" i="78"/>
  <c r="H168" i="78"/>
  <c r="M167" i="78"/>
  <c r="L167" i="78"/>
  <c r="K167" i="78"/>
  <c r="J167" i="78"/>
  <c r="I167" i="78"/>
  <c r="H167" i="78"/>
  <c r="M166" i="78"/>
  <c r="L166" i="78"/>
  <c r="K166" i="78"/>
  <c r="J166" i="78"/>
  <c r="I166" i="78"/>
  <c r="H166" i="78"/>
  <c r="M165" i="78"/>
  <c r="L165" i="78"/>
  <c r="K165" i="78"/>
  <c r="J165" i="78"/>
  <c r="I165" i="78"/>
  <c r="H165" i="78"/>
  <c r="I156" i="78"/>
  <c r="H156" i="78"/>
  <c r="G156" i="78"/>
  <c r="F156" i="78"/>
  <c r="I155" i="78"/>
  <c r="H155" i="78"/>
  <c r="G155" i="78"/>
  <c r="F155" i="78"/>
  <c r="I154" i="78"/>
  <c r="H154" i="78"/>
  <c r="G154" i="78"/>
  <c r="F154" i="78"/>
  <c r="I153" i="78"/>
  <c r="H153" i="78"/>
  <c r="G153" i="78"/>
  <c r="F153" i="78"/>
  <c r="I152" i="78"/>
  <c r="H152" i="78"/>
  <c r="G152" i="78"/>
  <c r="F152" i="78"/>
  <c r="I151" i="78"/>
  <c r="H151" i="78"/>
  <c r="G151" i="78"/>
  <c r="F151" i="78"/>
  <c r="I150" i="78"/>
  <c r="H150" i="78"/>
  <c r="G150" i="78"/>
  <c r="F150" i="78"/>
  <c r="I149" i="78"/>
  <c r="H149" i="78"/>
  <c r="G149" i="78"/>
  <c r="F149" i="78"/>
  <c r="F143" i="78"/>
  <c r="F142" i="78"/>
  <c r="F141" i="78"/>
  <c r="L133" i="78"/>
  <c r="K133" i="78"/>
  <c r="J133" i="78"/>
  <c r="G133" i="78"/>
  <c r="F133" i="78"/>
  <c r="L132" i="78"/>
  <c r="K132" i="78"/>
  <c r="J132" i="78"/>
  <c r="F132" i="78"/>
  <c r="L131" i="78"/>
  <c r="K131" i="78"/>
  <c r="J131" i="78"/>
  <c r="F131" i="78"/>
  <c r="L130" i="78"/>
  <c r="K130" i="78"/>
  <c r="J130" i="78"/>
  <c r="G130" i="78"/>
  <c r="F130" i="78"/>
  <c r="M168" i="77"/>
  <c r="L168" i="77"/>
  <c r="K168" i="77"/>
  <c r="J168" i="77"/>
  <c r="I168" i="77"/>
  <c r="H168" i="77"/>
  <c r="M167" i="77"/>
  <c r="L167" i="77"/>
  <c r="K167" i="77"/>
  <c r="J167" i="77"/>
  <c r="I167" i="77"/>
  <c r="H167" i="77"/>
  <c r="M166" i="77"/>
  <c r="L166" i="77"/>
  <c r="K166" i="77"/>
  <c r="J166" i="77"/>
  <c r="I166" i="77"/>
  <c r="H166" i="77"/>
  <c r="M165" i="77"/>
  <c r="L165" i="77"/>
  <c r="K165" i="77"/>
  <c r="J165" i="77"/>
  <c r="I165" i="77"/>
  <c r="H165" i="77"/>
  <c r="M164" i="77"/>
  <c r="L164" i="77"/>
  <c r="K164" i="77"/>
  <c r="J164" i="77"/>
  <c r="I164" i="77"/>
  <c r="H164" i="77"/>
  <c r="M163" i="77"/>
  <c r="L163" i="77"/>
  <c r="K163" i="77"/>
  <c r="J163" i="77"/>
  <c r="I163" i="77"/>
  <c r="H163" i="77"/>
  <c r="M162" i="77"/>
  <c r="L162" i="77"/>
  <c r="K162" i="77"/>
  <c r="J162" i="77"/>
  <c r="I162" i="77"/>
  <c r="H162" i="77"/>
  <c r="M161" i="77"/>
  <c r="L161" i="77"/>
  <c r="K161" i="77"/>
  <c r="J161" i="77"/>
  <c r="I161" i="77"/>
  <c r="H161" i="77"/>
  <c r="I152" i="77"/>
  <c r="H152" i="77"/>
  <c r="G152" i="77"/>
  <c r="F152" i="77"/>
  <c r="I151" i="77"/>
  <c r="H151" i="77"/>
  <c r="G151" i="77"/>
  <c r="F151" i="77"/>
  <c r="I150" i="77"/>
  <c r="H150" i="77"/>
  <c r="G150" i="77"/>
  <c r="F150" i="77"/>
  <c r="I149" i="77"/>
  <c r="H149" i="77"/>
  <c r="G149" i="77"/>
  <c r="F149" i="77"/>
  <c r="I148" i="77"/>
  <c r="H148" i="77"/>
  <c r="G148" i="77"/>
  <c r="F148" i="77"/>
  <c r="I147" i="77"/>
  <c r="H147" i="77"/>
  <c r="G147" i="77"/>
  <c r="F147" i="77"/>
  <c r="I146" i="77"/>
  <c r="H146" i="77"/>
  <c r="G146" i="77"/>
  <c r="F146" i="77"/>
  <c r="I145" i="77"/>
  <c r="H145" i="77"/>
  <c r="G145" i="77"/>
  <c r="F145" i="77"/>
  <c r="F139" i="77"/>
  <c r="F138" i="77"/>
  <c r="F137" i="77"/>
  <c r="L129" i="77"/>
  <c r="K129" i="77"/>
  <c r="J129" i="77"/>
  <c r="G129" i="77"/>
  <c r="F129" i="77"/>
  <c r="L128" i="77"/>
  <c r="K128" i="77"/>
  <c r="J128" i="77"/>
  <c r="G128" i="77"/>
  <c r="F128" i="77"/>
  <c r="L127" i="77"/>
  <c r="K127" i="77"/>
  <c r="J127" i="77"/>
  <c r="G127" i="77"/>
  <c r="F127" i="77"/>
  <c r="L126" i="77"/>
  <c r="K126" i="77"/>
  <c r="J126" i="77"/>
  <c r="G126" i="77"/>
  <c r="F126" i="77"/>
  <c r="J135" i="65"/>
  <c r="G158" i="65"/>
  <c r="G157" i="65"/>
  <c r="G161" i="65"/>
  <c r="G160" i="65"/>
  <c r="G159" i="65"/>
  <c r="I170" i="65"/>
  <c r="K172" i="65"/>
  <c r="M177" i="65"/>
  <c r="L177" i="65"/>
  <c r="K177" i="65"/>
  <c r="J177" i="65"/>
  <c r="I177" i="65"/>
  <c r="H177" i="65"/>
  <c r="M176" i="65"/>
  <c r="L176" i="65"/>
  <c r="K176" i="65"/>
  <c r="J176" i="65"/>
  <c r="I176" i="65"/>
  <c r="H176" i="65"/>
  <c r="M175" i="65"/>
  <c r="L175" i="65"/>
  <c r="K175" i="65"/>
  <c r="J175" i="65"/>
  <c r="I175" i="65"/>
  <c r="H175" i="65"/>
  <c r="M174" i="65"/>
  <c r="L174" i="65"/>
  <c r="K174" i="65"/>
  <c r="J174" i="65"/>
  <c r="I174" i="65"/>
  <c r="H174" i="65"/>
  <c r="M173" i="65"/>
  <c r="L173" i="65"/>
  <c r="K173" i="65"/>
  <c r="J173" i="65"/>
  <c r="I173" i="65"/>
  <c r="H173" i="65"/>
  <c r="M172" i="65"/>
  <c r="L172" i="65"/>
  <c r="J172" i="65"/>
  <c r="I172" i="65"/>
  <c r="H172" i="65"/>
  <c r="M171" i="65"/>
  <c r="L171" i="65"/>
  <c r="K171" i="65"/>
  <c r="J171" i="65"/>
  <c r="I171" i="65"/>
  <c r="H171" i="65"/>
  <c r="M170" i="65"/>
  <c r="L170" i="65"/>
  <c r="K170" i="65"/>
  <c r="J170" i="65"/>
  <c r="H170" i="65"/>
  <c r="I155" i="65"/>
  <c r="I161" i="65"/>
  <c r="I160" i="65"/>
  <c r="I159" i="65"/>
  <c r="I158" i="65"/>
  <c r="H161" i="65"/>
  <c r="H160" i="65"/>
  <c r="H159" i="65"/>
  <c r="H158" i="65"/>
  <c r="H155" i="65"/>
  <c r="G155" i="65"/>
  <c r="F136" i="65"/>
  <c r="F135" i="65"/>
  <c r="H157" i="65"/>
  <c r="I157" i="65"/>
  <c r="I156" i="65"/>
  <c r="H156" i="65"/>
  <c r="G156" i="65"/>
  <c r="F161" i="65"/>
  <c r="F160" i="65"/>
  <c r="F159" i="65"/>
  <c r="F158" i="65"/>
  <c r="F157" i="65"/>
  <c r="F156" i="65"/>
  <c r="F155" i="65"/>
  <c r="I154" i="65"/>
  <c r="H154" i="65"/>
  <c r="G154" i="65"/>
  <c r="F154" i="65"/>
  <c r="L138" i="65"/>
  <c r="K138" i="65"/>
  <c r="J138" i="65"/>
  <c r="G138" i="65"/>
  <c r="L137" i="65"/>
  <c r="K137" i="65"/>
  <c r="J137" i="65"/>
  <c r="G137" i="65"/>
  <c r="K136" i="65"/>
  <c r="J136" i="65"/>
  <c r="K135" i="65"/>
  <c r="F39" i="90" l="1"/>
  <c r="E40" i="90"/>
  <c r="E39" i="90"/>
  <c r="K38" i="90"/>
  <c r="M38" i="90"/>
  <c r="G128" i="90"/>
  <c r="G130" i="90"/>
  <c r="G132" i="90"/>
  <c r="G134" i="90"/>
  <c r="H130" i="90"/>
  <c r="I38" i="90" s="1"/>
  <c r="H132" i="90"/>
  <c r="H134" i="90"/>
  <c r="J38" i="90"/>
  <c r="L38" i="90"/>
  <c r="E38" i="90"/>
  <c r="H127" i="90"/>
  <c r="H129" i="90"/>
  <c r="H131" i="90"/>
  <c r="H133" i="90"/>
  <c r="H128" i="90"/>
  <c r="G127" i="90"/>
  <c r="G129" i="90"/>
  <c r="G131" i="90"/>
  <c r="G133" i="90"/>
  <c r="E128" i="53"/>
  <c r="E129" i="90"/>
  <c r="E130" i="53"/>
  <c r="E131" i="90"/>
  <c r="E132" i="53"/>
  <c r="E133" i="90"/>
  <c r="E134" i="53"/>
  <c r="D128" i="90"/>
  <c r="D130" i="90"/>
  <c r="D132" i="90"/>
  <c r="D134" i="90"/>
  <c r="E128" i="90"/>
  <c r="E129" i="53"/>
  <c r="E130" i="90"/>
  <c r="I37" i="90" s="1"/>
  <c r="E131" i="53"/>
  <c r="E132" i="90"/>
  <c r="E133" i="53"/>
  <c r="E134" i="90"/>
  <c r="D127" i="90"/>
  <c r="D129" i="90"/>
  <c r="D131" i="90"/>
  <c r="D133" i="90"/>
  <c r="F133" i="90" s="1"/>
  <c r="J37" i="90"/>
  <c r="K37" i="90"/>
  <c r="L37" i="90"/>
  <c r="M37" i="90"/>
  <c r="J129" i="90"/>
  <c r="J133" i="90"/>
  <c r="M39" i="90"/>
  <c r="K132" i="90"/>
  <c r="K128" i="90"/>
  <c r="K127" i="90"/>
  <c r="K131" i="90"/>
  <c r="J128" i="90"/>
  <c r="J132" i="90"/>
  <c r="K134" i="90"/>
  <c r="J39" i="90"/>
  <c r="J127" i="90"/>
  <c r="J131" i="90"/>
  <c r="M129" i="90"/>
  <c r="M133" i="90"/>
  <c r="K127" i="53"/>
  <c r="K130" i="90"/>
  <c r="K39" i="90"/>
  <c r="K129" i="90"/>
  <c r="K133" i="90"/>
  <c r="L39" i="90"/>
  <c r="J127" i="53"/>
  <c r="J130" i="90"/>
  <c r="J134" i="90"/>
  <c r="M132" i="90"/>
  <c r="M128" i="90"/>
  <c r="N134" i="90"/>
  <c r="M130" i="90"/>
  <c r="M134" i="90"/>
  <c r="N133" i="90"/>
  <c r="N131" i="90"/>
  <c r="N129" i="90"/>
  <c r="M127" i="90"/>
  <c r="M131" i="90"/>
  <c r="N130" i="90"/>
  <c r="M40" i="90"/>
  <c r="N132" i="90"/>
  <c r="K40" i="90"/>
  <c r="L40" i="90"/>
  <c r="J40" i="90"/>
  <c r="N127" i="90"/>
  <c r="N128" i="90"/>
  <c r="E127" i="53"/>
  <c r="E127" i="90"/>
  <c r="E40" i="53"/>
  <c r="G213" i="87"/>
  <c r="F39" i="46"/>
  <c r="J130" i="46"/>
  <c r="J131" i="53"/>
  <c r="J132" i="46"/>
  <c r="J133" i="53"/>
  <c r="J134" i="46"/>
  <c r="J39" i="53"/>
  <c r="M39" i="46"/>
  <c r="K127" i="46"/>
  <c r="K128" i="53"/>
  <c r="K129" i="46"/>
  <c r="K130" i="53"/>
  <c r="K131" i="46"/>
  <c r="K132" i="53"/>
  <c r="K133" i="46"/>
  <c r="K134" i="53"/>
  <c r="J39" i="46"/>
  <c r="K39" i="53"/>
  <c r="E39" i="46"/>
  <c r="J128" i="46"/>
  <c r="J129" i="53"/>
  <c r="K39" i="46"/>
  <c r="L39" i="53"/>
  <c r="K128" i="46"/>
  <c r="K129" i="53"/>
  <c r="K130" i="46"/>
  <c r="K131" i="53"/>
  <c r="K132" i="46"/>
  <c r="K133" i="53"/>
  <c r="K134" i="46"/>
  <c r="L39" i="46"/>
  <c r="M39" i="53"/>
  <c r="E39" i="53"/>
  <c r="J127" i="46"/>
  <c r="J128" i="53"/>
  <c r="J129" i="46"/>
  <c r="J130" i="53"/>
  <c r="J131" i="46"/>
  <c r="J132" i="53"/>
  <c r="J133" i="46"/>
  <c r="J134" i="53"/>
  <c r="F39" i="53"/>
  <c r="F212" i="87"/>
  <c r="F207" i="87"/>
  <c r="F209" i="87"/>
  <c r="F211" i="87"/>
  <c r="G183" i="86"/>
  <c r="G187" i="86"/>
  <c r="G188" i="86"/>
  <c r="F187" i="86"/>
  <c r="G189" i="86"/>
  <c r="G206" i="87"/>
  <c r="G255" i="85"/>
  <c r="G257" i="85"/>
  <c r="G259" i="85"/>
  <c r="G261" i="85"/>
  <c r="G209" i="87"/>
  <c r="G211" i="87"/>
  <c r="F166" i="83"/>
  <c r="F168" i="83"/>
  <c r="F170" i="83"/>
  <c r="G208" i="87"/>
  <c r="G210" i="87"/>
  <c r="F172" i="83"/>
  <c r="F254" i="85"/>
  <c r="F182" i="86"/>
  <c r="G184" i="86"/>
  <c r="G186" i="86"/>
  <c r="G172" i="83"/>
  <c r="G207" i="87"/>
  <c r="F193" i="82"/>
  <c r="F197" i="82"/>
  <c r="F199" i="82"/>
  <c r="G195" i="82"/>
  <c r="G200" i="82"/>
  <c r="F195" i="82"/>
  <c r="G196" i="82"/>
  <c r="F196" i="82"/>
  <c r="G181" i="81"/>
  <c r="G184" i="81"/>
  <c r="G185" i="81"/>
  <c r="G187" i="81"/>
  <c r="G183" i="81"/>
  <c r="F183" i="81"/>
  <c r="G182" i="81"/>
  <c r="F180" i="81"/>
  <c r="F200" i="82"/>
  <c r="F213" i="87"/>
  <c r="G180" i="81"/>
  <c r="G186" i="81"/>
  <c r="F194" i="82"/>
  <c r="G199" i="82"/>
  <c r="G167" i="83"/>
  <c r="G169" i="83"/>
  <c r="G171" i="83"/>
  <c r="F186" i="86"/>
  <c r="F184" i="81"/>
  <c r="F186" i="81"/>
  <c r="F198" i="82"/>
  <c r="G182" i="86"/>
  <c r="F183" i="86"/>
  <c r="G185" i="86"/>
  <c r="G165" i="78"/>
  <c r="G171" i="78"/>
  <c r="G169" i="78"/>
  <c r="F164" i="77"/>
  <c r="F166" i="77"/>
  <c r="F168" i="77"/>
  <c r="G168" i="77"/>
  <c r="F182" i="81"/>
  <c r="F185" i="81"/>
  <c r="G194" i="82"/>
  <c r="G198" i="82"/>
  <c r="F255" i="85"/>
  <c r="F257" i="85"/>
  <c r="F259" i="85"/>
  <c r="F261" i="85"/>
  <c r="F181" i="81"/>
  <c r="F187" i="81"/>
  <c r="G193" i="82"/>
  <c r="G197" i="82"/>
  <c r="F167" i="83"/>
  <c r="F169" i="83"/>
  <c r="F171" i="83"/>
  <c r="G173" i="83"/>
  <c r="G254" i="85"/>
  <c r="G256" i="85"/>
  <c r="G258" i="85"/>
  <c r="G260" i="85"/>
  <c r="F185" i="86"/>
  <c r="F189" i="86"/>
  <c r="F206" i="87"/>
  <c r="F208" i="87"/>
  <c r="F210" i="87"/>
  <c r="G212" i="87"/>
  <c r="G166" i="83"/>
  <c r="G168" i="83"/>
  <c r="G170" i="83"/>
  <c r="F173" i="83"/>
  <c r="F256" i="85"/>
  <c r="F258" i="85"/>
  <c r="F260" i="85"/>
  <c r="F184" i="86"/>
  <c r="F188" i="86"/>
  <c r="G167" i="78"/>
  <c r="F165" i="78"/>
  <c r="F167" i="78"/>
  <c r="F169" i="78"/>
  <c r="F171" i="78"/>
  <c r="G168" i="78"/>
  <c r="G170" i="78"/>
  <c r="G172" i="78"/>
  <c r="G166" i="78"/>
  <c r="F166" i="78"/>
  <c r="F168" i="78"/>
  <c r="F170" i="78"/>
  <c r="F172" i="78"/>
  <c r="G161" i="77"/>
  <c r="G166" i="77"/>
  <c r="G163" i="77"/>
  <c r="G165" i="77"/>
  <c r="F162" i="77"/>
  <c r="G162" i="77"/>
  <c r="G164" i="77"/>
  <c r="G167" i="77"/>
  <c r="F161" i="77"/>
  <c r="F163" i="77"/>
  <c r="F165" i="77"/>
  <c r="F167" i="77"/>
  <c r="G172" i="80"/>
  <c r="G174" i="80"/>
  <c r="G176" i="80"/>
  <c r="G178" i="80"/>
  <c r="F172" i="80"/>
  <c r="F174" i="80"/>
  <c r="F176" i="80"/>
  <c r="F178" i="80"/>
  <c r="G173" i="80"/>
  <c r="G175" i="80"/>
  <c r="G177" i="80"/>
  <c r="G179" i="80"/>
  <c r="F173" i="80"/>
  <c r="F175" i="80"/>
  <c r="F177" i="80"/>
  <c r="F179" i="80"/>
  <c r="G166" i="79"/>
  <c r="G168" i="79"/>
  <c r="G169" i="79"/>
  <c r="G163" i="79"/>
  <c r="G165" i="79"/>
  <c r="G167" i="79"/>
  <c r="F163" i="79"/>
  <c r="F165" i="79"/>
  <c r="F167" i="79"/>
  <c r="F169" i="79"/>
  <c r="G162" i="79"/>
  <c r="G164" i="79"/>
  <c r="F162" i="79"/>
  <c r="F164" i="79"/>
  <c r="F166" i="79"/>
  <c r="F168" i="79"/>
  <c r="H25" i="53"/>
  <c r="G25" i="53"/>
  <c r="F25" i="53"/>
  <c r="M28" i="53"/>
  <c r="L28" i="53"/>
  <c r="K28" i="53"/>
  <c r="J28" i="53"/>
  <c r="I28" i="53"/>
  <c r="I28" i="56" s="1"/>
  <c r="H28" i="53"/>
  <c r="G28" i="53"/>
  <c r="F28" i="53"/>
  <c r="E28" i="53"/>
  <c r="M27" i="53"/>
  <c r="L27" i="53"/>
  <c r="K27" i="53"/>
  <c r="J27" i="53"/>
  <c r="I27" i="53"/>
  <c r="I27" i="56" s="1"/>
  <c r="H27" i="53"/>
  <c r="G27" i="53"/>
  <c r="F27" i="53"/>
  <c r="E27" i="53"/>
  <c r="M26" i="53"/>
  <c r="L26" i="53"/>
  <c r="K26" i="53"/>
  <c r="J26" i="53"/>
  <c r="I26" i="53"/>
  <c r="I26" i="56" s="1"/>
  <c r="H26" i="53"/>
  <c r="G26" i="53"/>
  <c r="F26" i="53"/>
  <c r="E26" i="53"/>
  <c r="M25" i="53"/>
  <c r="L25" i="53"/>
  <c r="K25" i="53"/>
  <c r="J25" i="53"/>
  <c r="I25" i="53"/>
  <c r="E25" i="53"/>
  <c r="M28" i="46"/>
  <c r="M28" i="56" s="1"/>
  <c r="M27" i="46"/>
  <c r="M27" i="56" s="1"/>
  <c r="M26" i="46"/>
  <c r="M25" i="46"/>
  <c r="L28" i="46"/>
  <c r="L28" i="56" s="1"/>
  <c r="L27" i="46"/>
  <c r="L27" i="56" s="1"/>
  <c r="L26" i="46"/>
  <c r="L26" i="56" s="1"/>
  <c r="K28" i="46"/>
  <c r="K27" i="46"/>
  <c r="K26" i="46"/>
  <c r="K26" i="56" s="1"/>
  <c r="K25" i="46"/>
  <c r="J28" i="46"/>
  <c r="J27" i="46"/>
  <c r="J27" i="56" s="1"/>
  <c r="J26" i="46"/>
  <c r="J26" i="56" s="1"/>
  <c r="J25" i="46"/>
  <c r="H28" i="46"/>
  <c r="H27" i="46"/>
  <c r="H26" i="46"/>
  <c r="G28" i="46"/>
  <c r="G27" i="46"/>
  <c r="G26" i="46"/>
  <c r="G26" i="56" s="1"/>
  <c r="G25" i="46"/>
  <c r="G25" i="56" s="1"/>
  <c r="F28" i="46"/>
  <c r="F28" i="56" s="1"/>
  <c r="F27" i="46"/>
  <c r="F27" i="56" s="1"/>
  <c r="F26" i="46"/>
  <c r="F26" i="56" s="1"/>
  <c r="L25" i="46"/>
  <c r="L25" i="56" s="1"/>
  <c r="I25" i="46"/>
  <c r="H25" i="46"/>
  <c r="F25" i="46"/>
  <c r="E28" i="46"/>
  <c r="E28" i="56" s="1"/>
  <c r="E27" i="46"/>
  <c r="E26" i="46"/>
  <c r="E25" i="46"/>
  <c r="E25" i="56" s="1"/>
  <c r="N34" i="85" l="1"/>
  <c r="N36" i="85"/>
  <c r="H27" i="56"/>
  <c r="E26" i="56"/>
  <c r="H25" i="56"/>
  <c r="H28" i="56"/>
  <c r="K28" i="56"/>
  <c r="E27" i="56"/>
  <c r="G28" i="56"/>
  <c r="J25" i="56"/>
  <c r="K25" i="56"/>
  <c r="M26" i="56"/>
  <c r="E39" i="56"/>
  <c r="I128" i="90"/>
  <c r="I130" i="90"/>
  <c r="I132" i="90"/>
  <c r="I134" i="90"/>
  <c r="I129" i="90"/>
  <c r="I133" i="90"/>
  <c r="I127" i="90"/>
  <c r="I131" i="90"/>
  <c r="H135" i="90"/>
  <c r="G135" i="90"/>
  <c r="H38" i="90" s="1"/>
  <c r="F129" i="90"/>
  <c r="F132" i="90"/>
  <c r="F128" i="90"/>
  <c r="F131" i="90"/>
  <c r="F130" i="90"/>
  <c r="D135" i="90"/>
  <c r="H37" i="90" s="1"/>
  <c r="F134" i="90"/>
  <c r="F39" i="56"/>
  <c r="H26" i="56"/>
  <c r="I29" i="46"/>
  <c r="I25" i="56"/>
  <c r="K27" i="56"/>
  <c r="F25" i="56"/>
  <c r="G27" i="56"/>
  <c r="J28" i="56"/>
  <c r="M25" i="56"/>
  <c r="L128" i="90"/>
  <c r="M41" i="90"/>
  <c r="P129" i="90"/>
  <c r="P133" i="90"/>
  <c r="L133" i="90"/>
  <c r="L129" i="90"/>
  <c r="L132" i="90"/>
  <c r="L131" i="90"/>
  <c r="Q134" i="90"/>
  <c r="Q128" i="90"/>
  <c r="P128" i="90"/>
  <c r="P132" i="90"/>
  <c r="P131" i="90"/>
  <c r="L127" i="90"/>
  <c r="Q131" i="90"/>
  <c r="L134" i="90"/>
  <c r="L39" i="56"/>
  <c r="P127" i="90"/>
  <c r="J41" i="90"/>
  <c r="Q129" i="90"/>
  <c r="K41" i="90"/>
  <c r="K135" i="90"/>
  <c r="I39" i="90" s="1"/>
  <c r="L130" i="90"/>
  <c r="P130" i="90"/>
  <c r="K156" i="56"/>
  <c r="Q133" i="90"/>
  <c r="J163" i="56"/>
  <c r="J135" i="90"/>
  <c r="H39" i="90" s="1"/>
  <c r="J156" i="56"/>
  <c r="L41" i="90"/>
  <c r="J162" i="56"/>
  <c r="J160" i="56"/>
  <c r="K160" i="56"/>
  <c r="K161" i="56"/>
  <c r="K157" i="56"/>
  <c r="K39" i="56"/>
  <c r="K162" i="56"/>
  <c r="J161" i="56"/>
  <c r="K159" i="56"/>
  <c r="K163" i="56"/>
  <c r="J158" i="56"/>
  <c r="J157" i="56"/>
  <c r="K158" i="56"/>
  <c r="J159" i="56"/>
  <c r="J39" i="56"/>
  <c r="M39" i="56"/>
  <c r="O132" i="90"/>
  <c r="N46" i="87"/>
  <c r="O127" i="90"/>
  <c r="O134" i="90"/>
  <c r="O130" i="90"/>
  <c r="P134" i="90"/>
  <c r="Q130" i="90"/>
  <c r="I40" i="90"/>
  <c r="Q132" i="90"/>
  <c r="M135" i="90"/>
  <c r="O131" i="90"/>
  <c r="O129" i="90"/>
  <c r="N135" i="90"/>
  <c r="O128" i="90"/>
  <c r="Q127" i="90"/>
  <c r="E135" i="90"/>
  <c r="F127" i="90"/>
  <c r="N27" i="78"/>
  <c r="O133" i="90" l="1"/>
  <c r="H40" i="90"/>
  <c r="H41" i="90" s="1"/>
  <c r="N33" i="85"/>
  <c r="I41" i="90"/>
  <c r="R133" i="90"/>
  <c r="R132" i="90"/>
  <c r="R129" i="90"/>
  <c r="R128" i="90"/>
  <c r="R131" i="90"/>
  <c r="P135" i="90"/>
  <c r="R130" i="90"/>
  <c r="R134" i="90"/>
  <c r="Q135" i="90"/>
  <c r="R127" i="90"/>
  <c r="I141" i="78"/>
  <c r="I142" i="78"/>
  <c r="R135" i="90" l="1"/>
  <c r="I143" i="78"/>
  <c r="I140" i="78"/>
  <c r="I138" i="77"/>
  <c r="I136" i="77" l="1"/>
  <c r="I139" i="77"/>
  <c r="I146" i="65" l="1"/>
  <c r="F37" i="90" s="1"/>
  <c r="E40" i="46"/>
  <c r="E40" i="56" s="1"/>
  <c r="I229" i="85"/>
  <c r="I183" i="87" l="1"/>
  <c r="F40" i="53" s="1"/>
  <c r="I182" i="87"/>
  <c r="F40" i="90" s="1"/>
  <c r="I184" i="87"/>
  <c r="F40" i="46" s="1"/>
  <c r="I168" i="82"/>
  <c r="I141" i="83"/>
  <c r="I181" i="87"/>
  <c r="I157" i="86"/>
  <c r="F40" i="56" l="1"/>
  <c r="I158" i="81"/>
  <c r="I156" i="81"/>
  <c r="I149" i="80"/>
  <c r="E38" i="46"/>
  <c r="E38" i="53"/>
  <c r="I138" i="79"/>
  <c r="E38" i="56" l="1"/>
  <c r="I150" i="80"/>
  <c r="I148" i="80"/>
  <c r="F38" i="90" s="1"/>
  <c r="I140" i="79"/>
  <c r="I137" i="79"/>
  <c r="I139" i="79"/>
  <c r="F38" i="53" s="1"/>
  <c r="I155" i="81"/>
  <c r="I147" i="80"/>
  <c r="G22" i="53"/>
  <c r="G19" i="53"/>
  <c r="G22" i="46"/>
  <c r="G22" i="56" s="1"/>
  <c r="G21" i="46"/>
  <c r="G14" i="46"/>
  <c r="G14" i="56" s="1"/>
  <c r="F41" i="90" l="1"/>
  <c r="F38" i="46"/>
  <c r="F38" i="56" s="1"/>
  <c r="G19" i="46"/>
  <c r="G19" i="56" s="1"/>
  <c r="G15" i="46"/>
  <c r="G16" i="46"/>
  <c r="M23" i="53"/>
  <c r="L23" i="53"/>
  <c r="F23" i="53"/>
  <c r="E23" i="53"/>
  <c r="K22" i="53"/>
  <c r="K23" i="53" s="1"/>
  <c r="J22" i="53"/>
  <c r="J21" i="53"/>
  <c r="G21" i="53"/>
  <c r="G21" i="56" s="1"/>
  <c r="J20" i="53"/>
  <c r="G20" i="53"/>
  <c r="J19" i="53"/>
  <c r="M17" i="53"/>
  <c r="L17" i="53"/>
  <c r="K17" i="53"/>
  <c r="F17" i="53"/>
  <c r="J16" i="53"/>
  <c r="G16" i="53"/>
  <c r="E16" i="53"/>
  <c r="J15" i="53"/>
  <c r="G15" i="53"/>
  <c r="E15" i="53"/>
  <c r="J14" i="53"/>
  <c r="J13" i="53"/>
  <c r="G13" i="53"/>
  <c r="M10" i="53"/>
  <c r="L10" i="53"/>
  <c r="K10" i="53"/>
  <c r="J10" i="53"/>
  <c r="F10" i="53"/>
  <c r="E10" i="53"/>
  <c r="M9" i="53"/>
  <c r="L9" i="53"/>
  <c r="K9" i="53"/>
  <c r="J9" i="53"/>
  <c r="F9" i="53"/>
  <c r="E9" i="53"/>
  <c r="M8" i="53"/>
  <c r="L8" i="53"/>
  <c r="K8" i="53"/>
  <c r="J8" i="53"/>
  <c r="F8" i="53"/>
  <c r="E8" i="53"/>
  <c r="M23" i="46"/>
  <c r="L23" i="46"/>
  <c r="F23" i="46"/>
  <c r="F23" i="56" s="1"/>
  <c r="E23" i="46"/>
  <c r="E23" i="56" s="1"/>
  <c r="K22" i="46"/>
  <c r="J22" i="46"/>
  <c r="K21" i="46"/>
  <c r="K21" i="56" s="1"/>
  <c r="J21" i="46"/>
  <c r="J21" i="56" s="1"/>
  <c r="J20" i="46"/>
  <c r="G20" i="46"/>
  <c r="J19" i="46"/>
  <c r="J19" i="56" s="1"/>
  <c r="M17" i="46"/>
  <c r="M17" i="56" s="1"/>
  <c r="K17" i="46"/>
  <c r="F17" i="46"/>
  <c r="F17" i="56" s="1"/>
  <c r="J16" i="46"/>
  <c r="J16" i="56" s="1"/>
  <c r="E16" i="46"/>
  <c r="E16" i="56" s="1"/>
  <c r="J15" i="46"/>
  <c r="J15" i="56" s="1"/>
  <c r="E15" i="46"/>
  <c r="E15" i="56" s="1"/>
  <c r="L14" i="46"/>
  <c r="J14" i="46"/>
  <c r="J14" i="56" s="1"/>
  <c r="J13" i="46"/>
  <c r="J13" i="56" s="1"/>
  <c r="G13" i="46"/>
  <c r="G13" i="56" s="1"/>
  <c r="M10" i="46"/>
  <c r="L10" i="46"/>
  <c r="K10" i="46"/>
  <c r="J10" i="46"/>
  <c r="F10" i="46"/>
  <c r="E10" i="46"/>
  <c r="M9" i="46"/>
  <c r="L9" i="46"/>
  <c r="K9" i="46"/>
  <c r="J9" i="46"/>
  <c r="F9" i="46"/>
  <c r="E9" i="46"/>
  <c r="M8" i="46"/>
  <c r="L8" i="46"/>
  <c r="K8" i="46"/>
  <c r="J8" i="46"/>
  <c r="F8" i="46"/>
  <c r="E8" i="46"/>
  <c r="K52" i="56"/>
  <c r="L17" i="46" l="1"/>
  <c r="L17" i="56" s="1"/>
  <c r="L14" i="56"/>
  <c r="G23" i="46"/>
  <c r="G20" i="56"/>
  <c r="J22" i="56"/>
  <c r="L23" i="56"/>
  <c r="G16" i="56"/>
  <c r="K17" i="56"/>
  <c r="J20" i="56"/>
  <c r="K22" i="56"/>
  <c r="M23" i="56"/>
  <c r="G15" i="56"/>
  <c r="J17" i="53"/>
  <c r="E17" i="46"/>
  <c r="G17" i="46"/>
  <c r="J11" i="46"/>
  <c r="E11" i="46"/>
  <c r="L11" i="46"/>
  <c r="J23" i="53"/>
  <c r="G23" i="53"/>
  <c r="J11" i="53"/>
  <c r="K11" i="46"/>
  <c r="F11" i="46"/>
  <c r="M11" i="46"/>
  <c r="J17" i="46"/>
  <c r="J17" i="56" s="1"/>
  <c r="E11" i="53"/>
  <c r="L11" i="53"/>
  <c r="K23" i="46"/>
  <c r="K23" i="56" s="1"/>
  <c r="F11" i="53"/>
  <c r="M11" i="53"/>
  <c r="K11" i="53"/>
  <c r="G17" i="53"/>
  <c r="E17" i="53"/>
  <c r="J23" i="46"/>
  <c r="G17" i="56" l="1"/>
  <c r="G23" i="56"/>
  <c r="J23" i="56"/>
  <c r="E17" i="56"/>
  <c r="H29" i="53"/>
  <c r="F148" i="65"/>
  <c r="E37" i="46" s="1"/>
  <c r="E41" i="46" s="1"/>
  <c r="F147" i="65"/>
  <c r="E37" i="53" s="1"/>
  <c r="F146" i="65"/>
  <c r="E37" i="90" s="1"/>
  <c r="I148" i="65"/>
  <c r="F37" i="46" s="1"/>
  <c r="E37" i="56" l="1"/>
  <c r="E41" i="90"/>
  <c r="F41" i="46"/>
  <c r="E41" i="53"/>
  <c r="H29" i="46"/>
  <c r="H29" i="56" s="1"/>
  <c r="J29" i="53"/>
  <c r="L29" i="53"/>
  <c r="E29" i="46"/>
  <c r="K29" i="46"/>
  <c r="G29" i="46"/>
  <c r="K29" i="53"/>
  <c r="L29" i="46"/>
  <c r="L29" i="56" s="1"/>
  <c r="M29" i="53"/>
  <c r="E29" i="53"/>
  <c r="J29" i="46"/>
  <c r="I29" i="53"/>
  <c r="I29" i="56" s="1"/>
  <c r="I147" i="65"/>
  <c r="F37" i="53" s="1"/>
  <c r="F37" i="56" s="1"/>
  <c r="I145" i="65"/>
  <c r="E41" i="56" l="1"/>
  <c r="K29" i="56"/>
  <c r="E29" i="56"/>
  <c r="J29" i="56"/>
  <c r="F41" i="53"/>
  <c r="F41" i="56" s="1"/>
  <c r="G29" i="53"/>
  <c r="G29" i="56" s="1"/>
  <c r="M29" i="46"/>
  <c r="M29" i="56" s="1"/>
  <c r="F29" i="53" l="1"/>
  <c r="F29" i="46" l="1"/>
  <c r="F29" i="56" s="1"/>
  <c r="G170" i="65"/>
  <c r="F170" i="65"/>
  <c r="F171" i="65"/>
  <c r="G171" i="65"/>
  <c r="F172" i="65"/>
  <c r="G172" i="65"/>
  <c r="F173" i="65"/>
  <c r="G173" i="65"/>
  <c r="F174" i="65"/>
  <c r="G174" i="65"/>
  <c r="F175" i="65"/>
  <c r="G175" i="65"/>
  <c r="F176" i="65"/>
  <c r="G176" i="65"/>
  <c r="F177" i="65"/>
  <c r="G177" i="65"/>
  <c r="N29" i="77"/>
  <c r="N30" i="77"/>
  <c r="N31" i="77"/>
  <c r="E133" i="46"/>
  <c r="E162" i="56" s="1"/>
  <c r="E128" i="46"/>
  <c r="E157" i="56" s="1"/>
  <c r="E130" i="46"/>
  <c r="E159" i="56" s="1"/>
  <c r="D130" i="53"/>
  <c r="E132" i="46"/>
  <c r="E161" i="56" s="1"/>
  <c r="D132" i="46"/>
  <c r="D129" i="46"/>
  <c r="D133" i="46"/>
  <c r="D131" i="53"/>
  <c r="D129" i="53"/>
  <c r="M37" i="46"/>
  <c r="L37" i="46"/>
  <c r="N29" i="78"/>
  <c r="D128" i="53"/>
  <c r="N28" i="78"/>
  <c r="D127" i="46"/>
  <c r="D134" i="53"/>
  <c r="E134" i="46"/>
  <c r="E163" i="56" s="1"/>
  <c r="J37" i="46"/>
  <c r="E129" i="46"/>
  <c r="E158" i="56" s="1"/>
  <c r="D134" i="46"/>
  <c r="D128" i="46"/>
  <c r="K37" i="46"/>
  <c r="K37" i="53"/>
  <c r="D131" i="46"/>
  <c r="J37" i="53"/>
  <c r="D132" i="53"/>
  <c r="D127" i="53"/>
  <c r="D133" i="53"/>
  <c r="L37" i="53"/>
  <c r="E127" i="46"/>
  <c r="E156" i="56" s="1"/>
  <c r="E131" i="46"/>
  <c r="E160" i="56" s="1"/>
  <c r="M37" i="53"/>
  <c r="D130" i="46"/>
  <c r="N28" i="77" l="1"/>
  <c r="L37" i="56"/>
  <c r="K37" i="56"/>
  <c r="D161" i="56"/>
  <c r="D158" i="56"/>
  <c r="D162" i="56"/>
  <c r="D159" i="56"/>
  <c r="J37" i="56"/>
  <c r="M37" i="56"/>
  <c r="D163" i="56"/>
  <c r="D160" i="56"/>
  <c r="D156" i="56"/>
  <c r="N26" i="78"/>
  <c r="D157" i="56"/>
  <c r="F128" i="53"/>
  <c r="N36" i="65"/>
  <c r="G37" i="53" s="1"/>
  <c r="N37" i="65"/>
  <c r="G37" i="46" s="1"/>
  <c r="F130" i="46"/>
  <c r="F132" i="53"/>
  <c r="F134" i="53"/>
  <c r="E135" i="53"/>
  <c r="I37" i="53" s="1"/>
  <c r="F133" i="46"/>
  <c r="F132" i="46"/>
  <c r="F131" i="46"/>
  <c r="D135" i="53"/>
  <c r="H37" i="53" s="1"/>
  <c r="N35" i="65"/>
  <c r="G37" i="90" s="1"/>
  <c r="E135" i="46"/>
  <c r="I37" i="46" s="1"/>
  <c r="F128" i="46"/>
  <c r="F127" i="46"/>
  <c r="F129" i="53"/>
  <c r="F130" i="53"/>
  <c r="F134" i="46"/>
  <c r="F133" i="53"/>
  <c r="F127" i="53"/>
  <c r="F131" i="53"/>
  <c r="D135" i="46"/>
  <c r="H37" i="46" s="1"/>
  <c r="F129" i="46"/>
  <c r="H37" i="56" l="1"/>
  <c r="N34" i="65"/>
  <c r="I37" i="56"/>
  <c r="F163" i="56"/>
  <c r="F156" i="56"/>
  <c r="F160" i="56"/>
  <c r="F159" i="56"/>
  <c r="F158" i="56"/>
  <c r="F162" i="56"/>
  <c r="F157" i="56"/>
  <c r="F161" i="56"/>
  <c r="E164" i="56"/>
  <c r="D164" i="56"/>
  <c r="N30" i="80"/>
  <c r="N32" i="80"/>
  <c r="N31" i="80"/>
  <c r="N36" i="81"/>
  <c r="N34" i="81"/>
  <c r="N35" i="81"/>
  <c r="N45" i="82"/>
  <c r="N46" i="82"/>
  <c r="N44" i="82"/>
  <c r="N29" i="83"/>
  <c r="N28" i="83"/>
  <c r="N30" i="83"/>
  <c r="G39" i="53" l="1"/>
  <c r="G39" i="46"/>
  <c r="G39" i="90"/>
  <c r="N29" i="80"/>
  <c r="G37" i="56"/>
  <c r="N33" i="81"/>
  <c r="N27" i="83"/>
  <c r="N43" i="82"/>
  <c r="L132" i="53"/>
  <c r="L129" i="53"/>
  <c r="L128" i="53"/>
  <c r="L129" i="46"/>
  <c r="K135" i="53"/>
  <c r="I39" i="53" s="1"/>
  <c r="L131" i="46"/>
  <c r="L130" i="46"/>
  <c r="L131" i="53"/>
  <c r="L133" i="53"/>
  <c r="L132" i="46"/>
  <c r="L134" i="46"/>
  <c r="J135" i="46"/>
  <c r="H39" i="46" s="1"/>
  <c r="L130" i="53"/>
  <c r="L127" i="46"/>
  <c r="L128" i="46"/>
  <c r="K135" i="46"/>
  <c r="I39" i="46" s="1"/>
  <c r="L127" i="53"/>
  <c r="J135" i="53"/>
  <c r="H39" i="53" s="1"/>
  <c r="L134" i="53"/>
  <c r="L133" i="46"/>
  <c r="N43" i="86"/>
  <c r="N44" i="86"/>
  <c r="G40" i="46" s="1"/>
  <c r="N42" i="86"/>
  <c r="N130" i="46"/>
  <c r="N129" i="46"/>
  <c r="N132" i="53"/>
  <c r="N45" i="87"/>
  <c r="N129" i="53"/>
  <c r="M130" i="46"/>
  <c r="N130" i="53"/>
  <c r="N133" i="46"/>
  <c r="N131" i="46"/>
  <c r="N128" i="46"/>
  <c r="N134" i="53"/>
  <c r="L40" i="46"/>
  <c r="M132" i="53"/>
  <c r="N128" i="53"/>
  <c r="N131" i="53"/>
  <c r="N134" i="46"/>
  <c r="N133" i="53"/>
  <c r="K40" i="53"/>
  <c r="J40" i="53"/>
  <c r="M128" i="46"/>
  <c r="N132" i="46"/>
  <c r="M128" i="53"/>
  <c r="M131" i="53"/>
  <c r="N44" i="87"/>
  <c r="K40" i="46"/>
  <c r="M134" i="46"/>
  <c r="M127" i="46"/>
  <c r="J40" i="46"/>
  <c r="M133" i="53"/>
  <c r="M129" i="53"/>
  <c r="M130" i="53"/>
  <c r="M127" i="53"/>
  <c r="L40" i="53"/>
  <c r="M133" i="46"/>
  <c r="N127" i="46"/>
  <c r="M40" i="53"/>
  <c r="M131" i="46"/>
  <c r="M134" i="53"/>
  <c r="M129" i="46"/>
  <c r="N127" i="53"/>
  <c r="M132" i="46"/>
  <c r="M40" i="46"/>
  <c r="G40" i="90" l="1"/>
  <c r="G40" i="53"/>
  <c r="J40" i="56"/>
  <c r="G39" i="56"/>
  <c r="N41" i="86"/>
  <c r="H39" i="56"/>
  <c r="I39" i="56"/>
  <c r="N159" i="56"/>
  <c r="N156" i="56"/>
  <c r="N160" i="56"/>
  <c r="M157" i="56"/>
  <c r="L40" i="56"/>
  <c r="M163" i="56"/>
  <c r="N157" i="56"/>
  <c r="M156" i="56"/>
  <c r="K40" i="56"/>
  <c r="M160" i="56"/>
  <c r="N43" i="87"/>
  <c r="N161" i="56"/>
  <c r="M158" i="56"/>
  <c r="N158" i="56"/>
  <c r="M162" i="56"/>
  <c r="N162" i="56"/>
  <c r="M161" i="56"/>
  <c r="N163" i="56"/>
  <c r="M159" i="56"/>
  <c r="M40" i="56"/>
  <c r="O130" i="46"/>
  <c r="O129" i="46"/>
  <c r="O128" i="46"/>
  <c r="O131" i="46"/>
  <c r="O129" i="53"/>
  <c r="N135" i="53"/>
  <c r="I40" i="53" s="1"/>
  <c r="O132" i="46"/>
  <c r="O128" i="53"/>
  <c r="O134" i="46"/>
  <c r="O133" i="46"/>
  <c r="O130" i="53"/>
  <c r="O131" i="53"/>
  <c r="O132" i="53"/>
  <c r="O134" i="53"/>
  <c r="N135" i="46"/>
  <c r="I40" i="46" s="1"/>
  <c r="J164" i="56"/>
  <c r="K164" i="56"/>
  <c r="M135" i="53"/>
  <c r="H40" i="53" s="1"/>
  <c r="O127" i="46"/>
  <c r="M135" i="46"/>
  <c r="H40" i="46" s="1"/>
  <c r="O127" i="53"/>
  <c r="O133" i="53"/>
  <c r="G40" i="56" l="1"/>
  <c r="H40" i="56"/>
  <c r="I40" i="56"/>
  <c r="M164" i="56"/>
  <c r="N164" i="56"/>
  <c r="H134" i="46"/>
  <c r="G134" i="53"/>
  <c r="L38" i="46"/>
  <c r="G131" i="53"/>
  <c r="P131" i="53" s="1"/>
  <c r="K38" i="53"/>
  <c r="K41" i="53" s="1"/>
  <c r="H130" i="53"/>
  <c r="Q130" i="53" s="1"/>
  <c r="G133" i="53"/>
  <c r="H128" i="46"/>
  <c r="H132" i="46"/>
  <c r="J38" i="46"/>
  <c r="H133" i="46"/>
  <c r="G128" i="53"/>
  <c r="P128" i="53" s="1"/>
  <c r="H132" i="53"/>
  <c r="Q132" i="53" s="1"/>
  <c r="H130" i="46"/>
  <c r="G127" i="46"/>
  <c r="H134" i="53"/>
  <c r="Q134" i="53" s="1"/>
  <c r="G131" i="46"/>
  <c r="G132" i="53"/>
  <c r="M38" i="53"/>
  <c r="M41" i="53" s="1"/>
  <c r="G132" i="46"/>
  <c r="H129" i="53"/>
  <c r="Q129" i="53" s="1"/>
  <c r="G130" i="53"/>
  <c r="H131" i="53"/>
  <c r="Q131" i="53" s="1"/>
  <c r="G129" i="53"/>
  <c r="P129" i="53" s="1"/>
  <c r="N31" i="79"/>
  <c r="G38" i="90" s="1"/>
  <c r="K38" i="46"/>
  <c r="M38" i="46"/>
  <c r="M38" i="56" s="1"/>
  <c r="G127" i="53"/>
  <c r="G128" i="46"/>
  <c r="N32" i="79"/>
  <c r="H127" i="53"/>
  <c r="Q127" i="53" s="1"/>
  <c r="L38" i="53"/>
  <c r="L41" i="53" s="1"/>
  <c r="H133" i="53"/>
  <c r="Q133" i="53" s="1"/>
  <c r="G134" i="46"/>
  <c r="N33" i="79"/>
  <c r="G38" i="46" s="1"/>
  <c r="H128" i="53"/>
  <c r="Q128" i="53" s="1"/>
  <c r="G129" i="46"/>
  <c r="G133" i="46"/>
  <c r="J38" i="53"/>
  <c r="J41" i="53" s="1"/>
  <c r="H131" i="46"/>
  <c r="G130" i="46"/>
  <c r="H127" i="46"/>
  <c r="H129" i="46"/>
  <c r="G38" i="53" l="1"/>
  <c r="G41" i="53" s="1"/>
  <c r="K38" i="56"/>
  <c r="N30" i="79"/>
  <c r="G41" i="90"/>
  <c r="G162" i="56"/>
  <c r="P162" i="56" s="1"/>
  <c r="G158" i="56"/>
  <c r="P158" i="56" s="1"/>
  <c r="H158" i="56"/>
  <c r="Q158" i="56" s="1"/>
  <c r="P134" i="46"/>
  <c r="G163" i="56"/>
  <c r="P163" i="56" s="1"/>
  <c r="Q130" i="46"/>
  <c r="H159" i="56"/>
  <c r="Q159" i="56" s="1"/>
  <c r="P130" i="46"/>
  <c r="G159" i="56"/>
  <c r="P159" i="56" s="1"/>
  <c r="P128" i="46"/>
  <c r="G157" i="56"/>
  <c r="P157" i="56" s="1"/>
  <c r="P131" i="46"/>
  <c r="G160" i="56"/>
  <c r="P160" i="56" s="1"/>
  <c r="Q132" i="46"/>
  <c r="H161" i="56"/>
  <c r="Q161" i="56" s="1"/>
  <c r="Q134" i="46"/>
  <c r="H163" i="56"/>
  <c r="Q163" i="56" s="1"/>
  <c r="Q131" i="46"/>
  <c r="H160" i="56"/>
  <c r="Q160" i="56" s="1"/>
  <c r="G161" i="56"/>
  <c r="P161" i="56" s="1"/>
  <c r="Q128" i="46"/>
  <c r="H157" i="56"/>
  <c r="Q157" i="56" s="1"/>
  <c r="Q127" i="46"/>
  <c r="H156" i="56"/>
  <c r="G41" i="46"/>
  <c r="P127" i="46"/>
  <c r="G156" i="56"/>
  <c r="Q133" i="46"/>
  <c r="H162" i="56"/>
  <c r="Q162" i="56" s="1"/>
  <c r="J41" i="46"/>
  <c r="J41" i="56" s="1"/>
  <c r="J38" i="56"/>
  <c r="L38" i="56"/>
  <c r="I130" i="53"/>
  <c r="I133" i="46"/>
  <c r="I127" i="53"/>
  <c r="G135" i="53"/>
  <c r="H38" i="53" s="1"/>
  <c r="H41" i="53" s="1"/>
  <c r="R129" i="53"/>
  <c r="I131" i="46"/>
  <c r="I128" i="53"/>
  <c r="I134" i="53"/>
  <c r="H135" i="46"/>
  <c r="I38" i="46" s="1"/>
  <c r="I131" i="53"/>
  <c r="I129" i="53"/>
  <c r="I132" i="53"/>
  <c r="I133" i="53"/>
  <c r="R131" i="53"/>
  <c r="R128" i="53"/>
  <c r="Q135" i="53"/>
  <c r="H135" i="53"/>
  <c r="I38" i="53" s="1"/>
  <c r="I41" i="53" s="1"/>
  <c r="P132" i="53"/>
  <c r="R132" i="53" s="1"/>
  <c r="P127" i="53"/>
  <c r="I128" i="46"/>
  <c r="P129" i="46"/>
  <c r="I127" i="46"/>
  <c r="L41" i="46"/>
  <c r="L41" i="56" s="1"/>
  <c r="Q129" i="46"/>
  <c r="P132" i="46"/>
  <c r="P133" i="53"/>
  <c r="R133" i="53" s="1"/>
  <c r="I129" i="46"/>
  <c r="K41" i="46"/>
  <c r="K41" i="56" s="1"/>
  <c r="G135" i="46"/>
  <c r="H38" i="46" s="1"/>
  <c r="M41" i="46"/>
  <c r="M41" i="56" s="1"/>
  <c r="I132" i="46"/>
  <c r="I130" i="46"/>
  <c r="P130" i="53"/>
  <c r="R130" i="53" s="1"/>
  <c r="P133" i="46"/>
  <c r="I134" i="46"/>
  <c r="P134" i="53"/>
  <c r="R134" i="53" s="1"/>
  <c r="G41" i="56" l="1"/>
  <c r="G38" i="56"/>
  <c r="R127" i="46"/>
  <c r="R134" i="46"/>
  <c r="R133" i="46"/>
  <c r="R131" i="46"/>
  <c r="R128" i="46"/>
  <c r="R130" i="46"/>
  <c r="R132" i="46"/>
  <c r="Q135" i="46"/>
  <c r="H41" i="46"/>
  <c r="H41" i="56" s="1"/>
  <c r="H38" i="56"/>
  <c r="I41" i="46"/>
  <c r="I41" i="56" s="1"/>
  <c r="I38" i="56"/>
  <c r="R159" i="56"/>
  <c r="R158" i="56"/>
  <c r="R160" i="56"/>
  <c r="R162" i="56"/>
  <c r="R161" i="56"/>
  <c r="R163" i="56"/>
  <c r="P135" i="46"/>
  <c r="R157" i="56"/>
  <c r="G164" i="56"/>
  <c r="P156" i="56"/>
  <c r="R129" i="46"/>
  <c r="Q156" i="56"/>
  <c r="Q164" i="56" s="1"/>
  <c r="H164" i="56"/>
  <c r="P135" i="53"/>
  <c r="R135" i="53" s="1"/>
  <c r="R127" i="53"/>
  <c r="R135" i="46" l="1"/>
  <c r="P164" i="56"/>
  <c r="R164" i="56" s="1"/>
  <c r="R156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i86971</author>
    <author>CASIER Alizee</author>
    <author>VIDAL Jordan</author>
    <author>GARON Olivia</author>
  </authors>
  <commentList>
    <comment ref="G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orage dans dans le béarn</t>
        </r>
      </text>
    </comment>
    <comment ref="G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tempête bruno</t>
        </r>
      </text>
    </comment>
    <comment ref="K2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Majoritairement retours négatifs Linky et manifs</t>
        </r>
      </text>
    </comment>
    <comment ref="E31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Crises climatiques GabriL 64-40</t>
        </r>
      </text>
    </comment>
    <comment ref="G31" authorId="3" shapeId="0" xr:uid="{00000000-0006-0000-0000-000005000000}">
      <text>
        <r>
          <rPr>
            <b/>
            <sz val="9"/>
            <color indexed="81"/>
            <rFont val="Tahoma"/>
            <family val="2"/>
          </rPr>
          <t>GARON Olivia:</t>
        </r>
        <r>
          <rPr>
            <sz val="9"/>
            <color indexed="81"/>
            <rFont val="Tahoma"/>
            <family val="2"/>
          </rPr>
          <t xml:space="preserve">
Gabriel+moins de Linky</t>
        </r>
      </text>
    </comment>
    <comment ref="I31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Peu de retombées négatives Linky</t>
        </r>
      </text>
    </comment>
    <comment ref="E32" authorId="3" shapeId="0" xr:uid="{00000000-0006-0000-0000-000007000000}">
      <text>
        <r>
          <rPr>
            <b/>
            <sz val="9"/>
            <color indexed="81"/>
            <rFont val="Tahoma"/>
            <family val="2"/>
          </rPr>
          <t>GARON Olivia:</t>
        </r>
        <r>
          <rPr>
            <sz val="9"/>
            <color indexed="81"/>
            <rFont val="Tahoma"/>
            <family val="2"/>
          </rPr>
          <t xml:space="preserve">
ORAGES=MIGUEL</t>
        </r>
      </text>
    </comment>
    <comment ref="E37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Crises climatiques GabriL 64-40</t>
        </r>
      </text>
    </comment>
    <comment ref="G37" authorId="3" shapeId="0" xr:uid="{00000000-0006-0000-0000-000009000000}">
      <text>
        <r>
          <rPr>
            <b/>
            <sz val="9"/>
            <color indexed="81"/>
            <rFont val="Tahoma"/>
            <family val="2"/>
          </rPr>
          <t>GARON Olivia:</t>
        </r>
        <r>
          <rPr>
            <sz val="9"/>
            <color indexed="81"/>
            <rFont val="Tahoma"/>
            <family val="2"/>
          </rPr>
          <t xml:space="preserve">
Gabriel+moins de Linky</t>
        </r>
      </text>
    </comment>
    <comment ref="I37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Peu de retombées négatives Linky</t>
        </r>
      </text>
    </comment>
    <comment ref="E38" authorId="3" shapeId="0" xr:uid="{00000000-0006-0000-0000-00000B000000}">
      <text>
        <r>
          <rPr>
            <b/>
            <sz val="9"/>
            <color indexed="81"/>
            <rFont val="Tahoma"/>
            <family val="2"/>
          </rPr>
          <t>GARON Olivia:</t>
        </r>
        <r>
          <rPr>
            <sz val="9"/>
            <color indexed="81"/>
            <rFont val="Tahoma"/>
            <family val="2"/>
          </rPr>
          <t xml:space="preserve">
ORAGES=MIGUEL</t>
        </r>
      </text>
    </comment>
    <comment ref="M54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+0,90% par rapport à l'année dernière</t>
        </r>
      </text>
    </comment>
    <comment ref="L55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+125 followers en 3 mois</t>
        </r>
      </text>
    </comment>
    <comment ref="M55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+1,30% par rapport à l'année dernière</t>
        </r>
      </text>
    </comment>
    <comment ref="L56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MARGAILLOU Laura:</t>
        </r>
        <r>
          <rPr>
            <sz val="9"/>
            <color indexed="81"/>
            <rFont val="Tahoma"/>
            <family val="2"/>
          </rPr>
          <t xml:space="preserve">
+186 followers en 3 mois</t>
        </r>
      </text>
    </comment>
    <comment ref="L57" authorId="2" shapeId="0" xr:uid="{00000000-0006-0000-0000-000010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+200 followers en 3 mois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i86971</author>
    <author>VIDAL Jordan</author>
  </authors>
  <commentList>
    <comment ref="G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tempete bruno</t>
        </r>
      </text>
    </comment>
    <comment ref="G3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Tempête Gabriel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i86971</author>
    <author>VIDAL Jordan</author>
  </authors>
  <commentList>
    <comment ref="G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dont presque la moitié sur des partenariats</t>
        </r>
      </text>
    </comment>
    <comment ref="G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mai 2016 =6 articles anti linky</t>
        </r>
      </text>
    </comment>
    <comment ref="G2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TEMPËTE BRUNO
</t>
        </r>
      </text>
    </comment>
    <comment ref="G37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Moitié de partenariat : 25articles
13 articles SDIS 65
8 articles don ADMR
4 articles étudiants de Tarbes
Réseau : 
9 articles sur modernisation Uz</t>
        </r>
      </text>
    </comment>
    <comment ref="I37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Peu de retombées négatives Linky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i86971</author>
    <author>VIDAL Jordan</author>
  </authors>
  <commentList>
    <comment ref="G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Fortes retombées suite aux orages dans le Béarn</t>
        </r>
      </text>
    </comment>
    <comment ref="G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22 parutions anti linky</t>
        </r>
      </text>
    </comment>
    <comment ref="G1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2016=RICHE EN EVENEMENTS CLIMATIQUES = POSTE SOURCE Oloron
</t>
        </r>
      </text>
    </comment>
    <comment ref="G2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i86971:</t>
        </r>
        <r>
          <rPr>
            <sz val="9"/>
            <color indexed="81"/>
            <rFont val="Tahoma"/>
            <family val="2"/>
          </rPr>
          <t xml:space="preserve">
tempête bruno</t>
        </r>
      </text>
    </comment>
    <comment ref="G3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Tempête Gabriel + Linky 
</t>
        </r>
      </text>
    </comment>
    <comment ref="I3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Olivia</t>
        </r>
        <r>
          <rPr>
            <sz val="9"/>
            <color indexed="81"/>
            <rFont val="Tahoma"/>
            <family val="2"/>
          </rPr>
          <t xml:space="preserve">
Mairie de Bayonne / Linky</t>
        </r>
      </text>
    </comment>
    <comment ref="G37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VIDAL Jordan:</t>
        </r>
        <r>
          <rPr>
            <sz val="9"/>
            <color indexed="81"/>
            <rFont val="Tahoma"/>
            <family val="2"/>
          </rPr>
          <t xml:space="preserve">
Tempête Gabriel + Linky 
</t>
        </r>
      </text>
    </comment>
    <comment ref="I38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Olivia</t>
        </r>
        <r>
          <rPr>
            <sz val="9"/>
            <color indexed="81"/>
            <rFont val="Tahoma"/>
            <family val="2"/>
          </rPr>
          <t xml:space="preserve">
Mairie de Bayonne / Linky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CASIER Alizee</author>
  </authors>
  <commentList>
    <comment ref="G10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Enedis juste citée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CASIER Alizee</author>
  </authors>
  <commentList>
    <comment ref="E3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Enedis juste citée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CASIER Alizee</author>
  </authors>
  <commentList>
    <comment ref="G2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40</t>
        </r>
      </text>
    </comment>
    <comment ref="H2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Sore.fr
</t>
        </r>
      </text>
    </comment>
    <comment ref="H38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Energie Plus
</t>
        </r>
      </text>
    </comment>
    <comment ref="H42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FlashInfos
</t>
        </r>
      </text>
    </comment>
    <comment ref="H44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Le Journal des Entreprises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CASIER Alizee</author>
  </authors>
  <commentList>
    <comment ref="H29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Site de la communce d'Aurice
</t>
        </r>
      </text>
    </comment>
    <comment ref="H30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CASIER Alizee:</t>
        </r>
        <r>
          <rPr>
            <sz val="9"/>
            <color indexed="81"/>
            <rFont val="Tahoma"/>
            <family val="2"/>
          </rPr>
          <t xml:space="preserve">
Site de la commune de Meilhan
</t>
        </r>
      </text>
    </comment>
  </commentList>
</comments>
</file>

<file path=xl/sharedStrings.xml><?xml version="1.0" encoding="utf-8"?>
<sst xmlns="http://schemas.openxmlformats.org/spreadsheetml/2006/main" count="6550" uniqueCount="1128">
  <si>
    <t>BILAN  - DR PYRENEES ET LANDES</t>
  </si>
  <si>
    <t>Année</t>
  </si>
  <si>
    <t>Trimestre</t>
  </si>
  <si>
    <t>CP/DP/prise de parole</t>
  </si>
  <si>
    <t>Retombées CP</t>
  </si>
  <si>
    <t>Total retombées</t>
  </si>
  <si>
    <t>+</t>
  </si>
  <si>
    <t>-</t>
  </si>
  <si>
    <t>PQR</t>
  </si>
  <si>
    <t>Web</t>
  </si>
  <si>
    <t>Radio</t>
  </si>
  <si>
    <t>TV</t>
  </si>
  <si>
    <t>Cumul année 2012</t>
  </si>
  <si>
    <t>Cumul année 2013</t>
  </si>
  <si>
    <t>Cumul année 2014</t>
  </si>
  <si>
    <t>Cumul année 2015</t>
  </si>
  <si>
    <t>1T</t>
  </si>
  <si>
    <t>2T</t>
  </si>
  <si>
    <t>3T</t>
  </si>
  <si>
    <t>4T</t>
  </si>
  <si>
    <t>Cumul année 2016</t>
  </si>
  <si>
    <t xml:space="preserve">les tempetes : </t>
  </si>
  <si>
    <t>Cumul année 2017</t>
  </si>
  <si>
    <t xml:space="preserve">karine, myriam et Norberto du 2 au 8 mars </t>
  </si>
  <si>
    <t>Orages et rafales de vent : 30 juillet au 1er aout</t>
  </si>
  <si>
    <t>coup de vent : 24 sept au 26 sept</t>
  </si>
  <si>
    <t>alex : du 3 octobre au 4 octobre</t>
  </si>
  <si>
    <t>barbara : du 20 octobre au 22 octobre</t>
  </si>
  <si>
    <t>bela du 28 au 29 dec</t>
  </si>
  <si>
    <t>Cumul année 2018</t>
  </si>
  <si>
    <t>explication + CP : 1 Campagne sécurité piloté par nous 2 com + poussée lors de crise+de mails + de tweets) + suivi internet</t>
  </si>
  <si>
    <t>Cumul année 2019</t>
  </si>
  <si>
    <t>Cumul année 2020</t>
  </si>
  <si>
    <t>TONALITE DES RETOMBEES PRESSES 2020</t>
  </si>
  <si>
    <t>TWITTER 2020</t>
  </si>
  <si>
    <t>TWEETS</t>
  </si>
  <si>
    <t>ABONNES</t>
  </si>
  <si>
    <t>ENGAGEMENT</t>
  </si>
  <si>
    <t>T1</t>
  </si>
  <si>
    <t>ANNEE 2018</t>
  </si>
  <si>
    <t>T2</t>
  </si>
  <si>
    <t>T3</t>
  </si>
  <si>
    <t>T4</t>
  </si>
  <si>
    <t>THEMES ET TONALITES DES RETOMBEES PRESSES 2020</t>
  </si>
  <si>
    <t>THEMES ET TONALITES DES RETOMBEES PRESSES PAR TRIMESTRES 2020</t>
  </si>
  <si>
    <r>
      <t xml:space="preserve">TONALITE PAR TRIMESTRE </t>
    </r>
    <r>
      <rPr>
        <b/>
        <sz val="12"/>
        <color theme="1"/>
        <rFont val="Calibri"/>
        <family val="2"/>
        <scheme val="minor"/>
      </rPr>
      <t>DIRECTION REGIONALE</t>
    </r>
  </si>
  <si>
    <t>ANNUEL</t>
  </si>
  <si>
    <t>Partenariat</t>
  </si>
  <si>
    <t>Sécurité</t>
  </si>
  <si>
    <t>Transition énergétique</t>
  </si>
  <si>
    <t>RH</t>
  </si>
  <si>
    <t>Crise</t>
  </si>
  <si>
    <t>Réseau</t>
  </si>
  <si>
    <t>Linky/Smartgrids</t>
  </si>
  <si>
    <t>Environnement</t>
  </si>
  <si>
    <t>BILAN - PYRENEES ATLANTIQUES (64)</t>
  </si>
  <si>
    <t>CP/DP</t>
  </si>
  <si>
    <t>Mettre 2019 dans les cases</t>
  </si>
  <si>
    <t>Thèmes et tonalités au cours de l'année 2020</t>
  </si>
  <si>
    <t>Tonalité par trimestres</t>
  </si>
  <si>
    <r>
      <t xml:space="preserve">TONALITE PAR TRIMESTRE </t>
    </r>
    <r>
      <rPr>
        <b/>
        <sz val="12"/>
        <color theme="1"/>
        <rFont val="Calibri"/>
        <family val="2"/>
        <scheme val="minor"/>
      </rPr>
      <t>PYRENEES-ATLANTIQUES</t>
    </r>
  </si>
  <si>
    <t>BILAN - HAUTES-PYRENEES (65)</t>
  </si>
  <si>
    <r>
      <t xml:space="preserve">TONALITE PAR TRIMESTRE </t>
    </r>
    <r>
      <rPr>
        <b/>
        <sz val="12"/>
        <color theme="1"/>
        <rFont val="Calibri"/>
        <family val="2"/>
        <scheme val="minor"/>
      </rPr>
      <t>HAUTES-PYRENEES</t>
    </r>
  </si>
  <si>
    <t>JANVIER 2020</t>
  </si>
  <si>
    <t>RETOMBEES</t>
  </si>
  <si>
    <t>COMMUNIQUE DE PRESSE</t>
  </si>
  <si>
    <t>DATE</t>
  </si>
  <si>
    <t>REF CP</t>
  </si>
  <si>
    <t>TITRE ARTICLE</t>
  </si>
  <si>
    <t>TYPE</t>
  </si>
  <si>
    <t>DEP.</t>
  </si>
  <si>
    <t>JOURNAUX</t>
  </si>
  <si>
    <t>THEMES</t>
  </si>
  <si>
    <t xml:space="preserve">  TONALITE</t>
  </si>
  <si>
    <t>LIEN</t>
  </si>
  <si>
    <t>PARUTION</t>
  </si>
  <si>
    <t>CODE CP</t>
  </si>
  <si>
    <t>TITRE</t>
  </si>
  <si>
    <t>Chute de scooter. Hier matin, vers 7 heures, une dame de 40 ans qui circulait</t>
  </si>
  <si>
    <t>La Dépêche</t>
  </si>
  <si>
    <t>Positif</t>
  </si>
  <si>
    <t>PDF</t>
  </si>
  <si>
    <t>Valorisation salariés Garazi</t>
  </si>
  <si>
    <t>Mail</t>
  </si>
  <si>
    <t>Avis de concertation préalable au public</t>
  </si>
  <si>
    <t>Sud Ouest Landes</t>
  </si>
  <si>
    <t xml:space="preserve">Lescar : Incident électrique au Poste de Transformation </t>
  </si>
  <si>
    <t>Deux listes en piste pour succéder à Jacques Cassiau-Haurie</t>
  </si>
  <si>
    <t xml:space="preserve">Sud Ouest Pays Basque </t>
  </si>
  <si>
    <t>Enedis : Bilan Tempêtes PA /Béarn</t>
  </si>
  <si>
    <t xml:space="preserve">Ils refusent le compteur communicant Linky </t>
  </si>
  <si>
    <t>La Nouvelle République des Pyrénées</t>
  </si>
  <si>
    <t>Négatif</t>
  </si>
  <si>
    <t>Don de véhicule électrique à l’association Insertion Emploi Béarn Adour</t>
  </si>
  <si>
    <t>CP</t>
  </si>
  <si>
    <t>Enedis fait don d’un véhicule à l’association du Secours Populaire du Soulom</t>
  </si>
  <si>
    <t>Lien</t>
  </si>
  <si>
    <t>A Maubourguet-Sombrun et Villefranque : Enedis fiabilise et modernise le réseau électrique</t>
  </si>
  <si>
    <t>Un concours pour imaginer son entreprise virtuelle</t>
  </si>
  <si>
    <t>Avis de concertation chantier PS DAX</t>
  </si>
  <si>
    <t>Insertion metier</t>
  </si>
  <si>
    <t>Reunion Linky en mairie</t>
  </si>
  <si>
    <t>Intervention</t>
  </si>
  <si>
    <t>linky</t>
  </si>
  <si>
    <t>IP</t>
  </si>
  <si>
    <t>La Dépeche</t>
  </si>
  <si>
    <t>Partenariat P.Berardo</t>
  </si>
  <si>
    <t>DT</t>
  </si>
  <si>
    <t>Lescar - Panne d'électricité dans la zone Induspal et Quartier Libre</t>
  </si>
  <si>
    <t>L'éclair</t>
  </si>
  <si>
    <t>Agression poseur Dax Linky</t>
  </si>
  <si>
    <t>Juridique</t>
  </si>
  <si>
    <t>Enedis mobilisée sur le front des tempetes : Garazi</t>
  </si>
  <si>
    <t>Partenariat penitentiare basket landes</t>
  </si>
  <si>
    <t>partenariat</t>
  </si>
  <si>
    <t>Lons-Lescar : courant rétabli après une panne dans la zone Induspal et Quartier Libre</t>
  </si>
  <si>
    <t>La République des pyrénées</t>
  </si>
  <si>
    <t>Lescar (64) : courant rétabli après une panne près de Quartier Libre</t>
  </si>
  <si>
    <t>Sud Ouest</t>
  </si>
  <si>
    <t>C’est en millions d’euros ce qu’Enedis investit chaque année sur le réseau électrique</t>
  </si>
  <si>
    <t>Le temps n'a pas suspendu son vol</t>
  </si>
  <si>
    <t>Anticiper les effets du changement climatique</t>
  </si>
  <si>
    <t>A esquissé un sourire en voyant l’une des indications du collectif haut-béarnais</t>
  </si>
  <si>
    <t>Sud Ouest Béarn</t>
  </si>
  <si>
    <t>Dax : un anti Linky devant le tribunal pour des violences sur un poseur</t>
  </si>
  <si>
    <t>Dax : Enedis envoie un anti-Linky devant le tribunal pour violences</t>
  </si>
  <si>
    <t xml:space="preserve">RETOMBEES </t>
  </si>
  <si>
    <t>La commune diversifie les moyens de paiement</t>
  </si>
  <si>
    <t xml:space="preserve">TOTAL </t>
  </si>
  <si>
    <t xml:space="preserve"> LANDES </t>
  </si>
  <si>
    <t>Challenge Pénitentiaire ENEDIS – 6ème édition – EFCB</t>
  </si>
  <si>
    <t>Landesbasketball.org</t>
  </si>
  <si>
    <t>HP</t>
  </si>
  <si>
    <t>St-Lon-les-Mines : une candidature et des vœux (linky évoqué dans l'article)</t>
  </si>
  <si>
    <t>PA</t>
  </si>
  <si>
    <t xml:space="preserve">Le coding goûter a 3 ans : robot Sidene </t>
  </si>
  <si>
    <t>ZONE  A NE PAS TOUCHER</t>
  </si>
  <si>
    <t>Calculs vérifiés le 07/10/2019</t>
  </si>
  <si>
    <t>CALCUL AUTOMATIQUE</t>
  </si>
  <si>
    <r>
      <t xml:space="preserve">TONALITES DES </t>
    </r>
    <r>
      <rPr>
        <b/>
        <sz val="11"/>
        <color theme="1"/>
        <rFont val="Calibri"/>
        <family val="2"/>
        <scheme val="minor"/>
      </rPr>
      <t>MEDIAS</t>
    </r>
  </si>
  <si>
    <t>POSITIFS</t>
  </si>
  <si>
    <t>NEGATIFS</t>
  </si>
  <si>
    <t>SUPPORTS</t>
  </si>
  <si>
    <t>LANDES</t>
  </si>
  <si>
    <t xml:space="preserve">TOTAL : </t>
  </si>
  <si>
    <t xml:space="preserve">PQR : </t>
  </si>
  <si>
    <t>WEB  :</t>
  </si>
  <si>
    <t>RADIO  :</t>
  </si>
  <si>
    <t>TV  :</t>
  </si>
  <si>
    <r>
      <t xml:space="preserve"> </t>
    </r>
    <r>
      <rPr>
        <b/>
        <sz val="11"/>
        <color theme="1"/>
        <rFont val="Calibri"/>
        <family val="2"/>
        <scheme val="minor"/>
      </rPr>
      <t>NOMBRE CP</t>
    </r>
  </si>
  <si>
    <r>
      <t xml:space="preserve"> </t>
    </r>
    <r>
      <rPr>
        <b/>
        <sz val="11"/>
        <color theme="1"/>
        <rFont val="Calibri"/>
        <family val="2"/>
        <scheme val="minor"/>
      </rPr>
      <t>RETOMBEES LIEES AUX CP</t>
    </r>
  </si>
  <si>
    <r>
      <t xml:space="preserve"> </t>
    </r>
    <r>
      <rPr>
        <b/>
        <sz val="11"/>
        <color theme="6" tint="-0.499984740745262"/>
        <rFont val="Calibri"/>
        <family val="2"/>
        <scheme val="minor"/>
      </rPr>
      <t>TOTALES</t>
    </r>
  </si>
  <si>
    <r>
      <rPr>
        <b/>
        <sz val="11"/>
        <color theme="6" tint="-0.499984740745262"/>
        <rFont val="Calibri"/>
        <family val="2"/>
        <scheme val="minor"/>
      </rPr>
      <t xml:space="preserve"> LANDES</t>
    </r>
    <r>
      <rPr>
        <sz val="11"/>
        <color theme="6" tint="-0.499984740745262"/>
        <rFont val="Calibri"/>
        <family val="2"/>
        <scheme val="minor"/>
      </rPr>
      <t xml:space="preserve"> </t>
    </r>
  </si>
  <si>
    <r>
      <t>CP</t>
    </r>
    <r>
      <rPr>
        <b/>
        <sz val="11"/>
        <color theme="6" tint="-0.499984740745262"/>
        <rFont val="Calibri"/>
        <family val="2"/>
        <scheme val="minor"/>
      </rPr>
      <t xml:space="preserve"> LANDES</t>
    </r>
  </si>
  <si>
    <r>
      <t xml:space="preserve"> </t>
    </r>
    <r>
      <rPr>
        <b/>
        <sz val="11"/>
        <color theme="6" tint="-0.499984740745262"/>
        <rFont val="Calibri"/>
        <family val="2"/>
        <scheme val="minor"/>
      </rPr>
      <t>HP</t>
    </r>
    <r>
      <rPr>
        <sz val="11"/>
        <color theme="6" tint="-0.499984740745262"/>
        <rFont val="Calibri"/>
        <family val="2"/>
        <scheme val="minor"/>
      </rPr>
      <t xml:space="preserve"> </t>
    </r>
  </si>
  <si>
    <r>
      <t xml:space="preserve">CP </t>
    </r>
    <r>
      <rPr>
        <b/>
        <sz val="11"/>
        <color theme="6" tint="-0.499984740745262"/>
        <rFont val="Calibri"/>
        <family val="2"/>
        <scheme val="minor"/>
      </rPr>
      <t>HP</t>
    </r>
    <r>
      <rPr>
        <sz val="11"/>
        <color theme="6" tint="-0.499984740745262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</si>
  <si>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theme="6" tint="-0.499984740745262"/>
        <rFont val="Calibri"/>
        <family val="2"/>
        <scheme val="minor"/>
      </rPr>
      <t>PA</t>
    </r>
    <r>
      <rPr>
        <sz val="11"/>
        <color theme="6" tint="-0.499984740745262"/>
        <rFont val="Calibri"/>
        <family val="2"/>
        <scheme val="minor"/>
      </rPr>
      <t xml:space="preserve">  :</t>
    </r>
  </si>
  <si>
    <r>
      <t xml:space="preserve"> CP </t>
    </r>
    <r>
      <rPr>
        <b/>
        <sz val="11"/>
        <color theme="6" tint="-0.499984740745262"/>
        <rFont val="Calibri"/>
        <family val="2"/>
        <scheme val="minor"/>
      </rPr>
      <t>PA</t>
    </r>
    <r>
      <rPr>
        <sz val="11"/>
        <color theme="6" tint="-0.499984740745262"/>
        <rFont val="Calibri"/>
        <family val="2"/>
        <scheme val="minor"/>
      </rPr>
      <t xml:space="preserve"> </t>
    </r>
  </si>
  <si>
    <t>LES THEMES LES PLUS RECURRENTS</t>
  </si>
  <si>
    <t>TOTAL</t>
  </si>
  <si>
    <t>TONALITE DES ARTICLES PAR THEMATIQUES</t>
  </si>
  <si>
    <t>ARTICLES</t>
  </si>
  <si>
    <t>HAUTES-PYRENEES</t>
  </si>
  <si>
    <t>PYRENEES-ATL</t>
  </si>
  <si>
    <t>FEVRIER 2020</t>
  </si>
  <si>
    <t>CODE  CP</t>
  </si>
  <si>
    <t>Maubourguet – Sombrun – Villefranque : Enedis fiabilise et modernise le réseau électrique</t>
  </si>
  <si>
    <t>La semaine des pyrénées</t>
  </si>
  <si>
    <t>Coupure sur le 65</t>
  </si>
  <si>
    <t>Sur les communes de Maubourguet-Sombrun et Villefranque : Enedis fiabilise et modernise le réseau élec</t>
  </si>
  <si>
    <t>Tarbes info</t>
  </si>
  <si>
    <t>Enedis et GRETA forment les futurs installateurs de la fibre optique aux risques éléctriques</t>
  </si>
  <si>
    <t>Bigorre – 231 clients privés d’électricité plusieurs heures le lundi 3 février</t>
  </si>
  <si>
    <t>Enedis, la commune de Saint André de Seignanx et la Fédé des chasseurs des Landes engagés dans la protection des cigognes</t>
  </si>
  <si>
    <t>Ibos : coupure le 26/02</t>
  </si>
  <si>
    <t>Société | Le coup de pouce d'Enedis à la mission locale Béarn Adour</t>
  </si>
  <si>
    <t>Aqui.fr</t>
  </si>
  <si>
    <t>Saddig, stagiaire à l’Agence d’Intervention Bigorre</t>
  </si>
  <si>
    <t>Solidarité</t>
  </si>
  <si>
    <t>A la tête de 60 hectares en agriculture biologique -céréales, pois protéagineux,</t>
  </si>
  <si>
    <t>Linky questions</t>
  </si>
  <si>
    <t>tel</t>
  </si>
  <si>
    <t>Linky</t>
  </si>
  <si>
    <t>Coupure d’électricité vendredi matin</t>
  </si>
  <si>
    <t>Sud Ouest Pays Basque</t>
  </si>
  <si>
    <t>coupure courant</t>
  </si>
  <si>
    <t>crise</t>
  </si>
  <si>
    <t>Enedis fait don d’un véhicule au Secours Populaire</t>
  </si>
  <si>
    <t>partenariat basket penitentiaire</t>
  </si>
  <si>
    <t>part</t>
  </si>
  <si>
    <t>partenariart</t>
  </si>
  <si>
    <t>Soulom. Enedis fait don d’un véhicule au Secours Populaire</t>
  </si>
  <si>
    <t>Enedis fait don d’un véhicule au Secours populaire</t>
  </si>
  <si>
    <t>La nouvelle république des Pyrénées</t>
  </si>
  <si>
    <t xml:space="preserve">Oraas Navarrenx - Coupure de courant </t>
  </si>
  <si>
    <t>Enedis fiabilise et modernise le réseau électrique</t>
  </si>
  <si>
    <t>Le Petit Journal</t>
  </si>
  <si>
    <t>Enedis offre un Kangoo électrique à la mission locale Béarn Adour</t>
  </si>
  <si>
    <t>Avem.fr</t>
  </si>
  <si>
    <t>Maubourguet, le réseau électrique modernisé par Enedis</t>
  </si>
  <si>
    <t>Des coupures d'électricité toute la journée de lundi</t>
  </si>
  <si>
    <t>On peut refuser le compteur Linky</t>
  </si>
  <si>
    <t>Le projet d'achat groupé se précise</t>
  </si>
  <si>
    <t>Le Sillon</t>
  </si>
  <si>
    <t>Une voiture offerte à la mission locale pour l'emploi</t>
  </si>
  <si>
    <t>Morlaas, une voiture offerte à la mission locale</t>
  </si>
  <si>
    <t xml:space="preserve">La république des Pyrénées </t>
  </si>
  <si>
    <t>Coupure de courant Léon</t>
  </si>
  <si>
    <t>Léon.fr</t>
  </si>
  <si>
    <t>Coupure d'électricité Sore</t>
  </si>
  <si>
    <t>Sore.fr</t>
  </si>
  <si>
    <t>Coupures electriques Escource</t>
  </si>
  <si>
    <t>Escource.fr</t>
  </si>
  <si>
    <t>Coupures de courant pour travaux Tosse</t>
  </si>
  <si>
    <t>Tosse.fr</t>
  </si>
  <si>
    <t>Création d'un poste électrique et son raccordement électrique sur la commune de DAX</t>
  </si>
  <si>
    <t>Landes.gouv.fr</t>
  </si>
  <si>
    <t>Un coup de pouce à la mobilité territoriale</t>
  </si>
  <si>
    <t>Tarbes – Un élu de la CGT convoqué à la gendarmerie le 14 février</t>
  </si>
  <si>
    <t>VIDEO. Tarbes – Convoqué à la gendarmerie : l’élu CGT est serein</t>
  </si>
  <si>
    <t>Tarbes. Un élu CGT convoqué à la gendarmerie</t>
  </si>
  <si>
    <t>Le compteur représente-t-il un risque pour ma santé ? L’installation des compteurs Linky inquiète</t>
  </si>
  <si>
    <t>Challenge pénitentiaire Enedis – 6ème édition – Magescq Basket</t>
  </si>
  <si>
    <t>Mairie Magescq</t>
  </si>
  <si>
    <t>Pour répondre aux besoins de sa clientèle, Enedis a prévu de réaliser des travaux sur le réseau de distribution</t>
  </si>
  <si>
    <t>Mairie Ibos</t>
  </si>
  <si>
    <t>Action collective contre le compteur Linky</t>
  </si>
  <si>
    <t>Pour répondre aux besoins de sa clientèle, Enedis a prévu de réaliser sur le réseau de distribution</t>
  </si>
  <si>
    <t>La dêpeche</t>
  </si>
  <si>
    <t>Bagnères – Les travaux de l’entrée Est se terminent</t>
  </si>
  <si>
    <t xml:space="preserve">Les travaux de l'entrée Est se terminent </t>
  </si>
  <si>
    <t>Une convention de servitude avec Enedis pour passage de câbles</t>
  </si>
  <si>
    <t>Nouvel écrin pour l’entrée Est des thermes</t>
  </si>
  <si>
    <t>Bagnères-de-Bigorre. Nouvel écrin pour l’entrée Est des thermes</t>
  </si>
  <si>
    <t>Alvinet.com</t>
  </si>
  <si>
    <t>Tarbes – « Saddig, stagiaire à l’Agence d’Intervention Bigorre » ou la promesse d’un avenir meilleur</t>
  </si>
  <si>
    <r>
      <t xml:space="preserve"> </t>
    </r>
    <r>
      <rPr>
        <b/>
        <sz val="11"/>
        <color theme="1"/>
        <rFont val="Calibri"/>
        <family val="2"/>
        <scheme val="minor"/>
      </rPr>
      <t>RETOMBEES LIES AUX CP</t>
    </r>
  </si>
  <si>
    <t>LES THEMES LES PLUS RECURENTS</t>
  </si>
  <si>
    <t>MARS 2020</t>
  </si>
  <si>
    <t>Tempête Karine : des vents jusqu’à 143 km/h dans le Sud-Ouest</t>
  </si>
  <si>
    <t>Le Parisien.fr</t>
  </si>
  <si>
    <t xml:space="preserve"> Point situation tempête Karine à 9h</t>
  </si>
  <si>
    <t>Enedis : Point situation tempête Karine 2 mars à 20h</t>
  </si>
  <si>
    <t>Tarbes infos</t>
  </si>
  <si>
    <t xml:space="preserve">Mail </t>
  </si>
  <si>
    <t>Tempête Karine : le point à 17h (Communiqué ENEDIS)</t>
  </si>
  <si>
    <t>Importants dégâts dans les Hautes-Pyrénées après le passage de la tempête Karine</t>
  </si>
  <si>
    <t>France 3 régions</t>
  </si>
  <si>
    <t>Point situation tempête Myriam à 12h30</t>
  </si>
  <si>
    <t>Béarn : encore 4500 foyers privés d’électricité après le passage de la tempête Karine</t>
  </si>
  <si>
    <t>Rafale de vent de 131 km/h à Clarac (31), 11 000 foyers sans électricité dans les Hautes-Pyrénées</t>
  </si>
  <si>
    <t>Passage FR Bleu Béarn - F Tillous aborde la situation depuis hier et la préparation face à la tempête Myriam</t>
  </si>
  <si>
    <t xml:space="preserve">Crise </t>
  </si>
  <si>
    <t>La Dêpeche</t>
  </si>
  <si>
    <t>Édition de proximité - Euskal Herri Pays Basque</t>
  </si>
  <si>
    <t>Édition de proximité – Pau Sud Aquitaine</t>
  </si>
  <si>
    <t>FR3 Bayonne : Interview JF Harignordoguy +TF1 D.Mirande Rey</t>
  </si>
  <si>
    <t>Le 20 heures du 2 mars 2020 : 60 000 foyers privés d'élec dans le SO</t>
  </si>
  <si>
    <t>TF1</t>
  </si>
  <si>
    <t>Enedis 4 mars : Point état réseau à 20h suite tempête Myriam</t>
  </si>
  <si>
    <t>Pays Basque : gros coup de vent ce lundi matin</t>
  </si>
  <si>
    <t>France Bleu Pays Basque</t>
  </si>
  <si>
    <t>Encore 200 maisons sans élec en PB, des agents Enedis vont venir en renfort faire face à la tempete Myriam</t>
  </si>
  <si>
    <t>Une tornade balaie Orleix</t>
  </si>
  <si>
    <t>3 000 foyers privés d'électricité au Pays Basque</t>
  </si>
  <si>
    <t>Médiabask</t>
  </si>
  <si>
    <r>
      <t xml:space="preserve"> </t>
    </r>
    <r>
      <rPr>
        <b/>
        <sz val="11"/>
        <color theme="1"/>
        <rFont val="Calibri"/>
        <family val="2"/>
        <scheme val="minor"/>
      </rPr>
      <t>RETOMBEES</t>
    </r>
  </si>
  <si>
    <t>Coup de vent ce lundi matin en Béarn : encore 4500 foyers sans électricité en Béarn à 17h</t>
  </si>
  <si>
    <t>La république des pyrénées</t>
  </si>
  <si>
    <t xml:space="preserve">Une mini tornade frappe le Sud Gironde </t>
  </si>
  <si>
    <t>Vent violent : environ 2500 foyers toujours privés d'électricité en Béarn et Bigorre ce mardi</t>
  </si>
  <si>
    <t xml:space="preserve">France Bleu Béarn </t>
  </si>
  <si>
    <t>Une action pour protéger les cigognes</t>
  </si>
  <si>
    <t>Gérard Le Bail veut renouveler sa liste Florian Durou Chargé de Projets Enedis</t>
  </si>
  <si>
    <t>Arbre sur réseau à Saubusse : bulletin d'info 17h</t>
  </si>
  <si>
    <t>France Bleu Gascogne</t>
  </si>
  <si>
    <t>Enedis : Point réseau 5 mars à 10h</t>
  </si>
  <si>
    <t>Enedis : Point réseau 3 mars à 12h30</t>
  </si>
  <si>
    <t xml:space="preserve">France bleu gascogne : passage matin 6 mars </t>
  </si>
  <si>
    <t>Tempête Myriam : des vents à 127 km/h à Pau, 9 000 foyers privés d’électricité en Béarn</t>
  </si>
  <si>
    <t xml:space="preserve">La Direction Régionale Pyrénées &amp; Landes d’Enedis est organisée pour assurer et garantir la continuité de service public de distribution d’électricité dans son territoire </t>
  </si>
  <si>
    <t>Après la tempête "Myriam", 2 blessés et jusqu'à 30.000 foyers sans électricité</t>
  </si>
  <si>
    <t>Actu orange.fr</t>
  </si>
  <si>
    <t>Bigorre – Tempête Myriam : Un arbre tombe sur un camping car et fait deux blessés</t>
  </si>
  <si>
    <t>Des rafales à 127 km/h à Tarbes, 2 blessés et 4000 foyers sans électricité</t>
  </si>
  <si>
    <t>Tempête Myriam : 4.000 foyers sans électricité dans les Landes</t>
  </si>
  <si>
    <t>France bleu Landes</t>
  </si>
  <si>
    <t>Tempête "Myriam" : deux blessés, jusqu'à 60 000 foyers privés d'électricité</t>
  </si>
  <si>
    <t>L'express.fr</t>
  </si>
  <si>
    <t>Tempête «Myriam»: 60.000 foyers privés d'électricité dans le sud-ouest</t>
  </si>
  <si>
    <t>20minutes.fr</t>
  </si>
  <si>
    <t>Tempête Myriam : 20 500 foyers encore sans électricité dans le Sud-Ouest</t>
  </si>
  <si>
    <t>France tv info.fr</t>
  </si>
  <si>
    <t>Tempête Myriam : 60 000 foyers sans électricité, des dégâts dans les Landes et les Pyrénées-Atlantiques</t>
  </si>
  <si>
    <t>Tempête Myriam : des rafales à 127 km/h mesurées à Pau, 27 000 foyers sans électricité en Béarn et Bigorre</t>
  </si>
  <si>
    <t>France Bleu</t>
  </si>
  <si>
    <t>Tempête Myriam : 2 blessés et 30 000 foyers privés d’électricité</t>
  </si>
  <si>
    <t>Le parisien.fr</t>
  </si>
  <si>
    <t>Tempête Myriam dans les Landes : jusqu'à 12 000 foyers sans électricité</t>
  </si>
  <si>
    <t xml:space="preserve">Sud Ouest Landes </t>
  </si>
  <si>
    <t>Tempête « Myriam »: 2 blessés, jusqu’à 60.000 foyers privés d’électricité</t>
  </si>
  <si>
    <t>Mediapart.fr</t>
  </si>
  <si>
    <t>Tempête Myriam : 12 000 foyers sans électricité dans les Landes</t>
  </si>
  <si>
    <t>France Bleu Landes</t>
  </si>
  <si>
    <t>Tempête "Myriam": 2 blessés, jusqu'à 60.000 foyers privés d'électricité</t>
  </si>
  <si>
    <t>AFP</t>
  </si>
  <si>
    <t xml:space="preserve">La vidéo impressionnante d'un arbre tombant sur une salle de sport </t>
  </si>
  <si>
    <t xml:space="preserve">Karine a frappé fort </t>
  </si>
  <si>
    <t xml:space="preserve">Karine, première tempête de l'année 2020 </t>
  </si>
  <si>
    <t>Le Béarn balayé, le pays basque épargné</t>
  </si>
  <si>
    <t>Mon fils a appelé la météo et on lui a dit que des vents à plus de 300 km/h avaient été relevés</t>
  </si>
  <si>
    <t xml:space="preserve">La Dépêche </t>
  </si>
  <si>
    <t>Une ligne électrique coupée par un arbre Les précipitations ont perturbé la circulation</t>
  </si>
  <si>
    <t xml:space="preserve">Jusqu’à 11 000 foyers dans le noir </t>
  </si>
  <si>
    <t>Le vent a soufflé fort, hier, causant uniquement des dégâts selon Enedis</t>
  </si>
  <si>
    <t>Sud Ouest Landes Région</t>
  </si>
  <si>
    <t>Tempête Myriam 500 foyers sans électricité dans les Landes</t>
  </si>
  <si>
    <t>En fin de journée, selon Enedis, 35 000 foyers privés d'électricité</t>
  </si>
  <si>
    <t>News Yahoo.fr</t>
  </si>
  <si>
    <t>Tempête Myriam : 60 000 foyers privés d'électricité dans le SO</t>
  </si>
  <si>
    <t>RTL</t>
  </si>
  <si>
    <t xml:space="preserve">Plus de jus mais pas de dégâts </t>
  </si>
  <si>
    <t>Municipales 2020 : Hervé Darrigade présente sa liste</t>
  </si>
  <si>
    <t>Un nouveau nid pour les cigognes</t>
  </si>
  <si>
    <t>Tempête Myriam : le dispositif d’Enedis pour réalimenter les Landes</t>
  </si>
  <si>
    <t>Plusieurs dizaines de milliers de foyers restent privés d'électricité à la suite du passage de la tempête Myriam</t>
  </si>
  <si>
    <t>France Inter</t>
  </si>
  <si>
    <t xml:space="preserve">Des milliers de foyers privés d'électricité </t>
  </si>
  <si>
    <t>Des dégats et un miraculé</t>
  </si>
  <si>
    <t>2e tempête en deux jours : des vents encore plus forts que lundi ! Un drame évité de justesse à Pau</t>
  </si>
  <si>
    <t xml:space="preserve">La république des pyrénées </t>
  </si>
  <si>
    <t>France Bleu Béarn</t>
  </si>
  <si>
    <t>La promesse d'un avenir meilleur</t>
  </si>
  <si>
    <t>Un poids lourd en portefeuille sur l'autoroute, encore 1400 foyers basques dans le noir</t>
  </si>
  <si>
    <t>Le nombre de foyers encore privés d’électricité hier soir, à 20 heures</t>
  </si>
  <si>
    <t>Tempêtes Karine et Myriam : deux blessés et des dégâts</t>
  </si>
  <si>
    <t>Tempête Retour à la normale avant la prochaine alerte en fin de journée. Alors que 3 000 foyers étaient</t>
  </si>
  <si>
    <t>Bigorre – Le département placé en vigilance jaune par Météo France jeudi 5 mars</t>
  </si>
  <si>
    <t xml:space="preserve">Encore des dégats chez les sinitrés </t>
  </si>
  <si>
    <t>Près de 500 foyers toujours privés d'électricité hier soir</t>
  </si>
  <si>
    <t>Bigorre – 400 clients toujours privés d’électricité</t>
  </si>
  <si>
    <t>Le chiffre du jour : …. 500 dans les landes, les équipes d'enedis tjs mobilisées</t>
  </si>
  <si>
    <t>Tous les foyers ont de nouveau de l'électricité</t>
  </si>
  <si>
    <t>Tous les foyers ont de nouveau l’électricité Plusieurs routes toujours fermées</t>
  </si>
  <si>
    <t>Enedis signale quelques coupures de courant</t>
  </si>
  <si>
    <t>Le SDEPA se prépare aux futures tempêtes</t>
  </si>
  <si>
    <t>Bel exemple de solidarité chez Enedis</t>
  </si>
  <si>
    <t>La liste de Marcel Borny</t>
  </si>
  <si>
    <t>Électricité : un candélabre vétuste sera remplacé rue des Jardins</t>
  </si>
  <si>
    <t>Carton rouge pour Orange !</t>
  </si>
  <si>
    <t>Enedis démontre qu'il y a loin entre ses engagements et la réalité</t>
  </si>
  <si>
    <t>La semaine du Pays Basque</t>
  </si>
  <si>
    <t>La ligne alimentant le quartier Lus Beth Soums réparée</t>
  </si>
  <si>
    <t>La république des Pyrénées</t>
  </si>
  <si>
    <t>Coronavirus : la reprise des chantiers en Béarn est « inenvisageable » en l'état selon la fédération BTP 64</t>
  </si>
  <si>
    <t>A Lée, une dizaine de maisons sans Internet depuis la dernière tempête</t>
  </si>
  <si>
    <t>positif</t>
  </si>
  <si>
    <t>Enedis mobilisée sur le territoire pour assurer les #ServicesEssentiels (Communiqué)</t>
  </si>
  <si>
    <t>Enedis reste mobilisée pendant la crise sanitaire</t>
  </si>
  <si>
    <t>Tempête Myriam : 60 000 foyers toujours privés d'électricité</t>
  </si>
  <si>
    <t>France 2</t>
  </si>
  <si>
    <t>AVRIL 2020</t>
  </si>
  <si>
    <t>Enedis sur le front de la crise sanitaire</t>
  </si>
  <si>
    <t xml:space="preserve">Lien </t>
  </si>
  <si>
    <t>Les équipes d'Enedis : toujours sur le terrain pour assurer la continuité du service public</t>
  </si>
  <si>
    <t>rh</t>
  </si>
  <si>
    <t>Bretagne-de-Marsan : électricité prudence Enedis communique ses conseils de prudence</t>
  </si>
  <si>
    <t>Bretagnedemarsan.fr</t>
  </si>
  <si>
    <t>Enedis toujours mobilisée sur le territoire</t>
  </si>
  <si>
    <t>300 agents mobilisés sur les trois départements</t>
  </si>
  <si>
    <t>Pyrenées-infos</t>
  </si>
  <si>
    <t xml:space="preserve">Enedis reste mobilisée pour assurer les activités essentielles tout en étant solidaire des métiers les plus exposés au COVID19 </t>
  </si>
  <si>
    <t>EDF : Des mesures pour atténuer les difficultés face à l'épidémie / engagement enedis presta</t>
  </si>
  <si>
    <t>Compteurs Linky : la pose interrompue mais l’information continue</t>
  </si>
  <si>
    <t>Enedis reste mobilisée</t>
  </si>
  <si>
    <t>Au côté des bénévoles, les salariés d'Enedis continuent de se mobiliser pour fabriquer des visières</t>
  </si>
  <si>
    <t>PARTENARIAT</t>
  </si>
  <si>
    <t>Flash de 18h - 18h10 :  5000 foyers sans électricité à Bayonne</t>
  </si>
  <si>
    <t>France bleu Pays Basque</t>
  </si>
  <si>
    <t xml:space="preserve">Flash de 18h - 18h10 : Bayonne : 5 000 foyers privés de courant depuis 16h30 environ </t>
  </si>
  <si>
    <t>France bleu Béarn</t>
  </si>
  <si>
    <t xml:space="preserve">Flash de 7h - 7h08 : [Brève] 5000 foyers ont été privés d'électricité hier après midi à Bayonne </t>
  </si>
  <si>
    <t>Comment Enedis soutient ses prestataires</t>
  </si>
  <si>
    <t>Enedis produit des visières de protection pour les professionnels de santé</t>
  </si>
  <si>
    <t>Enedis reste mobilisée pour assurer les activités essentielles (Communiqué)</t>
  </si>
  <si>
    <t>Enedis en service essentiel : intervention prioritaire à Castets pour la mise en service d’une maison de santé</t>
  </si>
  <si>
    <t xml:space="preserve">Les Landes face aux coronavirus </t>
  </si>
  <si>
    <t>Electricité Prudence : mail à la Chambre d'Agriculture des Landes + copie à la revue "le sillon" et "les informations agricoles".</t>
  </si>
  <si>
    <t>Solidarité : les salariés d’Enedis font des visières en 3D</t>
  </si>
  <si>
    <t>Recrutement</t>
  </si>
  <si>
    <t>Enedis est au front en Pays basque, Landes et Béarn</t>
  </si>
  <si>
    <t>Enedis est au front en PB, Landes et Béarn</t>
  </si>
  <si>
    <t>Sud-Ouest Landes</t>
  </si>
  <si>
    <t>Pays morcenais : électricité point COVID-19 infos pratiques</t>
  </si>
  <si>
    <t>Paysmorcenais.fr</t>
  </si>
  <si>
    <t>Un chevreuil abattu à Pau, les policiers conspués alors qu’ils n’ont pas tiré</t>
  </si>
  <si>
    <t>La République des Pyrénées</t>
  </si>
  <si>
    <t xml:space="preserve">PDF </t>
  </si>
  <si>
    <t>Bigorre – Covid-19 : Comment Enedis soutient ses prestataires</t>
  </si>
  <si>
    <t>Bigorre – Covid-19 : Comment Enedis soutient ses prestataires</t>
  </si>
  <si>
    <t>Enedis se complaît à envoyer des messages qui peuvent faire rire jaune</t>
  </si>
  <si>
    <t>La semaine du pays basque</t>
  </si>
  <si>
    <t>Hagetmau : les Landes touchées par des crues</t>
  </si>
  <si>
    <t>Landes : une trentaine d'interventions en cours liées aux crues</t>
  </si>
  <si>
    <t>St-André-de-Seignanx : électricité prudence Enedis communique ses conseils de prudence</t>
  </si>
  <si>
    <t>Commune Saint André de Seignanx</t>
  </si>
  <si>
    <t>Ville de Sanguinet : électricité prudence Enedis communique ses conseils de prudence</t>
  </si>
  <si>
    <t>Sanguinet.fr</t>
  </si>
  <si>
    <t>Société | Béarn : Des employés d'Enedis mobilisés pour l'impression 3D de visières de protection</t>
  </si>
  <si>
    <t>Les dégâts liés aux crues concentrés sur Hagetmau</t>
  </si>
  <si>
    <t>Une démarche collective pour accompagner le déconfinement des habitants</t>
  </si>
  <si>
    <t>Flexibilité : Enedis présente des dossiers d'AO sur cinq zones</t>
  </si>
  <si>
    <t>Enerpresse.fr</t>
  </si>
  <si>
    <t>Enedis recherche titre de Monteur Reseaux - Technicien Intervention Polyvalent H/</t>
  </si>
  <si>
    <t>Sud Ouest job</t>
  </si>
  <si>
    <t>Des visières de sécurité fabriquées par le personnel d'Enedis</t>
  </si>
  <si>
    <t>Sud Ouest LANDES</t>
  </si>
  <si>
    <t>sud ouest</t>
  </si>
  <si>
    <t>pqr</t>
  </si>
  <si>
    <t>web</t>
  </si>
  <si>
    <t>Coronavirus : Envoir reconditionne 200 tablettes et ordinateurs pour les personnes isolées durant le confinement</t>
  </si>
  <si>
    <t>autre DR</t>
  </si>
  <si>
    <t>le brief</t>
  </si>
  <si>
    <t>MAI 2020</t>
  </si>
  <si>
    <t>Coupure de courant pour travaux</t>
  </si>
  <si>
    <t>À La Raillère, valorisation tous azimuts</t>
  </si>
  <si>
    <t>La Nouvelle republique</t>
  </si>
  <si>
    <t>lien</t>
  </si>
  <si>
    <t>Mediatisation  Interview F Tillous et C Palisse : Anglet : reprise des travaux sur le chantier du programme immobilier Bovero</t>
  </si>
  <si>
    <t>la depeche</t>
  </si>
  <si>
    <t>Vallée d’Aure : Enedis fait disparaitre 2 km de lignes électriques du paysage</t>
  </si>
  <si>
    <t>Campagne électricité prudence : site web de la commune de St-Vincent-de-Paul</t>
  </si>
  <si>
    <t>Saintvincentdepaul.fr</t>
  </si>
  <si>
    <t>Yzosse : comment passer la bague à la patte des bébés cigognes</t>
  </si>
  <si>
    <t>CAMPAGNE SECURITE</t>
  </si>
  <si>
    <t>Pontonx-sur-l'Adour : une famille relogée après l'incendie de son appartement</t>
  </si>
  <si>
    <t>Une famille relogée après l’incendie de son appartement</t>
  </si>
  <si>
    <t>Béarn : l'entreprise Axione n'oublie pas sa fibre paloise</t>
  </si>
  <si>
    <t>Axione : elle n’oublie pas sa fibre paloiseBientôt, un site tout neuf à Pau</t>
  </si>
  <si>
    <t>Pays basque : Claude Olive est favorable à un 2e tour des élections municipales en juin</t>
  </si>
  <si>
    <t>Anglet : reprise des travaux sur le chantier du programme immobilier Bovero</t>
  </si>
  <si>
    <t>C'est reparti pour les travaux publics</t>
  </si>
  <si>
    <t>Pau : les toilettes publiques seront bientôt de nouveau opérationnelles</t>
  </si>
  <si>
    <t>Priorité aux chantiers</t>
  </si>
  <si>
    <t xml:space="preserve">Pau : Les toilettes publiques rouvrent leurs portes à Pau / Pau Infos </t>
  </si>
  <si>
    <t>Pyrénées infos</t>
  </si>
  <si>
    <t>Benoit Mariné réélu maire</t>
  </si>
  <si>
    <t>Saint-Laurent-Bretagne : Benoit Mariné réélu maire</t>
  </si>
  <si>
    <t>Pyrénées 2 vallées.com</t>
  </si>
  <si>
    <t>Vallée d’Aure : Enedis fait disparaître 2 km de lignes électriques du paysage (Communiqué)</t>
  </si>
  <si>
    <t>L'éclair des pyrénées</t>
  </si>
  <si>
    <t>Que choisir perd son proces contre le militant girondin Stephane Lhomme</t>
  </si>
  <si>
    <t>SudOuest</t>
  </si>
  <si>
    <t>metier</t>
  </si>
  <si>
    <t>Travaux d'élagage</t>
  </si>
  <si>
    <t xml:space="preserve">Courrier </t>
  </si>
  <si>
    <t>JUIN 2020</t>
  </si>
  <si>
    <t>Tarbes – Compteurs Linky : 243 plaignants contre Enedis le 2 juin</t>
  </si>
  <si>
    <t>Chantier Coursic au Petit Bayonne, Enedis envoie les Watts pour soutenir la relance économique</t>
  </si>
  <si>
    <t>Enédis face à 243 plaignants</t>
  </si>
  <si>
    <t>Enedis recrute des alternants pour la rentrée 2020</t>
  </si>
  <si>
    <t>L'accident d'une jeune parapentiste à Irouléguy dimanche a provoqué un incendie et une coupure de courant</t>
  </si>
  <si>
    <t>Le compteur Linky, un indic dans la maison</t>
  </si>
  <si>
    <t xml:space="preserve">Dax : quelques 1200 clients privés de courant cet après-midi </t>
  </si>
  <si>
    <t>Vallée de Luz : Enedis travaille en équipe pour faire disparaitre 2,4 km de lignes électriques</t>
  </si>
  <si>
    <t>Enedis nous informe que le déploiement du compteur communicant Linky débute en juin sur la commune Benesse-Maremne</t>
  </si>
  <si>
    <t>Benesse-maremne.fr</t>
  </si>
  <si>
    <t>Info Media  : Enedis en Pyrénées &amp; Landes recrute 27 alternants pour la rentrée 2020-2021</t>
  </si>
  <si>
    <t>Béarn/Bigorre : l’action collective des 243 anti-Linky examinée par le tribunal</t>
  </si>
  <si>
    <t>L'éclair des Pyrénées</t>
  </si>
  <si>
    <t>Info Media  : Enedis en Pyrénées &amp; Landes recrute 27 alternants pour la rentrée 2020-2022</t>
  </si>
  <si>
    <t>Info Media  : Enedis en Pyrénées &amp; Landes recrute 27 alternants pour la rentrée 2020-2023</t>
  </si>
  <si>
    <t>Les anti-Linky au tribunal</t>
  </si>
  <si>
    <t xml:space="preserve"> Sollicitations presse suite coupures 29 juin</t>
  </si>
  <si>
    <t>Linky. Hier àTarbes, à l’initiative de plus de 200 plaignants, l’affaire a été appréhendée sur le fond</t>
  </si>
  <si>
    <t>243 plaignants anti linky tribunal Tarbes</t>
  </si>
  <si>
    <t>Tribunal</t>
  </si>
  <si>
    <t>Bigorre – Enedis recrute des alternants pour la rentrée 2020</t>
  </si>
  <si>
    <t>com aupres des mairies pour deploiement Linky + elagage presse</t>
  </si>
  <si>
    <t>Enedis nous informe que le déploiement du compteur communicant Linky débute en juin sur la commune Haut-Mauco</t>
  </si>
  <si>
    <t>Haut-mauco.fr</t>
  </si>
  <si>
    <t>coupure Landes ( +eurs dans le mois)</t>
  </si>
  <si>
    <t>Info DT</t>
  </si>
  <si>
    <t>Environnement : des cigognes dans les landes</t>
  </si>
  <si>
    <t>France 3 Aquitaine</t>
  </si>
  <si>
    <t>Le bagage des cigognes</t>
  </si>
  <si>
    <t>Virgin Radio</t>
  </si>
  <si>
    <t>Radio France Grand Lacs</t>
  </si>
  <si>
    <t>Travaux d’élagage</t>
  </si>
  <si>
    <t>Courrier français : l'hebdo des Landes</t>
  </si>
  <si>
    <t>Enedis fait disparaitre 2 km de lignes électriques</t>
  </si>
  <si>
    <t>Landes : les deux bébés d'une famille de cigognes installée à Yzosse ont été bagués</t>
  </si>
  <si>
    <t>France 3 régions (Landes)</t>
  </si>
  <si>
    <t>Landes : les chasseurs et Enedis sauvent un couple de cigognes, et permettent à 2 cigogneaux de voir le jour</t>
  </si>
  <si>
    <t>Le chasseur français</t>
  </si>
  <si>
    <t>Bagués au saut du nid</t>
  </si>
  <si>
    <t>Les baguages sont fait pour deux cigogneaux en partance pour l'Afrique</t>
  </si>
  <si>
    <t>Landes : des cigogneaux bagués au saut du nid</t>
  </si>
  <si>
    <t>Landes : des cigogneaux bagués au saut du nid</t>
  </si>
  <si>
    <t>Flipboard.com</t>
  </si>
  <si>
    <t xml:space="preserve">Près de 3 000 foyers privés de courant à Parentis-en-Born (Landes) cet après-midi </t>
  </si>
  <si>
    <t>Coupure d’électricité à Ychoux et Parentis (40) : jusqu’à 3 000 clients touchés</t>
  </si>
  <si>
    <t>Enedis investit</t>
  </si>
  <si>
    <t xml:space="preserve">[brève] 3000 foyers privés d'électricité à Ychoux et Parentis (Landes) </t>
  </si>
  <si>
    <t>Les 3000 clients privés d'électricité dans le secteur de Parentis seront bientôt dépannés.</t>
  </si>
  <si>
    <t xml:space="preserve">TVPI </t>
  </si>
  <si>
    <t>A Ychoux et Parentis, une coupure d’électricité : environ 3 000 clients touchés</t>
  </si>
  <si>
    <t>Landesinfo.net</t>
  </si>
  <si>
    <t>Le courant retabli à Parentis</t>
  </si>
  <si>
    <t>Tarnos (40) : un automobiliste termine sa course dans un poste électrique</t>
  </si>
  <si>
    <t>Tarnos : une voiture percute un transformateur électrique, jusqu'à 1.500 foyers sans lumière</t>
  </si>
  <si>
    <t xml:space="preserve">Un transformateur électrique détruit à Tarnos </t>
  </si>
  <si>
    <t xml:space="preserve">1500 foyers privés d'électricité à Tarnos (Landes) </t>
  </si>
  <si>
    <t>Un automobiliste percute un poste électrique</t>
  </si>
  <si>
    <t>Sylvain Vidal, nouveau délégué régional d'EDF en Occitanie</t>
  </si>
  <si>
    <t>Journal des entreprises</t>
  </si>
  <si>
    <t>Des jeunes conseillers impliqués</t>
  </si>
  <si>
    <t>Energie : Sylvain Vidal, nouveau délégué régional d'EDF en Occitanie</t>
  </si>
  <si>
    <t>Flash-infos.com</t>
  </si>
  <si>
    <t>Sport et santé : un concept innovant</t>
  </si>
  <si>
    <t>Bordères-sur-l'Échez. Sport et santé : un concept innovant</t>
  </si>
  <si>
    <t>Les fêtes de la Saint-Jean annulées</t>
  </si>
  <si>
    <t>Enedis en Pyrénées &amp; Landes recrute 27 alternants pour la rentrée 2020-2021</t>
  </si>
  <si>
    <t>Landes et Pyrénées-Atlantiques : 27 alternants recherchés chez Enedis</t>
  </si>
  <si>
    <t>27 alternants recherchés chez Enedis</t>
  </si>
  <si>
    <t>Ensemble 19 syndicats</t>
  </si>
  <si>
    <t>Enedis crée 27 postes d'alternants</t>
  </si>
  <si>
    <t>Maslacq.fr</t>
  </si>
  <si>
    <t>27 offres d'emploi en alternance pourvus par Enedis Pyrénées-Atlantiques - Interview de François Tillous</t>
  </si>
  <si>
    <t>EMPLOI Enedis recrute 27 alternants</t>
  </si>
  <si>
    <t>Enedis face à 243 plaignants, la suite</t>
  </si>
  <si>
    <t>La 5G est-elle en train de devenir le nouveau Linky ? La question mérite d’être posée car le déploiement (Linky cité)</t>
  </si>
  <si>
    <t>Coupure d’électricité</t>
  </si>
  <si>
    <t>La foudre s’abat sur une maison à Asté</t>
  </si>
  <si>
    <t>Des travaux d’eaux usées</t>
  </si>
  <si>
    <t>La foudre s'abat sur une maison à Asté</t>
  </si>
  <si>
    <t>Enedis recrute 27 apprentis</t>
  </si>
  <si>
    <t>La rénovation du fronton est lancée : Linky</t>
  </si>
  <si>
    <t>Trampoline disparu, foudre, potager abîmé : les internautes de La Dépêche témoignent sur les intempéries</t>
  </si>
  <si>
    <t>Foudre, grêle et pluies : la tempête a laissé des traces</t>
  </si>
  <si>
    <t>Agglo de Pau : 25 000 personnes touchées par des coupures d'électricité ce lundi</t>
  </si>
  <si>
    <t>Agglo de Pau : plus de 25000 clients touchés par des coupures d'électricité</t>
  </si>
  <si>
    <t>Des travaux d’Enedis sur le réseau entraîneront des coupures d’électricité jeudi 23 juillet</t>
  </si>
  <si>
    <t>SAINT-FAUST Chantier de haut vol chemin de la Chapelle de Rousse</t>
  </si>
  <si>
    <t>Pannes de courant dans l'agglo : plus de 25000 clients touchés</t>
  </si>
  <si>
    <t>40000 visières fabriquées</t>
  </si>
  <si>
    <t>40 000 visières fabriquées : l'incroyable réussite des « makers » béarnais</t>
  </si>
  <si>
    <t>argeles-infos</t>
  </si>
  <si>
    <t>JUILLET 2020</t>
  </si>
  <si>
    <t>Retour sur les travaux de couverture</t>
  </si>
  <si>
    <t>Le Petit Journal 65</t>
  </si>
  <si>
    <t>Linky, utile pour les foyers, et indispensable pour la TE</t>
  </si>
  <si>
    <t>Mail métier travaux/reg</t>
  </si>
  <si>
    <t>mzail</t>
  </si>
  <si>
    <t>Reseau</t>
  </si>
  <si>
    <t>Les travaux reprennent à grands pas</t>
  </si>
  <si>
    <t>L'Eclair des Pyrénées</t>
  </si>
  <si>
    <t>Enedis mobillisé au coté du SDE65 pour innover dans le developpement de la gestion communicante…</t>
  </si>
  <si>
    <t>Enedis innove dans les Hautes-Pyrénées pour un réseau électrique encore plus intelligent / ILD</t>
  </si>
  <si>
    <t>Oloron : de nombreux travaux vont débuter dans les prochains jours</t>
  </si>
  <si>
    <t>La Republique des pyrenees</t>
  </si>
  <si>
    <t>info helagage</t>
  </si>
  <si>
    <t>reseau</t>
  </si>
  <si>
    <t>partenariat challenge penitentiaire</t>
  </si>
  <si>
    <t>Coupure réseau électrique : Afin d’améliorer la qualité de la distribution électrique et de répondre</t>
  </si>
  <si>
    <t>projet reflex Landes</t>
  </si>
  <si>
    <t>Le plein de travaux</t>
  </si>
  <si>
    <t>INNOVATION EXOSQUELETTE</t>
  </si>
  <si>
    <t>coupure aléas</t>
  </si>
  <si>
    <t>Devèze. Enedis innove dans les Hautes-Pyrénées</t>
  </si>
  <si>
    <t>La semaine des pyrenees</t>
  </si>
  <si>
    <t>coupure 64 aléas</t>
  </si>
  <si>
    <t>La Depeche</t>
  </si>
  <si>
    <t>Enedis innove dansles Hautes-Pyrénées</t>
  </si>
  <si>
    <t>Pour un réseau électrique encore plus intelligent</t>
  </si>
  <si>
    <t>Le budget de la commune a été voté</t>
  </si>
  <si>
    <t>Landes : Enedis vérifie les lignes électriques en hélicoptère</t>
  </si>
  <si>
    <t>Sud Ouest 40</t>
  </si>
  <si>
    <t>Diagnostic en hélicoptère des réseaux électriques Enedis</t>
  </si>
  <si>
    <t>Côte sud des Landes : les panneaux photovoltaïques fleurissent sur les toits des bâtiments</t>
  </si>
  <si>
    <t>Marché : A partir du mercredi 29 juillet, un petit marché sera organisé tous les mercredis matin</t>
  </si>
  <si>
    <t>La direction régionale d’enedis veut s’implanter au nord de Pau</t>
  </si>
  <si>
    <t>Le conseil d’Agglo de Pau à revoir en vidéo : Projet enedis implantation nord de Pau</t>
  </si>
  <si>
    <t>REFLEX LANDES Flexibilités locales : Enedis ouvre deux nouvelles zones dans la Somme et dans les Landes ( actu-environnement magazine)</t>
  </si>
  <si>
    <t>Un budget gonflé par la crise</t>
  </si>
  <si>
    <t>RN 134 : nouvel accident de camion, la route coupée pendant plusieurs heures</t>
  </si>
  <si>
    <t>Challenge pénitentiaire</t>
  </si>
  <si>
    <t>Flexibilité locales : Enedis ouvre deux nouvelles zones dans la Somme et dans les Landes</t>
  </si>
  <si>
    <t>RN 134 : après les derniers accidents, des contrôles renforcés pour les camions</t>
  </si>
  <si>
    <t>L Actu santé 65 human technologie equipe enedis</t>
  </si>
  <si>
    <t>Des exosquelettes tarbais pour les personnels d’Enedis</t>
  </si>
  <si>
    <t>HMT déploie ses exosquelettes dans les directions régionales d'Enedis</t>
  </si>
  <si>
    <t>Dax : Une entrée de ville fermée à la circulation</t>
  </si>
  <si>
    <t>7500 foyers privés d’électricité dans l’agglomération de Dax</t>
  </si>
  <si>
    <t xml:space="preserve">7500 foyers privées d'électricité hier à Dax et Saint-Paul-lès-Dax </t>
  </si>
  <si>
    <t>La panne a eu lieu sur le réseau Enedis</t>
  </si>
  <si>
    <t>7500 foyers privés d’électricité</t>
  </si>
  <si>
    <t>[Brève] Orages : 3200 foyers toujours privés d'électricité dans les Landes (spot de 6h07)</t>
  </si>
  <si>
    <t>[Brève] Orages : 3200 foyers toujours privés d'électricité dans les Landes  (spot de 7h)</t>
  </si>
  <si>
    <t>[Brève] Orages : 3000 foyers toujours privés d'électricité dans les Landes  (spot de 10h)</t>
  </si>
  <si>
    <t>Landes : pas de gros dégâts après les orages et les vents violents</t>
  </si>
  <si>
    <t>France bleu gascogne</t>
  </si>
  <si>
    <t>Coup de vent dans les Landes : 3 000 foyers sans électricité</t>
  </si>
  <si>
    <t>Orages en Béarn : plus de 13 000 foyers privés d'électricité jeudi soir</t>
  </si>
  <si>
    <t>Orages en Béarn : Encore 2 500 foyers privés d'électricité</t>
  </si>
  <si>
    <t>Sud Ouest 64</t>
  </si>
  <si>
    <t>Coupure de courant à Serres-Sainte-Marie : depuis la tornade de décembre, les dégâts s'accumulent</t>
  </si>
  <si>
    <t>France bleu Bearn</t>
  </si>
  <si>
    <t>AOUT 2020</t>
  </si>
  <si>
    <t>Brève Orages : 500 foyers landais privés d'électricité (7h)</t>
  </si>
  <si>
    <t>Encore quelques foyers privés d’électricité</t>
  </si>
  <si>
    <t>Sud-Ouest Béarn</t>
  </si>
  <si>
    <t>17-aout</t>
  </si>
  <si>
    <t>partenariat don vehicule garage social</t>
  </si>
  <si>
    <t>Routes coupées, chutes d’arbres : en tout 11 000 foyers ont été privés d’électricité</t>
  </si>
  <si>
    <t>19 aout</t>
  </si>
  <si>
    <t>Avec Enedis, les Landes deviennent un territoire d’expérimentation pour les Energies Renouvelables (EnR)</t>
  </si>
  <si>
    <t>Transition energetique</t>
  </si>
  <si>
    <t>Jusqu’à 13 100 foyers béarnais privés de courant après l’orage</t>
  </si>
  <si>
    <t>Après les fortes chaleurs et le violent orage, la base de loisirs panse ses plaies</t>
  </si>
  <si>
    <t>L'orage a provoqué l'arrêt brutal du funiculaire de Lourdes (6h)</t>
  </si>
  <si>
    <t>12 personnes blessées dans l'accident de funiculaire du Pic du Jer à cause d'une coupure de courant (8h30)</t>
  </si>
  <si>
    <t>Précisions du sous-préfet sur l'accident de funiculaire près de Lourdes causé par la foudre ( 8h)</t>
  </si>
  <si>
    <t>A Lourdes au Pic du Jer, une coupure de courant cause un accident de funiculaire et fait 12 blessés (7h30)</t>
  </si>
  <si>
    <t>A Saint-Jean-de-Luz, une centaine d'abonnés sont privés de courant en raison de l'incendie d'un compteur électrique (12h)</t>
  </si>
  <si>
    <t>negatif</t>
  </si>
  <si>
    <t>Des communes des Landes ont subi des coupures de courant ( 6h)</t>
  </si>
  <si>
    <t>Enedis dépannera dans la matinée les derniers clients touchés par les orages hier soir dans les Landes ( 8h)</t>
  </si>
  <si>
    <t>Photos &amp; vidéos : orages de grêle dans le sud des Landes</t>
  </si>
  <si>
    <t>Un projet solidaire autour de la mobilité - appel aux dons</t>
  </si>
  <si>
    <t>Début des travaux du rond-point le 26 août : les fêtes du village n'auront pas lieu cette année / déploiement Linky</t>
  </si>
  <si>
    <t>Tournay incivilités</t>
  </si>
  <si>
    <t>Coupure Aurice</t>
  </si>
  <si>
    <t>Com compteur Linky</t>
  </si>
  <si>
    <t>31-aout</t>
  </si>
  <si>
    <t>Reflex Landes itw C.Cres suite au CP sur PV</t>
  </si>
  <si>
    <t>Frequence Grands Lacs</t>
  </si>
  <si>
    <t>1-aout</t>
  </si>
  <si>
    <t>Le département balayé par de grosses rafales</t>
  </si>
  <si>
    <t>SEPTEMBRE 2020</t>
  </si>
  <si>
    <t>Landes : le photovoltaïque continue sa progression fulgurante</t>
  </si>
  <si>
    <t>action trubunal tarbes, P.Berardo + juge</t>
  </si>
  <si>
    <t>action</t>
  </si>
  <si>
    <t>liny</t>
  </si>
  <si>
    <t xml:space="preserve">Les Landes : Enedis lance l'expérimentation Reflex </t>
  </si>
  <si>
    <t>Enedis partenaire du Tour De France avec une caravane 100 % électrique</t>
  </si>
  <si>
    <t>Mobilité électrique</t>
  </si>
  <si>
    <t>Enedis lance une expérience dans les Landes pour les producteurs</t>
  </si>
  <si>
    <t>Décryptage : Enedis lance une expérience sur le photovoltaïque</t>
  </si>
  <si>
    <t>Avec Enedis, les feux sont au vert pour la mobilité électrique pau</t>
  </si>
  <si>
    <t>Interview de Christophe Cres, Directeur d'Enedis Landes</t>
  </si>
  <si>
    <t>partenariat garage solidaire landes</t>
  </si>
  <si>
    <t>Enedis partenaire du Tour De France avec une caravane 100% électrique</t>
  </si>
  <si>
    <t>Tarbes/Lourdes infos</t>
  </si>
  <si>
    <t>Interview C.Cres Reflex</t>
  </si>
  <si>
    <t>int</t>
  </si>
  <si>
    <t>[Brève] Le tribunal de Tarbes a débouté les anti-compteurs Linky</t>
  </si>
  <si>
    <t>Avec Enedis, les feux sont au vert pour la mobilité électrique Tarbes</t>
  </si>
  <si>
    <t>ME</t>
  </si>
  <si>
    <t>Béarn/Bigorre : les anti-Linky déboutés par le tribunal de Tarbes</t>
  </si>
  <si>
    <t>orages</t>
  </si>
  <si>
    <t>mail</t>
  </si>
  <si>
    <t>Béarn-Bigorre : les anti-Linky déboutés à Tarbes</t>
  </si>
  <si>
    <t>Enedis dévoile son projet industriel et humain 2020-2025</t>
  </si>
  <si>
    <t>Bigorre : les anti-Linky déboutés par le tribunal de Tarbes</t>
  </si>
  <si>
    <t>Tarbes Voleurs volés. C'est une histoire rocambolesque.. Linky tribunal</t>
  </si>
  <si>
    <t>Question d'un auditeur au sujet de l'installation d'un compteur Linky</t>
  </si>
  <si>
    <t>Les Petits Débrouillards et Enedis causent Transition Ecologique</t>
  </si>
  <si>
    <t>Partenariats</t>
  </si>
  <si>
    <t>Question d'une auditrice au sujet de l'installation d'un compteur Linky</t>
  </si>
  <si>
    <t>Enedis place le développement durable et sa démarche RSE au coeur de ses missions de service public du 21e siècle pour accélérer la transition écologique</t>
  </si>
  <si>
    <t>Environnement_RSE</t>
  </si>
  <si>
    <t xml:space="preserve">Campagne securite 65 </t>
  </si>
  <si>
    <t>Sécurite</t>
  </si>
  <si>
    <t>L’école de musique à l’école Victor-Hugo</t>
  </si>
  <si>
    <t>Une ferme incendiée à Montfort : une trentaine de pompiers mobilisés face aux
risques</t>
  </si>
  <si>
    <t>Ferme en feu à Montfort : 30 pompiers mobilisés, le désarroi de deux frères</t>
  </si>
  <si>
    <t>Enedis fortement engagé dans le développement de bornes de rechargement</t>
  </si>
  <si>
    <t>TRAVAUX L’avenue Copernic fermée Du 21 au 25 septembre, des travaux de
raccordement au réseau d’eau potable et électrique</t>
  </si>
  <si>
    <t>Compteurs Linky : verdict favorable pour Enedis</t>
  </si>
  <si>
    <t>Enedis roule pour l'électrique</t>
  </si>
  <si>
    <t>Circulation interdite rue de Sègues N Du 25 septembre au 24 octobre, la
circulation sera interdite au droit du n°7 de la rue de Sègues, afin de faciliter les
travaux de consolidation d’une maison</t>
  </si>
  <si>
    <r>
      <t xml:space="preserve">TABLEAU DES </t>
    </r>
    <r>
      <rPr>
        <b/>
        <sz val="11"/>
        <color theme="1"/>
        <rFont val="Calibri"/>
        <family val="2"/>
        <scheme val="minor"/>
      </rPr>
      <t>RETOMBEES</t>
    </r>
  </si>
  <si>
    <t>Ils réinventent l’éolienne depuis un garage Inspirés par la queue du thon</t>
  </si>
  <si>
    <t>Sud-Ouest Pays Basque</t>
  </si>
  <si>
    <t>Travaux à Oloron</t>
  </si>
  <si>
    <t>Enedis mise sur les véhicules électriques</t>
  </si>
  <si>
    <t>Chasse Carte montagne.Les chasseurs Pyrénéens de Tarbes vous informent que les cartes ZM seront disponibles</t>
  </si>
  <si>
    <t>Pyrénées-Atlantiques : coupures de courant et légers dégâts après les orages de la nuit</t>
  </si>
  <si>
    <t>Les intempéries n’ont pas fait de gros dégâts</t>
  </si>
  <si>
    <t>Enedis roule pour l’électrique</t>
  </si>
  <si>
    <t>Un projet solidaire autour de la mobilité</t>
  </si>
  <si>
    <t>Landes : le premier garage social et solidaire du département inauguré</t>
  </si>
  <si>
    <t>Bernard Duprat - UFC Que Choisir - répond à un consommateur dont le Linky est en panne</t>
  </si>
  <si>
    <t>Coupures de courant.</t>
  </si>
  <si>
    <t>Des coupures d’électricité à prévoir mercredi 30 septembre</t>
  </si>
  <si>
    <t>Véhicules électriques - Les feux passent au vert !</t>
  </si>
  <si>
    <t>La direction régionale Pyrénées et Landes, basée à Pau, montre l’exemple et compte aussi mobiliser les entreprises et les particuliers..</t>
  </si>
  <si>
    <t>Entreprises engagées 64</t>
  </si>
  <si>
    <t>c'est l info Pau = invitation presse ME sur Pau)</t>
  </si>
  <si>
    <t>Aquitainefr 64</t>
  </si>
  <si>
    <t>LIM Garage solidaire : également au coté fondation agricole et enedis</t>
  </si>
  <si>
    <t>PressLib 40</t>
  </si>
  <si>
    <t>Hautes-Pyrénées : Enedis roule pour l'électrique</t>
  </si>
  <si>
    <t>OCTOBRE 2020</t>
  </si>
  <si>
    <t>Surveillance des réseaux électriques</t>
  </si>
  <si>
    <t xml:space="preserve">Le courrier français des Landes </t>
  </si>
  <si>
    <t xml:space="preserve"> Octobre Saint Geours de Maremne : Important projet de transformation du réseau électrique </t>
  </si>
  <si>
    <t>RESEAU</t>
  </si>
  <si>
    <t xml:space="preserve"> Tempête Alex Enedis pré mobilise ses équipes dans les Pyrénées-Atlantiques…</t>
  </si>
  <si>
    <t>inclusion numérique : Enedis s'associe au Secours Populaire</t>
  </si>
  <si>
    <t>800 foyers privés d'éléctricité après les intempéries</t>
  </si>
  <si>
    <t>Tempête Alex</t>
  </si>
  <si>
    <t xml:space="preserve"> Intempéries au Pays Basques : pas de gros dégâts, le dimanche sans voiture annulé</t>
  </si>
  <si>
    <t>Photovoltaïque : comment gérer l’afflux d’électricité ? ( media expert "les cles de la TE)</t>
  </si>
  <si>
    <t xml:space="preserve">partenariat solidaire ciel </t>
  </si>
  <si>
    <t>Landes : 800 foyers privés d'électricité dans le sud du département à cause de
vents violents</t>
  </si>
  <si>
    <t>visite reseau par drone</t>
  </si>
  <si>
    <t>Une centaines d'agents d'ENEDIS dépêchés dans les Landes</t>
  </si>
  <si>
    <t>Tempête Barbara</t>
  </si>
  <si>
    <t>Tempête Alex : 250 foyers sans électricité dans le Pays-Basque</t>
  </si>
  <si>
    <t>Tempête : Moins de 100 clients encore privés d'électricité dans le Pays Basque</t>
  </si>
  <si>
    <t>De fortes pluies et une alerte vague submersion ce samedi</t>
  </si>
  <si>
    <t>Enedis lance la 4ème édition de son Concours destiné aux start-up et PME innovantes
au plus près des territoires</t>
  </si>
  <si>
    <t>Alex va secouer les Landes ce week-end</t>
  </si>
  <si>
    <t>estaing : vers un reseau électrique moins sensible aux aléas climatiques</t>
  </si>
  <si>
    <t>Intempéries dans les Landes retour à la normale sur le réseau électrique</t>
  </si>
  <si>
    <t>coupure orthez</t>
  </si>
  <si>
    <t>Des coupures de courants dans les Landes</t>
  </si>
  <si>
    <t>Jusqu’à 800 foyers privés d’électricité</t>
  </si>
  <si>
    <t>Le sort s’acharne sur le restaurant Brooklyn burgers</t>
  </si>
  <si>
    <t>Une alerte vague submersion pour ce lundi</t>
  </si>
  <si>
    <t>Retour à la normale pour Enedis</t>
  </si>
  <si>
    <t>Vielle-Saint-Girons (Landes) : une trentaine de foyers privée d'électricité (pelleteurse arrachage de cable)</t>
  </si>
  <si>
    <t>Les salariés de Pommier défendent leur avenir</t>
  </si>
  <si>
    <t>La semaine des Pyrénées</t>
  </si>
  <si>
    <t>Quand insertion rime avec valorisation</t>
  </si>
  <si>
    <t>Contrôle des lignes électriques en hélicoptère. St geours</t>
  </si>
  <si>
    <t>“Les Petits Débrouillards” restent à la porte de l’école !</t>
  </si>
  <si>
    <t>Orthez 70 foyers privés d'életricité sur le quartier de Castetarbe</t>
  </si>
  <si>
    <t>Dans le cadre d’une convention entre Enedis et les Petits Débrouillards</t>
  </si>
  <si>
    <t>400 foyers privés d’électricité</t>
  </si>
  <si>
    <t>Mourenx: CIEL conforte son action d'insertion sociale et professionnelle</t>
  </si>
  <si>
    <t>Enedis, partenaire du Garage social et solidaire</t>
  </si>
  <si>
    <t>La mobilisation monte d’un cran chez Pommier</t>
  </si>
  <si>
    <t>La mobilisation monted’un cran chez Pommier</t>
  </si>
  <si>
    <t>Le réseau électrique surveillé</t>
  </si>
  <si>
    <t>Surveillance du réseau électrique</t>
  </si>
  <si>
    <t>La sécurisation des lignes continue saint geours de maremne</t>
  </si>
  <si>
    <t>CIEL conforte son action d’insertion sociale et professionnelle</t>
  </si>
  <si>
    <t>Les Petits Débrouillards et Enedis causent transition écologique</t>
  </si>
  <si>
    <t>Îlot Biremont : premiers travaux</t>
  </si>
  <si>
    <t>Les experts : Mauricette a un problème avec son compteur Linky, …</t>
  </si>
  <si>
    <t>Réunion publique linky mentionné comme sujet de reunion</t>
  </si>
  <si>
    <t xml:space="preserve">Coup d’accélérateur aux énergies renouvelables (F.Tillous mentionné) </t>
  </si>
  <si>
    <t>Mediabask</t>
  </si>
  <si>
    <t>AERONAUTIQUE : Alteia signe deux partenariats avec Microsoft et Enedis</t>
  </si>
  <si>
    <t>Flash-Infos Nouvelle-Aquitaine Occitanie 65</t>
  </si>
  <si>
    <t>Landes: un nouveau parc solaire produira la consommation de 1300 foyers</t>
  </si>
  <si>
    <t>Eau, énergie, services… : des fédérations CGT appellent à la grève le 3 novembre</t>
  </si>
  <si>
    <t>des foyers sans électricité et une route effondrée</t>
  </si>
  <si>
    <t>Panneaux solaires sur pierres blanches</t>
  </si>
  <si>
    <t xml:space="preserve">Question d'auditrice sur l'obligation d'installation du compteur linky </t>
  </si>
  <si>
    <t>mimizan sanguniet annonce elagage</t>
  </si>
  <si>
    <t>Campagne sécurité encart avec RTE</t>
  </si>
  <si>
    <t>chantier saint geours de maremne</t>
  </si>
  <si>
    <t>Virgin Radio 40</t>
  </si>
  <si>
    <t>Cinq comités consultatifs ouverts à la population ont été créés - Divers points étaient à l’ordre du jour du dernier conseil municipal</t>
  </si>
  <si>
    <t>Réunion publique sur les compteurs Linky, ce soir
Conférence-spectacle sur lelien parents-ados</t>
  </si>
  <si>
    <t>Contrôlé sans gant, un pied de cannabis dans le sac Conflit autour d’uncompteur Linky Kévin Rouxel demande à nouveau sa remise en liberté</t>
  </si>
  <si>
    <t>Le Sdepa présenté aux élus communaux</t>
  </si>
  <si>
    <t>Les communes incitées à éteindre l’éclairage public la nuit - Le Syndicat d’énergie des Pyrénées-Atlantiques a informé les élus sur ses domaine sd’intervention</t>
  </si>
  <si>
    <t>Tempête Barbara : Enedis pré-mobilise ses équipes</t>
  </si>
  <si>
    <t>Tempête Barbara: des rafales à 215km/h à Iraty, 19 000 foyers privés d'électricité dans le 64</t>
  </si>
  <si>
    <t>Barbara a soufflé fort</t>
  </si>
  <si>
    <t xml:space="preserve">19 000 foyers sont privés de courant dans les Pyrénées-Atlantiques après la tempête Barbara </t>
  </si>
  <si>
    <t>Chérie FM 64</t>
  </si>
  <si>
    <t xml:space="preserve">6500 foyers sont privés de courant en Béarn après le passage de la tempête Barbara </t>
  </si>
  <si>
    <t>Interview François Tillous, le Directeur Territorial Pyrénées-Atlantiques d'Enedis sur les dégâts , tempete Barbara</t>
  </si>
  <si>
    <t>L'électricité a été rétablie partout dans les zones sinistrées dans les Landes</t>
  </si>
  <si>
    <t>Tempete Barbara : 12 (àà foyers privés d electricité…</t>
  </si>
  <si>
    <t xml:space="preserve">19 000 foyers dans les Pyrénées-Atlantiques et 16 000 foyers dans le Limousin sont privés de courant en raison de la tempête Barbara </t>
  </si>
  <si>
    <t xml:space="preserve">19 000 foyers sont privés d'électricité ce matin dans les Pyrénées-Atlantiques </t>
  </si>
  <si>
    <t xml:space="preserve">12 500 foyers sont privés d'électricité, la moitié des communes du Pays basque est impactée </t>
  </si>
  <si>
    <t>Reportage dans le sud-ouest, où près de 50 000 foyers sont privés de courant après le passage de la tempête Barbara</t>
  </si>
  <si>
    <t>France 2 64</t>
  </si>
  <si>
    <t xml:space="preserve">Pyrénées-Atlantiques : 20 000 foyers privés d'électricité, des câbles électriques arrachés après la tempête Barbara </t>
  </si>
  <si>
    <t>France 3 64</t>
  </si>
  <si>
    <t>Tempête Barbara : 12.500 foyers privés d'électricité ce mercredi matin au Pays Basque</t>
  </si>
  <si>
    <t>Tempête Barbara : ça a soufflé en Isere mais pas de gros dégats</t>
  </si>
  <si>
    <t>Tempête Barbara : des dizaines de milliers de foyers privés d'électricité</t>
  </si>
  <si>
    <t xml:space="preserve">16 000 foyers privés d'électricité dans les Pyrénées-Atlantiques et 500 dans les Landes </t>
  </si>
  <si>
    <t>9 000 foyers privés d'électricité dans le Pays Basque</t>
  </si>
  <si>
    <t xml:space="preserve">Plusieurs milliers de foyers privés d'électricité en Béarn et en Bigorre ce mdi </t>
  </si>
  <si>
    <t xml:space="preserve">La tempête Barbara provoque de nombreuses coupures d'électricité dans les Pyrénées-Atlantiques </t>
  </si>
  <si>
    <t xml:space="preserve">9 000 foyers toujours privés d'électricité dans le Pays basque </t>
  </si>
  <si>
    <t xml:space="preserve">Les agents d'Enedis toujours mobilisés dans le sud-ouest </t>
  </si>
  <si>
    <t>Nostalgie 40</t>
  </si>
  <si>
    <t>Nostalgie 64</t>
  </si>
  <si>
    <t>Nostalgie 65</t>
  </si>
  <si>
    <t xml:space="preserve">Les agents d'Enedis mobilisés avec 4 hélicoptères dans le Béarn </t>
  </si>
  <si>
    <t xml:space="preserve">Plus de 20 000 foyers privés d'électricité à cause de la tempête Barbara </t>
  </si>
  <si>
    <t>France 3 40</t>
  </si>
  <si>
    <t xml:space="preserve">Il restait 2300 foyers privés d'électricité hier soir au Pays Basque </t>
  </si>
  <si>
    <t xml:space="preserve">Interview de François Tillous. Directeur Territorial Pyrénées Atlantiques sur le rétablissement du courant après la tempête "Barbara" </t>
  </si>
  <si>
    <t xml:space="preserve">1000 foyers sans électricité en Béarn et 250 en Bigorre </t>
  </si>
  <si>
    <t xml:space="preserve">Entretien avec Philippe Berardo, directeur territorial d'Enedis dans les Hautes-Pyrénées </t>
  </si>
  <si>
    <t>Radio Inside 65</t>
  </si>
  <si>
    <t xml:space="preserve">Tempête Barbara : 1700 foyers toujours privés d'électricité au Pays Basque </t>
  </si>
  <si>
    <t xml:space="preserve">Selon Enedis l’intégralité du réseau électrique a été rétabli après la tempête Barbara </t>
  </si>
  <si>
    <t xml:space="preserve">L'électricité est revenue dans tous les foyers béarnais et bigourdans </t>
  </si>
  <si>
    <t>Bigorre – Tempête Barbara : l’ensemble des foyers rétablis</t>
  </si>
  <si>
    <t>ENEDIS Concours. Enedis lance la 4ème édition de son Concours destiné aux start-up et PME innovantes.</t>
  </si>
  <si>
    <t>Le Secours populaire français (SPF) Hautes-Pyrénées et Enedis œuvrent pour l’inclusion numérique</t>
  </si>
  <si>
    <t>Inclusion numérique : des ordinateurs offerts à 14 familles</t>
  </si>
  <si>
    <t>CONCOURS Pour entreprises innovantes</t>
  </si>
  <si>
    <t>Vers un réseau électrique moins sensible aux aléas climatiques</t>
  </si>
  <si>
    <t>5g</t>
  </si>
  <si>
    <t>Très haut débit : Orange poursuit le chantier fibre</t>
  </si>
  <si>
    <t>Ce matin, grâce à la subvention d' ENEDIS… ( facebook secours pop)</t>
  </si>
  <si>
    <t>ENEDIS FORTEMENT ENGAGÉ AUPRÈS DU SDE65  VE(facebook sde65) dans le cadre de notre mediatisation sur Tarbes ME</t>
  </si>
  <si>
    <t>Un chantier qui ne fait pas l’unanimité</t>
  </si>
  <si>
    <t>Deux jeunes percutent un poteau électrique sur la RD17</t>
  </si>
  <si>
    <t>LOUVIE-SOUBIRON Une belle solidarité pour faire face aux intempéries</t>
  </si>
  <si>
    <t>Haut Adour Concours pour entreprises innovantes</t>
  </si>
  <si>
    <t>Toussaint les célébrations dans le Haut Adour concours innov</t>
  </si>
  <si>
    <t>NOVEMBRE 2020</t>
  </si>
  <si>
    <t xml:space="preserve">DATE </t>
  </si>
  <si>
    <t>Des ordinateurs pour aider les familles en difficulté</t>
  </si>
  <si>
    <t>4 nov 2020 coronavirus 2nde mobilisation</t>
  </si>
  <si>
    <t>5G</t>
  </si>
  <si>
    <t>Certains sujets demandent une expertise et la mesure du temps</t>
  </si>
  <si>
    <t>Enedis accompagne l’arrivée de bornes pour véhicules électriques sur les aires d’autoroute de Lacq-Audéjos</t>
  </si>
  <si>
    <t>te</t>
  </si>
  <si>
    <t>Mention du compteur Linky durant un sujet sur l'abonnement "heures creuses"</t>
  </si>
  <si>
    <t>Enedis modernise le réseau électrique de Bareilles pour faire face aux aléas climatiques</t>
  </si>
  <si>
    <t>Landes : plus de 14 000 foyers privés d’électricité</t>
  </si>
  <si>
    <t>MAIL</t>
  </si>
  <si>
    <t>Partenariat Cap Emploi Atelier numerique</t>
  </si>
  <si>
    <t>Enedis modernise le réseau électrique de Lourdes</t>
  </si>
  <si>
    <t>Enedis et Secours Populaire : Des ordinateurs pour les enfants !</t>
  </si>
  <si>
    <t>Le numérique comme levier d’inclusion :
Enedis et la mission locale des Landes se mobilisent !</t>
  </si>
  <si>
    <t>Enedis mobilisée sur le territoire face à un nouveau confinement en France (Communiqué)</t>
  </si>
  <si>
    <t>Partenariat garage social don vehicule</t>
  </si>
  <si>
    <t>Enedis mobilisée face au nouveau confinement</t>
  </si>
  <si>
    <t>Vers un réseau électrique moins sensible aux aléas</t>
  </si>
  <si>
    <t>interview Marc Lotz PIH</t>
  </si>
  <si>
    <t>Début des travaux pour la centrale landaise de Labrit, siglée Engie Green</t>
  </si>
  <si>
    <t>Enedis offre un ordinateur à 14 familles du Secours Populaire</t>
  </si>
  <si>
    <t>Enedis poursuit les travaux de modernisation des lignes électriques dans le Val d’Azun.</t>
  </si>
  <si>
    <t>Des coupures de courant à prévoir mardi 17novembre</t>
  </si>
  <si>
    <t>Les services et entreprises qui restent ouverts pendant le confinement</t>
  </si>
  <si>
    <t>Des coupures de courant à prévoir</t>
  </si>
  <si>
    <t>Deux incendies dans des immeubles cette nuit à Tarbes</t>
  </si>
  <si>
    <t>Vents violents : 5 000 foyers sans courant</t>
  </si>
  <si>
    <t>Travaux Enedis</t>
  </si>
  <si>
    <t>national</t>
  </si>
  <si>
    <t>Linky : tous les compteurs seront posés d’ici la fin de l’année 2021 selon Enedis</t>
  </si>
  <si>
    <t>Enedis aura fini de déployer ses compteurs Linky en 2021 comme prévu, malgré la crise</t>
  </si>
  <si>
    <t>A64 : dix bornes de recharge électrique à Lacq-Audéjos</t>
  </si>
  <si>
    <t>10 bornes de recharge sur l’aire d’autoroute de Lacq</t>
  </si>
  <si>
    <t>PONTONX-SUR-L’ADOUR Le député Boris Vallaud a visité l’unique garage social</t>
  </si>
  <si>
    <t>Cette offre arrive à un moment crucial</t>
  </si>
  <si>
    <t>virgin radio : chantier de saint geours de maremne</t>
  </si>
  <si>
    <t>Enedis modernise le réseau électrique pour faire face aux aléas climatiques</t>
  </si>
  <si>
    <t>Landes : plus de 14 000  FOYERS PRIV2S D ELECTRICIT2 DANS LE Born</t>
  </si>
  <si>
    <t>Landes : plus de 14 000  FOYERS PRIVES D ELECTRICITE DANS LE Born</t>
  </si>
  <si>
    <t>14 000 foyers ont été privés de courant ce matin dans les Landes</t>
  </si>
  <si>
    <t xml:space="preserve">Des dégâts sur des câbles souterrains à proximite de Biscarrosse ont privé de courant 14 000 </t>
  </si>
  <si>
    <t xml:space="preserve">Une coupure de courant a eu lieu hier à Bayonne, des travaux seront réalisés aujourd'hui, pouvant occasionner de nouvelles interruptions </t>
  </si>
  <si>
    <t xml:space="preserve">Bigorre – Enedis modernise le réseau électrique de Bareilles pour faire face aux aléas climatiques </t>
  </si>
  <si>
    <t>Des bornes haute puissance sur l’aire d’autoroute</t>
  </si>
  <si>
    <t>SAINT-PALAIS SAMES Coupures de courant.</t>
  </si>
  <si>
    <t>Enedis-partenaire de cap emploi (site internet cap emploi)</t>
  </si>
  <si>
    <t>selon la cour d appel de bordeaux l installation des compteurs électriques Linky ne serait pas obligatoire</t>
  </si>
  <si>
    <t xml:space="preserve">Enedis modernise le reseau ( bareilles ) </t>
  </si>
  <si>
    <t>Lourdes . Le reseau electrique se modernise</t>
  </si>
  <si>
    <t>Le réseau électrique se modernise</t>
  </si>
  <si>
    <t>barcelonne - du gers saint sever</t>
  </si>
  <si>
    <t>pas nous</t>
  </si>
  <si>
    <t>Une nouvelle étude conclut à la neutralité des compteurs Linky (</t>
  </si>
  <si>
    <t>L’Occitanie va-t-elle manquer d’électricité cet hiver ?</t>
  </si>
  <si>
    <t>La métamorphose de la place Corps Franc Pommiès</t>
  </si>
  <si>
    <t>La mairie remet la culture en selle</t>
  </si>
  <si>
    <t>Linky : tous les compteurs seront posés d'ici la fin de l'année 2021 selon Enedis</t>
  </si>
  <si>
    <t>Enedis : les services et entreprises qui restent ouverts pendant le confinement</t>
  </si>
  <si>
    <t>Pourquoi on ne peut pas encore faire démonter son compteur Linky</t>
  </si>
  <si>
    <t>Pour la justice, le compteur Linky n’est pas obligatoire</t>
  </si>
  <si>
    <t>Nouvelle Republique pyrenees</t>
  </si>
  <si>
    <t>non</t>
  </si>
  <si>
    <t>Pour le commerce local et le pouvoir d’achat = com mairie</t>
  </si>
  <si>
    <t>une etude sur le commerce landais</t>
  </si>
  <si>
    <t>Le prochain conseil municipal aura lieu le lundi 30 novembre 2020 à 18 heures, dans la salle du conseil</t>
  </si>
  <si>
    <t>annonce</t>
  </si>
  <si>
    <t>Des coupures d’électricité lundi Le restaurant du golf passe au drive Une col</t>
  </si>
  <si>
    <t>partenariat mission locale, article sur page internet</t>
  </si>
  <si>
    <t>POSITIF</t>
  </si>
  <si>
    <t>Stationnement, Bio C Bon chantier… les petites infos qui font l'actu à Pau</t>
  </si>
  <si>
    <t>Mairie : le panneau d'informations municipal est opérationnel</t>
  </si>
  <si>
    <t xml:space="preserve">Le petit journal </t>
  </si>
  <si>
    <t>DECEMBRE 2020</t>
  </si>
  <si>
    <t>1-dec</t>
  </si>
  <si>
    <t>pas ns</t>
  </si>
  <si>
    <t>l initiative du pole territorial fibre</t>
  </si>
  <si>
    <t>Enedis : Une semaine de chantier pour moderniser le réseau électrique de Castelnau Magnoac</t>
  </si>
  <si>
    <t>2-dec</t>
  </si>
  <si>
    <t>3-dec</t>
  </si>
  <si>
    <t>LA RESIDENCE OREKA : ENEDIS ACCOMPAGNE BOUYGUES IMMOBILIER SUR LA ROUTE DE LA MOBILITE ELECTRIQUE</t>
  </si>
  <si>
    <t>Un appartement soufflé par une explosion</t>
  </si>
  <si>
    <t>Le réseau électrique du quartier de la Raillère à Cauterets fait peau neuve</t>
  </si>
  <si>
    <t>Castelnau-Magnoac – Une semaine de chantier pour moderniser le réseau électrique</t>
  </si>
  <si>
    <t>8-dec</t>
  </si>
  <si>
    <t>Fargues : une «Jarraf» atteint des sommets et facilite l’élagage</t>
  </si>
  <si>
    <t>le compteur linky : Enedis ne peut l imposer ( suite cours d appel)</t>
  </si>
  <si>
    <t>L'Essor Bigourdan</t>
  </si>
  <si>
    <t>5-dec</t>
  </si>
  <si>
    <t>Don de vehicule à la CCPTM Comcom pays trie et magnoac ( communauté de communes du pays de Trie et du Magnoac)</t>
  </si>
  <si>
    <t>Le quartier de la railliere a cauteret fait peau neuve grâce au SDE65 et Enedis (facebook sde)</t>
  </si>
  <si>
    <t>Intervention Marc Lotz Table Ronde</t>
  </si>
  <si>
    <t>Part</t>
  </si>
  <si>
    <t>TE</t>
  </si>
  <si>
    <t>4-dec</t>
  </si>
  <si>
    <t xml:space="preserve">Les heures creuses seraient moins intéressantes selon "60 millions de consommateurs", mention du compteur linky </t>
  </si>
  <si>
    <t>France 2 40</t>
  </si>
  <si>
    <t>16-dec</t>
  </si>
  <si>
    <t>Don véhicule, comptoir des services</t>
  </si>
  <si>
    <t>Enedis Renove</t>
  </si>
  <si>
    <t>29 dec</t>
  </si>
  <si>
    <t>Don vehicule mairie Dax</t>
  </si>
  <si>
    <t>19 dec - 1er janvier</t>
  </si>
  <si>
    <t>message campagne securite</t>
  </si>
  <si>
    <t>Securite</t>
  </si>
  <si>
    <t>Enedis rénove</t>
  </si>
  <si>
    <t>Les Petits Débrouillards</t>
  </si>
  <si>
    <t>securite</t>
  </si>
  <si>
    <t>Concours Start-up 2020 : les entreprises en lice sur notre territoire</t>
  </si>
  <si>
    <t>Innovation</t>
  </si>
  <si>
    <t>Cauterets – Le réseau électrique du quartier de la Raillère fait peau neuve</t>
  </si>
  <si>
    <t>Bayonne : des bornes de recharges électriques prévues dans une résidence collective</t>
  </si>
  <si>
    <t xml:space="preserve">Tempête Bella : les équipes Enedis pré-mobilisées </t>
  </si>
  <si>
    <t>CCPTM : l'environnement omniprésent/ don vehicule</t>
  </si>
  <si>
    <t xml:space="preserve"> Point à 18 h 30 :  la quasi-totalité des clients rétablis d'ici ce soir </t>
  </si>
  <si>
    <t>Cizos. CCPTM : l'environnement omniprésent</t>
  </si>
  <si>
    <t>30 dec</t>
  </si>
  <si>
    <t>intervention Christophe Cres presse</t>
  </si>
  <si>
    <t>7-dec</t>
  </si>
  <si>
    <t>Recharges en sous-sol</t>
  </si>
  <si>
    <t xml:space="preserve">Tempête BELLA/ Point à 12 h 00 :  foyers privés d'électricité </t>
  </si>
  <si>
    <t>Enfouissement du réseau électrique et fibre : ça avance</t>
  </si>
  <si>
    <t>Tempête BELLA/ Point à 9 h 00 : de nouveaux foyers privés d'électricité</t>
  </si>
  <si>
    <t>9-dec</t>
  </si>
  <si>
    <t>Modernisation du réseau électrique</t>
  </si>
  <si>
    <t>10-dec</t>
  </si>
  <si>
    <t>insertion encart Campagne securite sur le site internet / partenariat territoire</t>
  </si>
  <si>
    <t xml:space="preserve">Tempête BELLA/ Point à 09 h 00 :  foyers privés d'électricité </t>
  </si>
  <si>
    <t>Une semaine de chantier pour moderniser le réseau électrique</t>
  </si>
  <si>
    <t xml:space="preserve">Tempête BELLA/ Point à 18 H 30  : la quasi totalité des foyers rétablis </t>
  </si>
  <si>
    <t>5G, pour une opposition de la CAPB</t>
  </si>
  <si>
    <t>Béarn : une table ronde par semaine pour évoquer la transition énergétique</t>
  </si>
  <si>
    <t>3 tables rondes sur la transition énergétique</t>
  </si>
  <si>
    <t xml:space="preserve"> Des bornes de voitures électriques pour les voitures prévues dans l'éco-quartier du Séqué à Bayonne</t>
  </si>
  <si>
    <t>11-dec</t>
  </si>
  <si>
    <t>Le budget participatif au menu du Conseil Des coupures d'électricité</t>
  </si>
  <si>
    <t>Le réseau électrique fait peau neuve</t>
  </si>
  <si>
    <t>PI la tempete Bella = 5 mails presse</t>
  </si>
  <si>
    <t>Un chantier d’élagage atypique</t>
  </si>
  <si>
    <t xml:space="preserve">CAP EMPLOI </t>
  </si>
  <si>
    <t>Facebook</t>
  </si>
  <si>
    <t>Les petits débrouillards</t>
  </si>
  <si>
    <t>Travaux N Rue Pablo-Picasso</t>
  </si>
  <si>
    <t>Billère : un pôle médical dans les anciens locaux d'ERDF</t>
  </si>
  <si>
    <t>Chez le député contrele projet Hercule</t>
  </si>
  <si>
    <t>Le projet de pôle de santé sur les rails</t>
  </si>
  <si>
    <t>Dépense supplémentaire de 487,12€ pour la participation d’Enedis sur le dossier Baris.</t>
  </si>
  <si>
    <t>Le journal des entreprises</t>
  </si>
  <si>
    <t>Bagnères – Pommier : « C’est maintenant que se joue l’avenir des emplois et du groupe »</t>
  </si>
  <si>
    <t>Ils ont manifesté devant la permanence du député Jean-Bernard Sempastous</t>
  </si>
  <si>
    <t>L’association Comptoir des Services, créée en janvier 2019</t>
  </si>
  <si>
    <t>10 start-up du 64 et 65 en lice au concours Enedis</t>
  </si>
  <si>
    <t>ÉPREUVE D’ANDORRE éLITE PRO Classement « Course 1 ».- 1. A. Panis (Enedis Audi A1)</t>
  </si>
  <si>
    <t>Panis en tête de l’essaim de glace</t>
  </si>
  <si>
    <t>« Le projet Hercule a pour but de conforter EDF »</t>
  </si>
  <si>
    <t>Assemblée générale du Syndicat Départemental d’Energie</t>
  </si>
  <si>
    <t>Pyrénées-Atlantiques : dix entreprises sont en lice pour le concours Start-up Enedis</t>
  </si>
  <si>
    <t>Le Comptoir des Services aidé</t>
  </si>
  <si>
    <t>Projet Hercule : manifestation devant la permanence du député</t>
  </si>
  <si>
    <t>Video. Béarn : le grand mix des énergies renouvelables bien ordonné</t>
  </si>
  <si>
    <t>Une même envie pour plusieurs énergies</t>
  </si>
  <si>
    <t>Économie Quatre Bigourdans au concours « Start-up 2020 ». Quatre petites et moyennes entreprises</t>
  </si>
  <si>
    <t>Le long chemin vers le grand mix énergétique</t>
  </si>
  <si>
    <t>Tempête Bella : 80 techniciens d'Enedis mobilisés dans le Pays Basque</t>
  </si>
  <si>
    <t>Tempête Bella : une centaine d'agents d'Enedis mobilisés en Béarn et Bigorre</t>
  </si>
  <si>
    <t>pas suite à notre cp</t>
  </si>
  <si>
    <t>La tempête Bella poursuit sa route, plusieurs départements du Sud Ouest en alerte orange</t>
  </si>
  <si>
    <t>Tempête Bella : 400 foyers privés d'électricité dans les Pyrénées-Atlantiques</t>
  </si>
  <si>
    <t>Tempête Bella et chutes de neige : 18.000 foyers privés d'électricité</t>
  </si>
  <si>
    <t>Tempête Bella : les équipes Enedis pré-mobilisées</t>
  </si>
  <si>
    <t>Tempête Bella : premiers dégâts au Pays Basque, le pire attendu dans l'après-midi</t>
  </si>
  <si>
    <t>Tempête Bella au Pays Basque : « un spectacle magnifique »</t>
  </si>
  <si>
    <t xml:space="preserve">Selon Enedis, avec la tempête Bella, 34 000 foyers ont été privés d'électricité hier soir </t>
  </si>
  <si>
    <t>Selon Enedis, en Béarn, 150 foyers seraient privés de courant après le passage de la tempête Bella</t>
  </si>
  <si>
    <t>Enedis a pu réalimenter les foyers privés de courant dans plusieurs régions hier après le passage de la tempête de Bella</t>
  </si>
  <si>
    <t>[Brève] La tempête Bella prive 250 foyers privés d'électricité dans le Pays Basque</t>
  </si>
  <si>
    <t>29-dec</t>
  </si>
  <si>
    <t>Landes : 1 500 foyers toujours privés d'électricité ce midi</t>
  </si>
  <si>
    <t>Tempête Bella : le courant rétabli en Béarn, une centaine de foyers dans le noir au Pays basque</t>
  </si>
  <si>
    <t>Quelques dégâts après la tempête Bella</t>
  </si>
  <si>
    <t>Bella rime avec dégâts</t>
  </si>
  <si>
    <t>Tempête Bella : 1 200 foyers sans électricité ce mardi dans les Pyrénées-Atlantiques</t>
  </si>
  <si>
    <t>450 foyers encore privés d'électricité dans le 64 après le passage de la tempête Bella</t>
  </si>
  <si>
    <t>Pays basque : 250 foyers privés d'électricité par la tempête Bella</t>
  </si>
  <si>
    <t>Pyrénées-Atlantiques : 450 foyers privés d'électricité par la tempête Bella</t>
  </si>
  <si>
    <t>Tempête Bella : cinq départements toujours en vigilance orange</t>
  </si>
  <si>
    <t>Inondations dans les Landes : 38 routes coupées et 2000 foyers privés de courant</t>
  </si>
  <si>
    <t>Vidéo. Le long chemin vers le grand mix énergétique</t>
  </si>
  <si>
    <t xml:space="preserve"> Tempête BELLA/ Point à 9 h 00 : de nouveaux foyers privés d’électricité</t>
  </si>
  <si>
    <t>2000 foyers sont privés de courant dans les Landes en raison des vents violents</t>
  </si>
  <si>
    <t>Landes : 50 techniciens d'Enedis toujours mobilisés ce matin</t>
  </si>
  <si>
    <t>Tempête Bella : la situation s'améliore, plus que 200 foyers privés de courant en Béarn à midi</t>
  </si>
  <si>
    <t>Les équipes d’Enedis au travail</t>
  </si>
  <si>
    <t>L’électricité rendue à 250 foyers après la tempête Bella</t>
  </si>
  <si>
    <t>Les Landes restent en vigilance orange aux inondations ce mercredi</t>
  </si>
  <si>
    <t>Vidéo. Inondations dans les Landes : « Je n'ai jamais vu autant d'eau »</t>
  </si>
  <si>
    <t xml:space="preserve">Un véhicule électrique pour le CCAS et les Ehpad </t>
  </si>
  <si>
    <t>Dax : un véhicule électrique donné à la ville par Enedis</t>
  </si>
  <si>
    <t>Une entreprise de coaching très innovante</t>
  </si>
  <si>
    <t>Après la tempête Bella, gare maintenant aux avalanches</t>
  </si>
  <si>
    <t>Enedis a assuré hier que le courant serait rétabli dans la quasi-totalité des foyers sans électricité dans les Landes</t>
  </si>
  <si>
    <t>Electricité rétablie dans Pays Basque, 90 foyers restants dans les Landes</t>
  </si>
  <si>
    <t>Bella, la tempête à deu x vagues</t>
  </si>
  <si>
    <t>Dix entreprises en lice pour le concours Start-up Enedis 2020</t>
  </si>
  <si>
    <t>Le SDE mise sur les énergies renouvelables</t>
  </si>
  <si>
    <t>Seule la musique peut… radio don de vehicule</t>
  </si>
  <si>
    <t>28-dec</t>
  </si>
  <si>
    <t>Le fil d'info en continu de Dax, Mont de et Landes tempete bella</t>
  </si>
  <si>
    <t>Aquitaine.info</t>
  </si>
  <si>
    <t>Enedis remet un véhicule électrique à des Ehpad de Dax</t>
  </si>
  <si>
    <t>Landes info</t>
  </si>
  <si>
    <t>enedis et la te projet d entreprise supplement marc</t>
  </si>
  <si>
    <t>Nom</t>
  </si>
  <si>
    <t>Dpt</t>
  </si>
  <si>
    <t>Atomic Radio 40</t>
  </si>
  <si>
    <t>Atomic Radio 64</t>
  </si>
  <si>
    <t xml:space="preserve">Atomic Radio 65 </t>
  </si>
  <si>
    <t xml:space="preserve">CANAL VASCO
</t>
  </si>
  <si>
    <t>Chérie FM 40</t>
  </si>
  <si>
    <t>Chérie FM 65</t>
  </si>
  <si>
    <t>RADIO  Gure Iratia</t>
  </si>
  <si>
    <t>Radio 100% 40</t>
  </si>
  <si>
    <t>Radio 100% 64</t>
  </si>
  <si>
    <t>Radio 100% 65</t>
  </si>
  <si>
    <t xml:space="preserve">RADIO EITB </t>
  </si>
  <si>
    <t>Radio Inside 64</t>
  </si>
  <si>
    <t>RADIO LAPURDI</t>
  </si>
  <si>
    <t>RADIO MENDILLA</t>
  </si>
  <si>
    <t>Radio Mont de Matsan</t>
  </si>
  <si>
    <t>Radio Oloron</t>
  </si>
  <si>
    <t>Radio Présence</t>
  </si>
  <si>
    <t>Radio Vallee d'Aure</t>
  </si>
  <si>
    <t>Radio voix du Béarn</t>
  </si>
  <si>
    <t>RFM 40</t>
  </si>
  <si>
    <t>RFM 64</t>
  </si>
  <si>
    <t>RFM 65</t>
  </si>
  <si>
    <t>Virgin Radio 64</t>
  </si>
  <si>
    <t>Virgin Radio 65</t>
  </si>
  <si>
    <t>XIBEROKO BOTXA</t>
  </si>
  <si>
    <t>Bulletin Agricole des Hautes-Pyrénées</t>
  </si>
  <si>
    <t>La Gazette du Midi</t>
  </si>
  <si>
    <t>L'Avenir Agricole &amp; Viticole Aquitain 40</t>
  </si>
  <si>
    <t>L'Avenir Agricole &amp; Viticole Aquitain 64</t>
  </si>
  <si>
    <t>Le Journal de Saint Palais</t>
  </si>
  <si>
    <t>Le Miroir de la Soule</t>
  </si>
  <si>
    <t>Les annonces Landaises</t>
  </si>
  <si>
    <t>France 2 65</t>
  </si>
  <si>
    <t>France 3 65</t>
  </si>
  <si>
    <t>TV PI 40</t>
  </si>
  <si>
    <t>TV PI 64</t>
  </si>
  <si>
    <t>web tv landes</t>
  </si>
  <si>
    <t>Annonces Landaises</t>
  </si>
  <si>
    <t>annonces-landaises.com</t>
  </si>
  <si>
    <t>Aquitainefr 40</t>
  </si>
  <si>
    <t>aqui.fr</t>
  </si>
  <si>
    <t>Aquitainefr 65</t>
  </si>
  <si>
    <t>http://www.atomicradio.fr</t>
  </si>
  <si>
    <t>Atomic Radio 65</t>
  </si>
  <si>
    <t>Avenir Aquitaine 40</t>
  </si>
  <si>
    <t>www.avenir-aquitain.com</t>
  </si>
  <si>
    <t>Avenir Aquitaine 64</t>
  </si>
  <si>
    <t>https://entreprisesengagees64.info/</t>
  </si>
  <si>
    <t>Flash-Infos Nouvelle-Aquitaine Occitanie 64</t>
  </si>
  <si>
    <t>http://www.flash-infos.com/information-economique-sud-ouest/</t>
  </si>
  <si>
    <t>https://www.francebleu.fr/bearn</t>
  </si>
  <si>
    <t>www.francebleu.fr/gascogne</t>
  </si>
  <si>
    <t>France bleu pays pasque</t>
  </si>
  <si>
    <t>www.francebleu.fr/pays-basque</t>
  </si>
  <si>
    <t>Frequence Grand Lac</t>
  </si>
  <si>
    <t>www.frequencegrandslacs.fr</t>
  </si>
  <si>
    <t>HpYTV 40</t>
  </si>
  <si>
    <t>HpYTV la télé des pyrénées</t>
  </si>
  <si>
    <t>HpYTV 64</t>
  </si>
  <si>
    <t xml:space="preserve">HpYTV 65 </t>
  </si>
  <si>
    <t>la depeche .fr</t>
  </si>
  <si>
    <t>www.larepubliquedespyrenees.fr</t>
  </si>
  <si>
    <t>www.lasemainedespyrenees.fr</t>
  </si>
  <si>
    <t>www.la-semaine-du-pays-basque.com</t>
  </si>
  <si>
    <t>Le Courrier Français des Landes</t>
  </si>
  <si>
    <t>www.lepetitjournal.net</t>
  </si>
  <si>
    <t>www.lesillon.info</t>
  </si>
  <si>
    <t>Mediabask.fr</t>
  </si>
  <si>
    <t>www.nrpyrenees.fr</t>
  </si>
  <si>
    <t>objectif aquitaine 40</t>
  </si>
  <si>
    <t>objectifaquitaine.latribune.fr</t>
  </si>
  <si>
    <t>objectif aquitaine 64</t>
  </si>
  <si>
    <t>PressLib</t>
  </si>
  <si>
    <t>PressLib 64</t>
  </si>
  <si>
    <t>PressLib 65</t>
  </si>
  <si>
    <t>radio 100%</t>
  </si>
  <si>
    <t>Radio mont de Marsan</t>
  </si>
  <si>
    <t>https://www.radio-mdm.fr/</t>
  </si>
  <si>
    <t>Radio presence</t>
  </si>
  <si>
    <t>www.radiopresence.com</t>
  </si>
  <si>
    <t>www.sudouest.fr</t>
  </si>
  <si>
    <t>Tarbes/lourdes…info</t>
  </si>
  <si>
    <t>WebTV oloron</t>
  </si>
  <si>
    <t>WEB TV OLORON</t>
  </si>
  <si>
    <t>INTERNET</t>
  </si>
  <si>
    <t>Type</t>
  </si>
  <si>
    <t>WebTV Oloron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</si>
</sst>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93C90E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4"/>
      <color theme="2" tint="-0.89999084444715716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2"/>
      <color rgb="FF005EB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2"/>
      <color rgb="FFB7CE88"/>
      <name val="Calibri"/>
      <family val="2"/>
      <scheme val="minor"/>
    </font>
    <font>
      <sz val="12"/>
      <color rgb="FFB7CE8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00"/>
      <name val="Calibri"/>
      <family val="2"/>
    </font>
    <font>
      <sz val="14"/>
      <color rgb="FF0D0D0D"/>
      <name val="Calibri"/>
      <family val="2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u/>
      <sz val="8.4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 tint="4.9989318521683403E-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90E"/>
        <bgColor indexed="64"/>
      </patternFill>
    </fill>
    <fill>
      <patternFill patternType="solid">
        <fgColor rgb="FFCCE8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CBC5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B2B2B2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13" borderId="16" applyNumberFormat="0" applyAlignment="0" applyProtection="0"/>
    <xf numFmtId="0" fontId="47" fillId="32" borderId="54" applyNumberFormat="0" applyFont="0" applyAlignment="0" applyProtection="0"/>
    <xf numFmtId="0" fontId="4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50" fillId="34" borderId="16" applyNumberFormat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9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7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/>
    <xf numFmtId="0" fontId="0" fillId="8" borderId="1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9" fillId="8" borderId="15" xfId="0" applyFont="1" applyFill="1" applyBorder="1" applyAlignment="1">
      <alignment vertical="center" wrapText="1"/>
    </xf>
    <xf numFmtId="0" fontId="0" fillId="8" borderId="15" xfId="0" applyFill="1" applyBorder="1" applyAlignment="1">
      <alignment horizontal="center" vertical="center"/>
    </xf>
    <xf numFmtId="0" fontId="0" fillId="8" borderId="8" xfId="0" applyFill="1" applyBorder="1"/>
    <xf numFmtId="0" fontId="0" fillId="10" borderId="0" xfId="0" applyFill="1" applyBorder="1" applyAlignment="1">
      <alignment vertical="center"/>
    </xf>
    <xf numFmtId="0" fontId="21" fillId="9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Border="1"/>
    <xf numFmtId="0" fontId="0" fillId="15" borderId="0" xfId="0" applyFill="1" applyAlignment="1">
      <alignment textRotation="180"/>
    </xf>
    <xf numFmtId="0" fontId="9" fillId="15" borderId="0" xfId="0" applyFont="1" applyFill="1" applyBorder="1" applyAlignment="1">
      <alignment vertical="center" textRotation="180" wrapText="1"/>
    </xf>
    <xf numFmtId="0" fontId="9" fillId="15" borderId="0" xfId="0" applyFont="1" applyFill="1" applyBorder="1" applyAlignment="1">
      <alignment vertical="center" wrapText="1"/>
    </xf>
    <xf numFmtId="0" fontId="3" fillId="15" borderId="0" xfId="0" applyFont="1" applyFill="1" applyBorder="1" applyAlignment="1">
      <alignment vertical="center" textRotation="180"/>
    </xf>
    <xf numFmtId="0" fontId="0" fillId="15" borderId="0" xfId="0" applyFill="1" applyBorder="1" applyAlignment="1">
      <alignment vertical="center" textRotation="180"/>
    </xf>
    <xf numFmtId="0" fontId="0" fillId="15" borderId="0" xfId="0" applyFill="1" applyBorder="1" applyAlignment="1">
      <alignment horizontal="center" vertical="center" textRotation="180"/>
    </xf>
    <xf numFmtId="0" fontId="3" fillId="15" borderId="0" xfId="0" applyFont="1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0" fontId="0" fillId="15" borderId="0" xfId="0" applyFill="1" applyBorder="1" applyAlignment="1">
      <alignment vertical="center" wrapText="1"/>
    </xf>
    <xf numFmtId="0" fontId="0" fillId="15" borderId="0" xfId="0" applyFont="1" applyFill="1" applyBorder="1" applyAlignment="1">
      <alignment horizontal="left" vertical="center" wrapText="1"/>
    </xf>
    <xf numFmtId="0" fontId="0" fillId="15" borderId="0" xfId="0" applyFill="1" applyBorder="1" applyAlignment="1">
      <alignment horizontal="left" vertical="center" wrapText="1"/>
    </xf>
    <xf numFmtId="0" fontId="0" fillId="15" borderId="0" xfId="0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vertical="center"/>
    </xf>
    <xf numFmtId="0" fontId="9" fillId="15" borderId="0" xfId="0" applyFont="1" applyFill="1" applyBorder="1" applyAlignment="1">
      <alignment vertical="center"/>
    </xf>
    <xf numFmtId="0" fontId="11" fillId="15" borderId="0" xfId="0" applyFont="1" applyFill="1" applyBorder="1" applyAlignment="1">
      <alignment horizontal="center" vertical="center"/>
    </xf>
    <xf numFmtId="17" fontId="0" fillId="8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0" fillId="15" borderId="0" xfId="0" applyFill="1" applyBorder="1" applyAlignment="1">
      <alignment wrapText="1"/>
    </xf>
    <xf numFmtId="0" fontId="0" fillId="15" borderId="0" xfId="0" applyFont="1" applyFill="1" applyBorder="1" applyAlignment="1">
      <alignment horizontal="left" wrapText="1"/>
    </xf>
    <xf numFmtId="0" fontId="0" fillId="15" borderId="0" xfId="0" applyFont="1" applyFill="1" applyBorder="1" applyAlignment="1">
      <alignment wrapText="1"/>
    </xf>
    <xf numFmtId="0" fontId="0" fillId="8" borderId="0" xfId="0" applyFill="1" applyBorder="1"/>
    <xf numFmtId="0" fontId="9" fillId="8" borderId="0" xfId="0" applyFont="1" applyFill="1" applyBorder="1" applyAlignment="1">
      <alignment vertical="center" wrapText="1"/>
    </xf>
    <xf numFmtId="0" fontId="10" fillId="8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0" fillId="8" borderId="15" xfId="0" applyFill="1" applyBorder="1"/>
    <xf numFmtId="0" fontId="3" fillId="8" borderId="10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8" fillId="8" borderId="6" xfId="0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28" fillId="19" borderId="4" xfId="0" applyFont="1" applyFill="1" applyBorder="1" applyAlignment="1">
      <alignment horizontal="center" vertical="center"/>
    </xf>
    <xf numFmtId="0" fontId="18" fillId="19" borderId="17" xfId="0" applyFont="1" applyFill="1" applyBorder="1" applyAlignment="1">
      <alignment horizontal="center" vertical="center"/>
    </xf>
    <xf numFmtId="0" fontId="28" fillId="19" borderId="3" xfId="0" applyFont="1" applyFill="1" applyBorder="1" applyAlignment="1">
      <alignment horizontal="center" vertical="center"/>
    </xf>
    <xf numFmtId="0" fontId="28" fillId="19" borderId="17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0" fillId="22" borderId="15" xfId="0" applyFill="1" applyBorder="1" applyAlignment="1">
      <alignment horizontal="center" vertical="center"/>
    </xf>
    <xf numFmtId="0" fontId="9" fillId="22" borderId="15" xfId="0" applyFont="1" applyFill="1" applyBorder="1" applyAlignment="1">
      <alignment vertical="center" wrapText="1"/>
    </xf>
    <xf numFmtId="0" fontId="0" fillId="22" borderId="15" xfId="0" applyFill="1" applyBorder="1"/>
    <xf numFmtId="0" fontId="0" fillId="22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9" fillId="22" borderId="22" xfId="0" applyFont="1" applyFill="1" applyBorder="1" applyAlignment="1">
      <alignment vertical="center" wrapText="1"/>
    </xf>
    <xf numFmtId="0" fontId="0" fillId="22" borderId="17" xfId="0" applyFill="1" applyBorder="1"/>
    <xf numFmtId="0" fontId="0" fillId="22" borderId="5" xfId="0" applyFill="1" applyBorder="1"/>
    <xf numFmtId="0" fontId="9" fillId="22" borderId="5" xfId="0" applyFont="1" applyFill="1" applyBorder="1" applyAlignment="1">
      <alignment horizontal="center" vertical="center" wrapText="1"/>
    </xf>
    <xf numFmtId="0" fontId="9" fillId="22" borderId="4" xfId="0" applyFont="1" applyFill="1" applyBorder="1" applyAlignment="1">
      <alignment horizontal="center" vertical="center" wrapText="1"/>
    </xf>
    <xf numFmtId="0" fontId="10" fillId="20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14" fillId="15" borderId="0" xfId="0" applyFont="1" applyFill="1" applyAlignment="1">
      <alignment vertical="center" textRotation="180"/>
    </xf>
    <xf numFmtId="0" fontId="14" fillId="15" borderId="0" xfId="0" applyFont="1" applyFill="1" applyBorder="1" applyAlignment="1">
      <alignment vertical="center" textRotation="180"/>
    </xf>
    <xf numFmtId="0" fontId="3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ont="1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10" xfId="0" applyFont="1" applyFill="1" applyBorder="1" applyAlignment="1">
      <alignment horizontal="left" wrapText="1"/>
    </xf>
    <xf numFmtId="0" fontId="0" fillId="8" borderId="9" xfId="0" applyFill="1" applyBorder="1" applyAlignment="1">
      <alignment vertical="center"/>
    </xf>
    <xf numFmtId="0" fontId="34" fillId="8" borderId="1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0" fillId="3" borderId="19" xfId="0" applyFill="1" applyBorder="1"/>
    <xf numFmtId="0" fontId="10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/>
    <xf numFmtId="0" fontId="10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3" borderId="22" xfId="0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vertical="center" wrapText="1"/>
    </xf>
    <xf numFmtId="0" fontId="0" fillId="3" borderId="14" xfId="0" applyFill="1" applyBorder="1"/>
    <xf numFmtId="0" fontId="9" fillId="3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vertical="center" wrapText="1"/>
    </xf>
    <xf numFmtId="0" fontId="9" fillId="8" borderId="0" xfId="0" applyFont="1" applyFill="1" applyBorder="1" applyAlignment="1">
      <alignment horizontal="center" vertical="center"/>
    </xf>
    <xf numFmtId="0" fontId="31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horizontal="center" vertical="center"/>
    </xf>
    <xf numFmtId="0" fontId="29" fillId="25" borderId="1" xfId="0" applyFont="1" applyFill="1" applyBorder="1" applyAlignment="1">
      <alignment horizontal="center" vertical="center"/>
    </xf>
    <xf numFmtId="0" fontId="31" fillId="14" borderId="28" xfId="0" applyFont="1" applyFill="1" applyBorder="1" applyAlignment="1">
      <alignment horizontal="center" vertical="center"/>
    </xf>
    <xf numFmtId="0" fontId="31" fillId="14" borderId="29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37" fillId="21" borderId="25" xfId="0" applyFont="1" applyFill="1" applyBorder="1" applyAlignment="1">
      <alignment horizontal="center" vertical="center"/>
    </xf>
    <xf numFmtId="0" fontId="37" fillId="21" borderId="26" xfId="0" applyFont="1" applyFill="1" applyBorder="1" applyAlignment="1">
      <alignment horizontal="center" vertical="center"/>
    </xf>
    <xf numFmtId="0" fontId="9" fillId="14" borderId="27" xfId="0" applyFont="1" applyFill="1" applyBorder="1" applyAlignment="1">
      <alignment horizontal="center" vertical="center"/>
    </xf>
    <xf numFmtId="0" fontId="13" fillId="14" borderId="28" xfId="0" applyFont="1" applyFill="1" applyBorder="1" applyAlignment="1">
      <alignment horizontal="center" vertical="center"/>
    </xf>
    <xf numFmtId="0" fontId="38" fillId="14" borderId="28" xfId="0" applyFont="1" applyFill="1" applyBorder="1" applyAlignment="1">
      <alignment horizontal="center" vertical="center"/>
    </xf>
    <xf numFmtId="0" fontId="13" fillId="16" borderId="30" xfId="0" applyFont="1" applyFill="1" applyBorder="1" applyAlignment="1">
      <alignment horizontal="center" vertical="center"/>
    </xf>
    <xf numFmtId="0" fontId="28" fillId="8" borderId="30" xfId="0" applyFont="1" applyFill="1" applyBorder="1" applyAlignment="1">
      <alignment horizontal="center" vertical="center"/>
    </xf>
    <xf numFmtId="0" fontId="34" fillId="21" borderId="25" xfId="0" applyFont="1" applyFill="1" applyBorder="1" applyAlignment="1">
      <alignment horizontal="center" vertical="center"/>
    </xf>
    <xf numFmtId="0" fontId="33" fillId="21" borderId="26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29" fillId="5" borderId="30" xfId="0" applyFont="1" applyFill="1" applyBorder="1" applyAlignment="1">
      <alignment horizontal="center" vertical="center"/>
    </xf>
    <xf numFmtId="0" fontId="19" fillId="15" borderId="30" xfId="0" applyFont="1" applyFill="1" applyBorder="1" applyAlignment="1">
      <alignment horizontal="center" vertical="center"/>
    </xf>
    <xf numFmtId="0" fontId="19" fillId="21" borderId="25" xfId="0" applyFont="1" applyFill="1" applyBorder="1" applyAlignment="1">
      <alignment horizontal="center" vertical="center"/>
    </xf>
    <xf numFmtId="0" fontId="19" fillId="21" borderId="26" xfId="0" applyFont="1" applyFill="1" applyBorder="1" applyAlignment="1">
      <alignment horizontal="center" vertical="center"/>
    </xf>
    <xf numFmtId="0" fontId="28" fillId="19" borderId="30" xfId="0" applyFont="1" applyFill="1" applyBorder="1" applyAlignment="1">
      <alignment horizontal="center" vertical="center"/>
    </xf>
    <xf numFmtId="0" fontId="0" fillId="15" borderId="30" xfId="0" applyFont="1" applyFill="1" applyBorder="1" applyAlignment="1">
      <alignment horizontal="center" vertical="center"/>
    </xf>
    <xf numFmtId="0" fontId="9" fillId="9" borderId="31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26" borderId="25" xfId="0" applyFont="1" applyFill="1" applyBorder="1" applyAlignment="1">
      <alignment horizontal="center" vertical="center"/>
    </xf>
    <xf numFmtId="0" fontId="9" fillId="14" borderId="32" xfId="0" applyFont="1" applyFill="1" applyBorder="1" applyAlignment="1">
      <alignment horizontal="center" vertical="center"/>
    </xf>
    <xf numFmtId="0" fontId="38" fillId="12" borderId="26" xfId="0" applyFont="1" applyFill="1" applyBorder="1" applyAlignment="1">
      <alignment horizontal="center" vertical="center"/>
    </xf>
    <xf numFmtId="0" fontId="38" fillId="12" borderId="28" xfId="0" applyFont="1" applyFill="1" applyBorder="1" applyAlignment="1">
      <alignment horizontal="center" vertical="center"/>
    </xf>
    <xf numFmtId="0" fontId="38" fillId="12" borderId="29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32" fillId="19" borderId="30" xfId="0" applyFont="1" applyFill="1" applyBorder="1" applyAlignment="1">
      <alignment horizontal="center" vertical="center"/>
    </xf>
    <xf numFmtId="0" fontId="33" fillId="8" borderId="30" xfId="0" applyFont="1" applyFill="1" applyBorder="1" applyAlignment="1">
      <alignment horizontal="center" vertical="center"/>
    </xf>
    <xf numFmtId="0" fontId="34" fillId="8" borderId="30" xfId="0" applyFont="1" applyFill="1" applyBorder="1" applyAlignment="1">
      <alignment horizontal="center" vertical="center"/>
    </xf>
    <xf numFmtId="0" fontId="33" fillId="8" borderId="25" xfId="0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center"/>
    </xf>
    <xf numFmtId="0" fontId="20" fillId="14" borderId="28" xfId="0" applyFont="1" applyFill="1" applyBorder="1" applyAlignment="1">
      <alignment horizontal="center" vertical="center"/>
    </xf>
    <xf numFmtId="0" fontId="39" fillId="14" borderId="28" xfId="0" applyFont="1" applyFill="1" applyBorder="1" applyAlignment="1">
      <alignment horizontal="center" vertical="center"/>
    </xf>
    <xf numFmtId="0" fontId="37" fillId="8" borderId="30" xfId="0" applyFont="1" applyFill="1" applyBorder="1" applyAlignment="1">
      <alignment horizontal="center" vertical="center"/>
    </xf>
    <xf numFmtId="0" fontId="37" fillId="8" borderId="25" xfId="0" applyFont="1" applyFill="1" applyBorder="1" applyAlignment="1">
      <alignment horizontal="center" vertical="center"/>
    </xf>
    <xf numFmtId="0" fontId="28" fillId="8" borderId="26" xfId="0" applyFont="1" applyFill="1" applyBorder="1" applyAlignment="1">
      <alignment horizontal="center" vertical="center"/>
    </xf>
    <xf numFmtId="0" fontId="37" fillId="8" borderId="26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18" fillId="19" borderId="36" xfId="0" applyFont="1" applyFill="1" applyBorder="1" applyAlignment="1">
      <alignment horizontal="center" vertical="center"/>
    </xf>
    <xf numFmtId="0" fontId="18" fillId="19" borderId="30" xfId="0" applyFont="1" applyFill="1" applyBorder="1" applyAlignment="1">
      <alignment horizontal="center" vertical="center"/>
    </xf>
    <xf numFmtId="0" fontId="28" fillId="8" borderId="36" xfId="0" applyFont="1" applyFill="1" applyBorder="1" applyAlignment="1">
      <alignment horizontal="center" vertical="center"/>
    </xf>
    <xf numFmtId="0" fontId="28" fillId="19" borderId="36" xfId="0" applyFont="1" applyFill="1" applyBorder="1" applyAlignment="1">
      <alignment horizontal="center" vertical="center"/>
    </xf>
    <xf numFmtId="0" fontId="33" fillId="8" borderId="26" xfId="0" applyFont="1" applyFill="1" applyBorder="1" applyAlignment="1">
      <alignment horizontal="center" vertical="center"/>
    </xf>
    <xf numFmtId="0" fontId="9" fillId="9" borderId="31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10" fillId="20" borderId="26" xfId="0" applyFont="1" applyFill="1" applyBorder="1" applyAlignment="1">
      <alignment horizontal="center" vertical="center" wrapText="1"/>
    </xf>
    <xf numFmtId="0" fontId="10" fillId="20" borderId="28" xfId="0" applyFont="1" applyFill="1" applyBorder="1" applyAlignment="1">
      <alignment horizontal="center" vertical="center" wrapText="1"/>
    </xf>
    <xf numFmtId="0" fontId="10" fillId="20" borderId="29" xfId="0" applyFont="1" applyFill="1" applyBorder="1" applyAlignment="1">
      <alignment horizontal="center" vertical="center" wrapText="1"/>
    </xf>
    <xf numFmtId="0" fontId="0" fillId="15" borderId="0" xfId="0" applyFill="1" applyAlignment="1">
      <alignment horizontal="left"/>
    </xf>
    <xf numFmtId="0" fontId="0" fillId="15" borderId="0" xfId="0" applyFill="1" applyAlignment="1">
      <alignment wrapText="1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vertical="center" wrapText="1"/>
    </xf>
    <xf numFmtId="49" fontId="27" fillId="15" borderId="0" xfId="0" applyNumberFormat="1" applyFont="1" applyFill="1" applyBorder="1" applyAlignment="1">
      <alignment vertical="center"/>
    </xf>
    <xf numFmtId="0" fontId="0" fillId="15" borderId="0" xfId="0" applyFill="1" applyAlignment="1">
      <alignment horizontal="center" vertical="center"/>
    </xf>
    <xf numFmtId="16" fontId="0" fillId="15" borderId="0" xfId="0" applyNumberFormat="1" applyFill="1" applyAlignment="1">
      <alignment horizontal="left"/>
    </xf>
    <xf numFmtId="46" fontId="0" fillId="15" borderId="0" xfId="0" applyNumberFormat="1" applyFill="1" applyAlignment="1">
      <alignment vertical="center"/>
    </xf>
    <xf numFmtId="0" fontId="0" fillId="15" borderId="0" xfId="0" applyFont="1" applyFill="1"/>
    <xf numFmtId="0" fontId="0" fillId="15" borderId="0" xfId="0" applyFont="1" applyFill="1" applyAlignment="1">
      <alignment vertical="center"/>
    </xf>
    <xf numFmtId="0" fontId="0" fillId="15" borderId="0" xfId="0" applyFont="1" applyFill="1" applyAlignment="1">
      <alignment horizontal="center" vertical="center"/>
    </xf>
    <xf numFmtId="49" fontId="27" fillId="15" borderId="0" xfId="0" applyNumberFormat="1" applyFont="1" applyFill="1" applyBorder="1" applyAlignment="1">
      <alignment horizontal="center" vertical="center"/>
    </xf>
    <xf numFmtId="0" fontId="0" fillId="8" borderId="14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27" fillId="8" borderId="12" xfId="0" applyNumberFormat="1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14" xfId="0" applyFill="1" applyBorder="1" applyAlignment="1">
      <alignment vertical="center" wrapText="1"/>
    </xf>
    <xf numFmtId="0" fontId="0" fillId="8" borderId="8" xfId="0" applyFill="1" applyBorder="1" applyAlignment="1">
      <alignment vertical="center"/>
    </xf>
    <xf numFmtId="16" fontId="0" fillId="8" borderId="10" xfId="0" applyNumberFormat="1" applyFill="1" applyBorder="1" applyAlignment="1">
      <alignment horizontal="left"/>
    </xf>
    <xf numFmtId="0" fontId="0" fillId="8" borderId="10" xfId="0" applyFill="1" applyBorder="1" applyAlignment="1">
      <alignment wrapText="1"/>
    </xf>
    <xf numFmtId="0" fontId="0" fillId="8" borderId="10" xfId="0" applyFill="1" applyBorder="1" applyAlignment="1">
      <alignment horizontal="center"/>
    </xf>
    <xf numFmtId="0" fontId="0" fillId="8" borderId="10" xfId="0" applyFill="1" applyBorder="1"/>
    <xf numFmtId="0" fontId="0" fillId="8" borderId="10" xfId="0" applyFill="1" applyBorder="1" applyAlignment="1">
      <alignment horizontal="left"/>
    </xf>
    <xf numFmtId="0" fontId="0" fillId="8" borderId="0" xfId="0" applyFill="1" applyBorder="1" applyAlignment="1">
      <alignment vertical="center"/>
    </xf>
    <xf numFmtId="16" fontId="0" fillId="8" borderId="0" xfId="0" applyNumberFormat="1" applyFill="1" applyBorder="1" applyAlignment="1">
      <alignment horizontal="left"/>
    </xf>
    <xf numFmtId="0" fontId="0" fillId="8" borderId="0" xfId="0" applyFill="1" applyBorder="1" applyAlignment="1">
      <alignment horizontal="left" vertical="center"/>
    </xf>
    <xf numFmtId="49" fontId="27" fillId="8" borderId="12" xfId="0" applyNumberFormat="1" applyFont="1" applyFill="1" applyBorder="1" applyAlignment="1">
      <alignment vertical="center"/>
    </xf>
    <xf numFmtId="0" fontId="0" fillId="8" borderId="15" xfId="0" applyFill="1" applyBorder="1" applyAlignment="1">
      <alignment horizontal="left" vertical="center"/>
    </xf>
    <xf numFmtId="16" fontId="0" fillId="8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0" fontId="0" fillId="15" borderId="0" xfId="0" applyFont="1" applyFill="1" applyBorder="1"/>
    <xf numFmtId="0" fontId="23" fillId="2" borderId="12" xfId="199" applyFont="1" applyFill="1" applyBorder="1" applyAlignment="1" applyProtection="1">
      <alignment horizontal="center" vertical="center"/>
    </xf>
    <xf numFmtId="0" fontId="23" fillId="2" borderId="13" xfId="199" applyFont="1" applyFill="1" applyBorder="1" applyAlignment="1" applyProtection="1">
      <alignment horizontal="center" vertical="center"/>
    </xf>
    <xf numFmtId="0" fontId="14" fillId="15" borderId="0" xfId="0" applyFont="1" applyFill="1" applyAlignment="1">
      <alignment horizontal="center" vertical="center" textRotation="180"/>
    </xf>
    <xf numFmtId="0" fontId="3" fillId="15" borderId="0" xfId="0" applyFont="1" applyFill="1" applyBorder="1" applyAlignment="1">
      <alignment horizontal="center" vertical="center"/>
    </xf>
    <xf numFmtId="0" fontId="40" fillId="9" borderId="32" xfId="0" applyFont="1" applyFill="1" applyBorder="1" applyAlignment="1">
      <alignment horizontal="left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left" vertical="center"/>
    </xf>
    <xf numFmtId="0" fontId="23" fillId="9" borderId="13" xfId="0" applyFont="1" applyFill="1" applyBorder="1" applyAlignment="1">
      <alignment horizontal="center" vertical="center" wrapText="1"/>
    </xf>
    <xf numFmtId="0" fontId="23" fillId="14" borderId="44" xfId="0" applyFont="1" applyFill="1" applyBorder="1" applyAlignment="1">
      <alignment horizontal="center" vertical="center"/>
    </xf>
    <xf numFmtId="0" fontId="23" fillId="14" borderId="41" xfId="0" applyFont="1" applyFill="1" applyBorder="1" applyAlignment="1">
      <alignment horizontal="center" vertical="center"/>
    </xf>
    <xf numFmtId="1" fontId="0" fillId="15" borderId="0" xfId="0" applyNumberFormat="1" applyFill="1" applyAlignment="1">
      <alignment horizontal="left"/>
    </xf>
    <xf numFmtId="1" fontId="27" fillId="15" borderId="0" xfId="0" applyNumberFormat="1" applyFont="1" applyFill="1" applyBorder="1" applyAlignment="1">
      <alignment horizontal="center" vertical="center"/>
    </xf>
    <xf numFmtId="1" fontId="27" fillId="8" borderId="12" xfId="0" applyNumberFormat="1" applyFont="1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/>
    </xf>
    <xf numFmtId="1" fontId="0" fillId="15" borderId="0" xfId="0" applyNumberFormat="1" applyFill="1" applyAlignment="1">
      <alignment vertical="center"/>
    </xf>
    <xf numFmtId="1" fontId="0" fillId="15" borderId="0" xfId="0" applyNumberFormat="1" applyFill="1" applyAlignment="1">
      <alignment horizontal="center"/>
    </xf>
    <xf numFmtId="1" fontId="0" fillId="0" borderId="0" xfId="0" applyNumberFormat="1" applyAlignment="1">
      <alignment horizontal="left"/>
    </xf>
    <xf numFmtId="0" fontId="21" fillId="9" borderId="3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vertical="center"/>
    </xf>
    <xf numFmtId="0" fontId="0" fillId="15" borderId="0" xfId="0" applyFont="1" applyFill="1" applyBorder="1" applyAlignment="1">
      <alignment vertical="center" textRotation="90"/>
    </xf>
    <xf numFmtId="49" fontId="27" fillId="8" borderId="0" xfId="0" applyNumberFormat="1" applyFont="1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vertical="center"/>
    </xf>
    <xf numFmtId="0" fontId="24" fillId="10" borderId="45" xfId="0" applyFont="1" applyFill="1" applyBorder="1" applyAlignment="1">
      <alignment horizontal="right" vertical="center" wrapText="1"/>
    </xf>
    <xf numFmtId="0" fontId="24" fillId="10" borderId="34" xfId="0" applyFont="1" applyFill="1" applyBorder="1" applyAlignment="1">
      <alignment horizontal="right" vertical="center" wrapText="1"/>
    </xf>
    <xf numFmtId="0" fontId="24" fillId="10" borderId="46" xfId="0" applyFont="1" applyFill="1" applyBorder="1" applyAlignment="1">
      <alignment horizontal="right" vertical="center" wrapText="1"/>
    </xf>
    <xf numFmtId="0" fontId="0" fillId="8" borderId="0" xfId="0" applyFill="1" applyAlignment="1">
      <alignment vertical="center"/>
    </xf>
    <xf numFmtId="0" fontId="25" fillId="9" borderId="13" xfId="199" applyFont="1" applyFill="1" applyBorder="1" applyAlignment="1" applyProtection="1">
      <alignment horizontal="center" vertical="center"/>
    </xf>
    <xf numFmtId="0" fontId="0" fillId="23" borderId="37" xfId="0" applyFill="1" applyBorder="1" applyAlignment="1">
      <alignment horizontal="center" vertical="center"/>
    </xf>
    <xf numFmtId="0" fontId="0" fillId="25" borderId="11" xfId="0" applyFill="1" applyBorder="1" applyAlignment="1">
      <alignment vertical="center"/>
    </xf>
    <xf numFmtId="0" fontId="0" fillId="25" borderId="13" xfId="0" applyFill="1" applyBorder="1" applyAlignment="1">
      <alignment vertical="center"/>
    </xf>
    <xf numFmtId="0" fontId="8" fillId="10" borderId="15" xfId="0" applyFont="1" applyFill="1" applyBorder="1"/>
    <xf numFmtId="0" fontId="0" fillId="25" borderId="14" xfId="0" applyFont="1" applyFill="1" applyBorder="1" applyAlignment="1">
      <alignment horizontal="left" vertical="center" wrapText="1"/>
    </xf>
    <xf numFmtId="0" fontId="0" fillId="10" borderId="0" xfId="0" applyFill="1" applyBorder="1"/>
    <xf numFmtId="0" fontId="0" fillId="23" borderId="39" xfId="0" applyFill="1" applyBorder="1" applyAlignment="1">
      <alignment horizontal="center" vertical="center"/>
    </xf>
    <xf numFmtId="0" fontId="3" fillId="10" borderId="0" xfId="0" applyFont="1" applyFill="1" applyBorder="1" applyAlignment="1">
      <alignment vertical="center"/>
    </xf>
    <xf numFmtId="0" fontId="41" fillId="25" borderId="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left" vertical="center" wrapText="1"/>
    </xf>
    <xf numFmtId="0" fontId="0" fillId="10" borderId="10" xfId="0" applyFill="1" applyBorder="1" applyAlignment="1">
      <alignment vertical="center"/>
    </xf>
    <xf numFmtId="0" fontId="0" fillId="10" borderId="10" xfId="0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vertical="center" textRotation="180"/>
    </xf>
    <xf numFmtId="0" fontId="0" fillId="10" borderId="9" xfId="0" applyFill="1" applyBorder="1"/>
    <xf numFmtId="0" fontId="0" fillId="10" borderId="15" xfId="0" applyFill="1" applyBorder="1" applyAlignment="1">
      <alignment horizontal="center"/>
    </xf>
    <xf numFmtId="0" fontId="42" fillId="8" borderId="26" xfId="0" applyFont="1" applyFill="1" applyBorder="1" applyAlignment="1">
      <alignment horizontal="center" vertical="center"/>
    </xf>
    <xf numFmtId="0" fontId="42" fillId="8" borderId="30" xfId="0" applyFont="1" applyFill="1" applyBorder="1" applyAlignment="1">
      <alignment horizontal="center" vertical="center"/>
    </xf>
    <xf numFmtId="0" fontId="42" fillId="8" borderId="25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  <xf numFmtId="0" fontId="42" fillId="8" borderId="26" xfId="0" applyNumberFormat="1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textRotation="90"/>
    </xf>
    <xf numFmtId="0" fontId="19" fillId="0" borderId="36" xfId="0" applyFont="1" applyFill="1" applyBorder="1" applyAlignment="1">
      <alignment horizontal="center" vertical="center"/>
    </xf>
    <xf numFmtId="0" fontId="19" fillId="8" borderId="26" xfId="0" applyFont="1" applyFill="1" applyBorder="1" applyAlignment="1">
      <alignment horizontal="center" vertical="center"/>
    </xf>
    <xf numFmtId="0" fontId="0" fillId="25" borderId="42" xfId="0" applyFill="1" applyBorder="1" applyAlignment="1">
      <alignment vertical="center"/>
    </xf>
    <xf numFmtId="0" fontId="0" fillId="25" borderId="40" xfId="0" applyFill="1" applyBorder="1" applyAlignment="1">
      <alignment vertical="center"/>
    </xf>
    <xf numFmtId="0" fontId="38" fillId="12" borderId="32" xfId="0" applyFont="1" applyFill="1" applyBorder="1" applyAlignment="1">
      <alignment horizontal="center" vertical="center"/>
    </xf>
    <xf numFmtId="0" fontId="38" fillId="12" borderId="27" xfId="0" applyFont="1" applyFill="1" applyBorder="1" applyAlignment="1">
      <alignment horizontal="center" vertical="center"/>
    </xf>
    <xf numFmtId="0" fontId="0" fillId="15" borderId="31" xfId="0" applyFont="1" applyFill="1" applyBorder="1" applyAlignment="1">
      <alignment horizontal="center" vertical="center"/>
    </xf>
    <xf numFmtId="0" fontId="0" fillId="15" borderId="25" xfId="0" applyFont="1" applyFill="1" applyBorder="1" applyAlignment="1">
      <alignment horizontal="center" vertical="center"/>
    </xf>
    <xf numFmtId="0" fontId="0" fillId="15" borderId="32" xfId="0" applyFont="1" applyFill="1" applyBorder="1" applyAlignment="1">
      <alignment horizontal="center" vertical="center"/>
    </xf>
    <xf numFmtId="0" fontId="0" fillId="15" borderId="26" xfId="0" applyFont="1" applyFill="1" applyBorder="1" applyAlignment="1">
      <alignment horizontal="center" vertical="center"/>
    </xf>
    <xf numFmtId="0" fontId="31" fillId="14" borderId="27" xfId="0" applyFont="1" applyFill="1" applyBorder="1" applyAlignment="1">
      <alignment horizontal="center" vertical="center"/>
    </xf>
    <xf numFmtId="0" fontId="19" fillId="15" borderId="31" xfId="0" applyFont="1" applyFill="1" applyBorder="1" applyAlignment="1">
      <alignment horizontal="center" vertical="center"/>
    </xf>
    <xf numFmtId="0" fontId="19" fillId="15" borderId="25" xfId="0" applyFont="1" applyFill="1" applyBorder="1" applyAlignment="1">
      <alignment horizontal="center" vertical="center"/>
    </xf>
    <xf numFmtId="0" fontId="19" fillId="15" borderId="32" xfId="0" applyFont="1" applyFill="1" applyBorder="1" applyAlignment="1">
      <alignment horizontal="center" vertical="center"/>
    </xf>
    <xf numFmtId="0" fontId="19" fillId="15" borderId="26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32" xfId="0" applyFont="1" applyFill="1" applyBorder="1" applyAlignment="1">
      <alignment horizontal="center" vertical="center"/>
    </xf>
    <xf numFmtId="0" fontId="19" fillId="8" borderId="32" xfId="0" applyFont="1" applyFill="1" applyBorder="1" applyAlignment="1">
      <alignment horizontal="center" vertical="center"/>
    </xf>
    <xf numFmtId="0" fontId="31" fillId="14" borderId="53" xfId="0" applyFont="1" applyFill="1" applyBorder="1" applyAlignment="1">
      <alignment horizontal="center" vertical="center"/>
    </xf>
    <xf numFmtId="0" fontId="33" fillId="8" borderId="31" xfId="0" applyFont="1" applyFill="1" applyBorder="1" applyAlignment="1">
      <alignment horizontal="center" vertical="center"/>
    </xf>
    <xf numFmtId="0" fontId="34" fillId="8" borderId="25" xfId="0" applyFont="1" applyFill="1" applyBorder="1" applyAlignment="1">
      <alignment horizontal="center" vertical="center"/>
    </xf>
    <xf numFmtId="0" fontId="33" fillId="8" borderId="32" xfId="0" applyFont="1" applyFill="1" applyBorder="1" applyAlignment="1">
      <alignment horizontal="center" vertical="center"/>
    </xf>
    <xf numFmtId="0" fontId="28" fillId="8" borderId="31" xfId="0" applyFont="1" applyFill="1" applyBorder="1" applyAlignment="1">
      <alignment horizontal="center" vertical="center"/>
    </xf>
    <xf numFmtId="0" fontId="28" fillId="8" borderId="35" xfId="0" applyFont="1" applyFill="1" applyBorder="1" applyAlignment="1">
      <alignment horizontal="center" vertical="center"/>
    </xf>
    <xf numFmtId="0" fontId="37" fillId="8" borderId="51" xfId="0" applyFont="1" applyFill="1" applyBorder="1" applyAlignment="1">
      <alignment horizontal="center" vertical="center"/>
    </xf>
    <xf numFmtId="0" fontId="28" fillId="8" borderId="5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1" xfId="0" applyNumberFormat="1" applyFont="1" applyFill="1" applyBorder="1" applyAlignment="1">
      <alignment horizontal="center" vertical="center" wrapText="1"/>
    </xf>
    <xf numFmtId="0" fontId="46" fillId="29" borderId="31" xfId="0" applyFont="1" applyFill="1" applyBorder="1" applyAlignment="1">
      <alignment horizontal="center" vertical="center"/>
    </xf>
    <xf numFmtId="0" fontId="46" fillId="29" borderId="30" xfId="0" applyFont="1" applyFill="1" applyBorder="1" applyAlignment="1">
      <alignment horizontal="center" vertical="center"/>
    </xf>
    <xf numFmtId="0" fontId="46" fillId="29" borderId="25" xfId="0" applyFont="1" applyFill="1" applyBorder="1" applyAlignment="1">
      <alignment horizontal="center" vertical="center"/>
    </xf>
    <xf numFmtId="0" fontId="19" fillId="8" borderId="36" xfId="0" applyFont="1" applyFill="1" applyBorder="1" applyAlignment="1">
      <alignment horizontal="center" vertical="center"/>
    </xf>
    <xf numFmtId="0" fontId="46" fillId="30" borderId="31" xfId="0" applyFont="1" applyFill="1" applyBorder="1" applyAlignment="1">
      <alignment horizontal="center" vertical="center"/>
    </xf>
    <xf numFmtId="0" fontId="46" fillId="30" borderId="30" xfId="0" applyFont="1" applyFill="1" applyBorder="1" applyAlignment="1">
      <alignment horizontal="center" vertical="center"/>
    </xf>
    <xf numFmtId="0" fontId="46" fillId="30" borderId="25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46" fillId="31" borderId="32" xfId="0" applyFont="1" applyFill="1" applyBorder="1" applyAlignment="1">
      <alignment horizontal="center" vertical="center"/>
    </xf>
    <xf numFmtId="0" fontId="46" fillId="31" borderId="1" xfId="0" applyFont="1" applyFill="1" applyBorder="1" applyAlignment="1">
      <alignment horizontal="center" vertical="center"/>
    </xf>
    <xf numFmtId="0" fontId="46" fillId="31" borderId="2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45" fillId="31" borderId="32" xfId="0" applyFont="1" applyFill="1" applyBorder="1" applyAlignment="1">
      <alignment horizontal="center" vertical="center"/>
    </xf>
    <xf numFmtId="0" fontId="45" fillId="31" borderId="1" xfId="0" applyFont="1" applyFill="1" applyBorder="1" applyAlignment="1">
      <alignment horizontal="center" vertical="center"/>
    </xf>
    <xf numFmtId="0" fontId="45" fillId="31" borderId="26" xfId="0" applyFont="1" applyFill="1" applyBorder="1" applyAlignment="1">
      <alignment horizontal="center" vertical="center"/>
    </xf>
    <xf numFmtId="0" fontId="42" fillId="2" borderId="32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2" fillId="2" borderId="26" xfId="0" applyNumberFormat="1" applyFon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0" fillId="15" borderId="0" xfId="0" applyFill="1" applyProtection="1">
      <protection locked="0"/>
    </xf>
    <xf numFmtId="0" fontId="0" fillId="15" borderId="0" xfId="0" applyFill="1" applyAlignment="1" applyProtection="1">
      <alignment horizontal="left"/>
      <protection locked="0"/>
    </xf>
    <xf numFmtId="1" fontId="0" fillId="15" borderId="0" xfId="0" applyNumberFormat="1" applyFill="1" applyAlignment="1" applyProtection="1">
      <alignment horizontal="left"/>
      <protection locked="0"/>
    </xf>
    <xf numFmtId="0" fontId="0" fillId="15" borderId="0" xfId="0" applyFill="1" applyAlignment="1" applyProtection="1">
      <alignment wrapText="1"/>
      <protection locked="0"/>
    </xf>
    <xf numFmtId="0" fontId="0" fillId="15" borderId="0" xfId="0" applyFill="1" applyAlignment="1" applyProtection="1">
      <alignment horizontal="center"/>
      <protection locked="0"/>
    </xf>
    <xf numFmtId="0" fontId="0" fillId="15" borderId="0" xfId="0" applyFill="1" applyBorder="1" applyProtection="1">
      <protection locked="0"/>
    </xf>
    <xf numFmtId="0" fontId="0" fillId="15" borderId="0" xfId="0" applyFill="1" applyBorder="1" applyAlignment="1" applyProtection="1">
      <alignment vertical="center"/>
      <protection locked="0"/>
    </xf>
    <xf numFmtId="0" fontId="0" fillId="15" borderId="0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27" fillId="15" borderId="0" xfId="0" applyNumberFormat="1" applyFont="1" applyFill="1" applyBorder="1" applyAlignment="1" applyProtection="1">
      <alignment horizontal="center" vertical="center"/>
      <protection locked="0"/>
    </xf>
    <xf numFmtId="1" fontId="27" fillId="15" borderId="0" xfId="0" applyNumberFormat="1" applyFont="1" applyFill="1" applyBorder="1" applyAlignment="1" applyProtection="1">
      <alignment horizontal="center" vertical="center"/>
      <protection locked="0"/>
    </xf>
    <xf numFmtId="49" fontId="27" fillId="15" borderId="0" xfId="0" applyNumberFormat="1" applyFont="1" applyFill="1" applyBorder="1" applyAlignment="1" applyProtection="1">
      <alignment vertical="center"/>
      <protection locked="0"/>
    </xf>
    <xf numFmtId="0" fontId="0" fillId="8" borderId="11" xfId="0" applyFill="1" applyBorder="1" applyProtection="1">
      <protection locked="0"/>
    </xf>
    <xf numFmtId="49" fontId="27" fillId="8" borderId="12" xfId="0" applyNumberFormat="1" applyFont="1" applyFill="1" applyBorder="1" applyAlignment="1" applyProtection="1">
      <alignment horizontal="center" vertical="center"/>
      <protection locked="0"/>
    </xf>
    <xf numFmtId="1" fontId="27" fillId="8" borderId="12" xfId="0" applyNumberFormat="1" applyFont="1" applyFill="1" applyBorder="1" applyAlignment="1" applyProtection="1">
      <alignment horizontal="center" vertical="center"/>
      <protection locked="0"/>
    </xf>
    <xf numFmtId="49" fontId="27" fillId="8" borderId="12" xfId="0" applyNumberFormat="1" applyFont="1" applyFill="1" applyBorder="1" applyAlignment="1" applyProtection="1">
      <alignment vertical="center"/>
      <protection locked="0"/>
    </xf>
    <xf numFmtId="0" fontId="0" fillId="8" borderId="12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49" fontId="27" fillId="8" borderId="0" xfId="0" applyNumberFormat="1" applyFont="1" applyFill="1" applyBorder="1" applyAlignment="1" applyProtection="1">
      <alignment vertical="center"/>
      <protection locked="0"/>
    </xf>
    <xf numFmtId="0" fontId="0" fillId="8" borderId="15" xfId="0" applyFill="1" applyBorder="1" applyProtection="1">
      <protection locked="0"/>
    </xf>
    <xf numFmtId="0" fontId="40" fillId="9" borderId="32" xfId="0" applyFont="1" applyFill="1" applyBorder="1" applyAlignment="1" applyProtection="1">
      <alignment horizontal="left" vertical="center" wrapText="1"/>
      <protection locked="0"/>
    </xf>
    <xf numFmtId="0" fontId="40" fillId="9" borderId="1" xfId="0" applyFont="1" applyFill="1" applyBorder="1" applyAlignment="1" applyProtection="1">
      <alignment horizontal="center" vertical="center" wrapText="1"/>
      <protection locked="0"/>
    </xf>
    <xf numFmtId="0" fontId="40" fillId="9" borderId="1" xfId="0" applyFont="1" applyFill="1" applyBorder="1" applyAlignment="1" applyProtection="1">
      <alignment horizontal="center" vertical="center"/>
      <protection locked="0"/>
    </xf>
    <xf numFmtId="0" fontId="40" fillId="9" borderId="1" xfId="0" applyFont="1" applyFill="1" applyBorder="1" applyAlignment="1" applyProtection="1">
      <alignment horizontal="left" vertical="center"/>
      <protection locked="0"/>
    </xf>
    <xf numFmtId="0" fontId="0" fillId="8" borderId="0" xfId="0" applyFill="1" applyBorder="1" applyAlignment="1" applyProtection="1">
      <alignment vertical="center"/>
      <protection locked="0"/>
    </xf>
    <xf numFmtId="0" fontId="21" fillId="9" borderId="32" xfId="0" applyFont="1" applyFill="1" applyBorder="1" applyAlignment="1" applyProtection="1">
      <alignment horizontal="center" vertical="center" wrapText="1"/>
      <protection locked="0"/>
    </xf>
    <xf numFmtId="0" fontId="21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1" xfId="0" applyFont="1" applyFill="1" applyBorder="1" applyAlignment="1" applyProtection="1">
      <alignment horizontal="center" vertical="center" wrapText="1"/>
      <protection locked="0"/>
    </xf>
    <xf numFmtId="0" fontId="21" fillId="9" borderId="26" xfId="0" applyFont="1" applyFill="1" applyBorder="1" applyAlignment="1" applyProtection="1">
      <alignment horizontal="center" vertical="center" wrapText="1"/>
      <protection locked="0"/>
    </xf>
    <xf numFmtId="0" fontId="0" fillId="15" borderId="0" xfId="0" applyFill="1" applyAlignment="1" applyProtection="1">
      <alignment horizontal="left" vertical="center"/>
      <protection locked="0"/>
    </xf>
    <xf numFmtId="0" fontId="0" fillId="8" borderId="14" xfId="0" applyFill="1" applyBorder="1" applyAlignment="1" applyProtection="1">
      <alignment horizontal="left" vertical="center"/>
      <protection locked="0"/>
    </xf>
    <xf numFmtId="0" fontId="0" fillId="8" borderId="0" xfId="0" applyFill="1" applyBorder="1" applyAlignment="1" applyProtection="1">
      <alignment horizontal="left" vertical="center"/>
      <protection locked="0"/>
    </xf>
    <xf numFmtId="16" fontId="0" fillId="0" borderId="32" xfId="0" applyNumberFormat="1" applyBorder="1" applyAlignment="1" applyProtection="1">
      <alignment horizontal="left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8" borderId="0" xfId="0" applyFont="1" applyFill="1" applyBorder="1" applyAlignment="1" applyProtection="1">
      <alignment vertical="center"/>
      <protection locked="0"/>
    </xf>
    <xf numFmtId="0" fontId="0" fillId="8" borderId="0" xfId="0" applyFill="1" applyBorder="1" applyAlignment="1" applyProtection="1">
      <alignment vertical="center" wrapText="1"/>
      <protection locked="0"/>
    </xf>
    <xf numFmtId="0" fontId="0" fillId="15" borderId="0" xfId="0" applyFill="1" applyAlignment="1" applyProtection="1">
      <alignment vertical="center"/>
      <protection locked="0"/>
    </xf>
    <xf numFmtId="0" fontId="0" fillId="8" borderId="14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15" borderId="0" xfId="0" applyFill="1" applyAlignment="1" applyProtection="1">
      <alignment vertical="center" wrapText="1"/>
      <protection locked="0"/>
    </xf>
    <xf numFmtId="0" fontId="0" fillId="8" borderId="14" xfId="0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8" xfId="0" applyFill="1" applyBorder="1" applyAlignment="1" applyProtection="1">
      <alignment horizontal="center" vertical="center"/>
      <protection locked="0"/>
    </xf>
    <xf numFmtId="16" fontId="0" fillId="15" borderId="0" xfId="0" applyNumberFormat="1" applyFill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6" fillId="8" borderId="0" xfId="0" applyFont="1" applyFill="1" applyBorder="1" applyAlignment="1" applyProtection="1">
      <alignment vertical="center"/>
      <protection locked="0"/>
    </xf>
    <xf numFmtId="0" fontId="0" fillId="8" borderId="0" xfId="0" applyFill="1" applyAlignment="1" applyProtection="1">
      <alignment vertical="center"/>
      <protection locked="0"/>
    </xf>
    <xf numFmtId="0" fontId="0" fillId="8" borderId="15" xfId="0" applyFill="1" applyBorder="1" applyAlignment="1" applyProtection="1">
      <alignment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7" fillId="8" borderId="0" xfId="0" applyFont="1" applyFill="1" applyBorder="1" applyAlignment="1" applyProtection="1">
      <alignment vertical="center"/>
      <protection locked="0"/>
    </xf>
    <xf numFmtId="0" fontId="6" fillId="8" borderId="0" xfId="0" applyFont="1" applyFill="1" applyBorder="1" applyAlignment="1" applyProtection="1">
      <alignment horizontal="left" vertical="center"/>
      <protection locked="0"/>
    </xf>
    <xf numFmtId="0" fontId="0" fillId="8" borderId="10" xfId="0" applyFill="1" applyBorder="1" applyProtection="1">
      <protection locked="0"/>
    </xf>
    <xf numFmtId="16" fontId="0" fillId="8" borderId="0" xfId="0" applyNumberFormat="1" applyFill="1" applyBorder="1" applyAlignment="1" applyProtection="1">
      <alignment horizontal="left"/>
      <protection locked="0"/>
    </xf>
    <xf numFmtId="1" fontId="0" fillId="8" borderId="0" xfId="0" applyNumberFormat="1" applyFill="1" applyBorder="1" applyAlignment="1" applyProtection="1">
      <alignment horizontal="center" vertical="center"/>
      <protection locked="0"/>
    </xf>
    <xf numFmtId="16" fontId="0" fillId="8" borderId="0" xfId="0" applyNumberFormat="1" applyFill="1" applyBorder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left" vertical="center" wrapText="1"/>
      <protection locked="0"/>
    </xf>
    <xf numFmtId="0" fontId="0" fillId="8" borderId="8" xfId="0" applyFill="1" applyBorder="1" applyAlignment="1" applyProtection="1">
      <alignment vertical="center"/>
      <protection locked="0"/>
    </xf>
    <xf numFmtId="16" fontId="0" fillId="8" borderId="10" xfId="0" applyNumberFormat="1" applyFill="1" applyBorder="1" applyAlignment="1" applyProtection="1">
      <alignment horizontal="left"/>
      <protection locked="0"/>
    </xf>
    <xf numFmtId="1" fontId="0" fillId="8" borderId="10" xfId="0" applyNumberFormat="1" applyFill="1" applyBorder="1" applyAlignment="1" applyProtection="1">
      <alignment horizontal="center"/>
      <protection locked="0"/>
    </xf>
    <xf numFmtId="0" fontId="0" fillId="8" borderId="10" xfId="0" applyFill="1" applyBorder="1" applyAlignment="1" applyProtection="1">
      <alignment wrapText="1"/>
      <protection locked="0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0" xfId="0" applyFill="1" applyBorder="1" applyAlignment="1" applyProtection="1">
      <alignment vertical="center" wrapText="1"/>
      <protection locked="0"/>
    </xf>
    <xf numFmtId="0" fontId="0" fillId="8" borderId="10" xfId="0" applyFill="1" applyBorder="1" applyAlignment="1" applyProtection="1">
      <alignment horizontal="left"/>
      <protection locked="0"/>
    </xf>
    <xf numFmtId="0" fontId="0" fillId="8" borderId="10" xfId="0" applyFill="1" applyBorder="1" applyAlignment="1" applyProtection="1">
      <alignment vertical="center"/>
      <protection locked="0"/>
    </xf>
    <xf numFmtId="0" fontId="0" fillId="8" borderId="10" xfId="0" applyFill="1" applyBorder="1" applyAlignment="1" applyProtection="1">
      <alignment horizontal="center" vertical="center"/>
      <protection locked="0"/>
    </xf>
    <xf numFmtId="0" fontId="0" fillId="8" borderId="9" xfId="0" applyFill="1" applyBorder="1" applyAlignment="1" applyProtection="1">
      <alignment vertical="center"/>
      <protection locked="0"/>
    </xf>
    <xf numFmtId="1" fontId="0" fillId="15" borderId="0" xfId="0" applyNumberFormat="1" applyFill="1" applyAlignment="1" applyProtection="1">
      <alignment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  <xf numFmtId="1" fontId="0" fillId="15" borderId="0" xfId="0" applyNumberFormat="1" applyFill="1" applyAlignment="1" applyProtection="1">
      <alignment horizontal="center"/>
      <protection locked="0"/>
    </xf>
    <xf numFmtId="46" fontId="0" fillId="15" borderId="0" xfId="0" applyNumberFormat="1" applyFill="1" applyAlignment="1" applyProtection="1">
      <alignment vertical="center"/>
      <protection locked="0"/>
    </xf>
    <xf numFmtId="0" fontId="0" fillId="15" borderId="0" xfId="0" applyFont="1" applyFill="1" applyBorder="1" applyProtection="1">
      <protection locked="0"/>
    </xf>
    <xf numFmtId="0" fontId="0" fillId="15" borderId="0" xfId="0" applyFont="1" applyFill="1" applyAlignment="1" applyProtection="1">
      <alignment vertical="center"/>
      <protection locked="0"/>
    </xf>
    <xf numFmtId="0" fontId="0" fillId="15" borderId="0" xfId="0" applyFont="1" applyFill="1" applyAlignment="1" applyProtection="1">
      <alignment horizontal="center" vertical="center"/>
      <protection locked="0"/>
    </xf>
    <xf numFmtId="0" fontId="0" fillId="1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/>
    <xf numFmtId="16" fontId="23" fillId="2" borderId="12" xfId="0" applyNumberFormat="1" applyFont="1" applyFill="1" applyBorder="1" applyAlignment="1" applyProtection="1">
      <alignment horizontal="left"/>
    </xf>
    <xf numFmtId="0" fontId="23" fillId="2" borderId="12" xfId="0" applyNumberFormat="1" applyFont="1" applyFill="1" applyBorder="1" applyAlignment="1" applyProtection="1">
      <alignment horizontal="center"/>
    </xf>
    <xf numFmtId="0" fontId="23" fillId="2" borderId="12" xfId="0" applyFont="1" applyFill="1" applyBorder="1" applyAlignment="1" applyProtection="1">
      <alignment vertical="center" wrapText="1"/>
    </xf>
    <xf numFmtId="0" fontId="23" fillId="2" borderId="12" xfId="0" applyFont="1" applyFill="1" applyBorder="1" applyAlignment="1" applyProtection="1">
      <alignment horizontal="center" vertical="center"/>
    </xf>
    <xf numFmtId="0" fontId="23" fillId="2" borderId="12" xfId="0" applyFont="1" applyFill="1" applyBorder="1" applyAlignment="1" applyProtection="1">
      <alignment horizontal="center"/>
    </xf>
    <xf numFmtId="0" fontId="23" fillId="2" borderId="12" xfId="0" applyFont="1" applyFill="1" applyBorder="1" applyAlignment="1" applyProtection="1">
      <alignment vertical="center"/>
    </xf>
    <xf numFmtId="16" fontId="23" fillId="2" borderId="0" xfId="0" applyNumberFormat="1" applyFont="1" applyFill="1" applyBorder="1" applyAlignment="1" applyProtection="1">
      <alignment horizontal="left"/>
    </xf>
    <xf numFmtId="16" fontId="25" fillId="9" borderId="12" xfId="0" applyNumberFormat="1" applyFont="1" applyFill="1" applyBorder="1" applyAlignment="1" applyProtection="1">
      <alignment horizontal="center" vertical="center"/>
    </xf>
    <xf numFmtId="16" fontId="25" fillId="9" borderId="13" xfId="0" applyNumberFormat="1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center"/>
    </xf>
    <xf numFmtId="0" fontId="25" fillId="9" borderId="12" xfId="0" applyFont="1" applyFill="1" applyBorder="1" applyAlignment="1" applyProtection="1">
      <alignment horizontal="center" vertical="center" wrapText="1"/>
    </xf>
    <xf numFmtId="0" fontId="26" fillId="10" borderId="45" xfId="0" applyFont="1" applyFill="1" applyBorder="1" applyAlignment="1" applyProtection="1">
      <alignment horizontal="right"/>
    </xf>
    <xf numFmtId="0" fontId="23" fillId="12" borderId="1" xfId="0" applyFont="1" applyFill="1" applyBorder="1" applyAlignment="1" applyProtection="1">
      <alignment horizontal="center" vertical="center"/>
    </xf>
    <xf numFmtId="0" fontId="23" fillId="12" borderId="26" xfId="0" applyFont="1" applyFill="1" applyBorder="1" applyAlignment="1" applyProtection="1">
      <alignment horizontal="center" vertical="center"/>
    </xf>
    <xf numFmtId="0" fontId="26" fillId="10" borderId="19" xfId="0" applyFont="1" applyFill="1" applyBorder="1" applyAlignment="1" applyProtection="1">
      <alignment horizontal="right"/>
    </xf>
    <xf numFmtId="0" fontId="23" fillId="12" borderId="1" xfId="0" applyFont="1" applyFill="1" applyBorder="1" applyAlignment="1" applyProtection="1">
      <alignment horizontal="center"/>
    </xf>
    <xf numFmtId="0" fontId="23" fillId="12" borderId="26" xfId="0" applyFont="1" applyFill="1" applyBorder="1" applyAlignment="1" applyProtection="1">
      <alignment horizontal="center"/>
    </xf>
    <xf numFmtId="0" fontId="26" fillId="10" borderId="34" xfId="0" applyFont="1" applyFill="1" applyBorder="1" applyAlignment="1" applyProtection="1">
      <alignment horizontal="right"/>
    </xf>
    <xf numFmtId="0" fontId="23" fillId="12" borderId="1" xfId="0" applyNumberFormat="1" applyFont="1" applyFill="1" applyBorder="1" applyAlignment="1" applyProtection="1">
      <alignment horizontal="center" vertical="center"/>
    </xf>
    <xf numFmtId="0" fontId="26" fillId="10" borderId="14" xfId="0" applyFont="1" applyFill="1" applyBorder="1" applyAlignment="1" applyProtection="1">
      <alignment horizontal="right"/>
    </xf>
    <xf numFmtId="0" fontId="26" fillId="10" borderId="46" xfId="0" applyFont="1" applyFill="1" applyBorder="1" applyAlignment="1" applyProtection="1">
      <alignment horizontal="right"/>
    </xf>
    <xf numFmtId="0" fontId="23" fillId="12" borderId="28" xfId="0" applyNumberFormat="1" applyFont="1" applyFill="1" applyBorder="1" applyAlignment="1" applyProtection="1">
      <alignment horizontal="center" vertical="center"/>
    </xf>
    <xf numFmtId="49" fontId="23" fillId="12" borderId="29" xfId="0" applyNumberFormat="1" applyFont="1" applyFill="1" applyBorder="1" applyAlignment="1" applyProtection="1">
      <alignment horizontal="center" vertical="center"/>
    </xf>
    <xf numFmtId="0" fontId="26" fillId="10" borderId="8" xfId="0" applyFont="1" applyFill="1" applyBorder="1" applyAlignment="1" applyProtection="1">
      <alignment horizontal="right"/>
    </xf>
    <xf numFmtId="0" fontId="23" fillId="12" borderId="28" xfId="0" applyFont="1" applyFill="1" applyBorder="1" applyAlignment="1" applyProtection="1">
      <alignment horizontal="center" vertical="center"/>
    </xf>
    <xf numFmtId="0" fontId="23" fillId="12" borderId="29" xfId="0" applyFont="1" applyFill="1" applyBorder="1" applyAlignment="1" applyProtection="1">
      <alignment horizontal="center" vertical="center"/>
    </xf>
    <xf numFmtId="0" fontId="23" fillId="2" borderId="0" xfId="0" applyNumberFormat="1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23" fillId="2" borderId="0" xfId="0" applyFont="1" applyFill="1" applyBorder="1" applyProtection="1"/>
    <xf numFmtId="0" fontId="23" fillId="2" borderId="0" xfId="0" applyFont="1" applyFill="1" applyBorder="1" applyAlignment="1" applyProtection="1">
      <alignment horizontal="left" vertical="center"/>
    </xf>
    <xf numFmtId="0" fontId="23" fillId="2" borderId="0" xfId="0" applyFont="1" applyFill="1" applyBorder="1" applyAlignment="1" applyProtection="1">
      <alignment horizontal="left"/>
    </xf>
    <xf numFmtId="0" fontId="23" fillId="2" borderId="15" xfId="0" applyFont="1" applyFill="1" applyBorder="1" applyProtection="1"/>
    <xf numFmtId="16" fontId="23" fillId="2" borderId="10" xfId="0" applyNumberFormat="1" applyFont="1" applyFill="1" applyBorder="1" applyAlignment="1" applyProtection="1">
      <alignment horizontal="left"/>
    </xf>
    <xf numFmtId="0" fontId="23" fillId="2" borderId="10" xfId="0" applyNumberFormat="1" applyFont="1" applyFill="1" applyBorder="1" applyAlignment="1" applyProtection="1">
      <alignment horizontal="center"/>
    </xf>
    <xf numFmtId="0" fontId="23" fillId="2" borderId="10" xfId="0" applyFont="1" applyFill="1" applyBorder="1" applyAlignment="1" applyProtection="1"/>
    <xf numFmtId="0" fontId="23" fillId="2" borderId="10" xfId="0" applyFont="1" applyFill="1" applyBorder="1" applyAlignment="1" applyProtection="1">
      <alignment horizontal="left" vertical="center"/>
    </xf>
    <xf numFmtId="0" fontId="23" fillId="2" borderId="10" xfId="0" applyFont="1" applyFill="1" applyBorder="1" applyAlignment="1" applyProtection="1">
      <alignment horizontal="center"/>
    </xf>
    <xf numFmtId="0" fontId="23" fillId="2" borderId="10" xfId="0" applyFont="1" applyFill="1" applyBorder="1" applyProtection="1"/>
    <xf numFmtId="0" fontId="23" fillId="2" borderId="10" xfId="0" applyFont="1" applyFill="1" applyBorder="1" applyAlignment="1" applyProtection="1">
      <alignment horizontal="left"/>
    </xf>
    <xf numFmtId="0" fontId="23" fillId="2" borderId="9" xfId="0" applyFont="1" applyFill="1" applyBorder="1" applyProtection="1"/>
    <xf numFmtId="0" fontId="0" fillId="15" borderId="0" xfId="0" applyFill="1" applyProtection="1"/>
    <xf numFmtId="0" fontId="16" fillId="2" borderId="12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/>
    </xf>
    <xf numFmtId="0" fontId="24" fillId="10" borderId="32" xfId="0" applyFont="1" applyFill="1" applyBorder="1" applyAlignment="1" applyProtection="1">
      <alignment horizontal="right" wrapText="1"/>
    </xf>
    <xf numFmtId="0" fontId="23" fillId="14" borderId="4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" fontId="24" fillId="10" borderId="45" xfId="0" applyNumberFormat="1" applyFont="1" applyFill="1" applyBorder="1" applyAlignment="1" applyProtection="1">
      <alignment horizontal="right" wrapText="1"/>
    </xf>
    <xf numFmtId="16" fontId="24" fillId="10" borderId="34" xfId="0" applyNumberFormat="1" applyFont="1" applyFill="1" applyBorder="1" applyAlignment="1" applyProtection="1">
      <alignment horizontal="right" wrapText="1"/>
    </xf>
    <xf numFmtId="0" fontId="0" fillId="15" borderId="0" xfId="0" applyFill="1" applyBorder="1" applyProtection="1"/>
    <xf numFmtId="16" fontId="24" fillId="10" borderId="46" xfId="0" applyNumberFormat="1" applyFont="1" applyFill="1" applyBorder="1" applyAlignment="1" applyProtection="1">
      <alignment horizontal="right" wrapText="1"/>
    </xf>
    <xf numFmtId="0" fontId="23" fillId="14" borderId="4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 wrapText="1"/>
    </xf>
    <xf numFmtId="0" fontId="0" fillId="15" borderId="0" xfId="0" applyFill="1" applyBorder="1" applyAlignment="1" applyProtection="1">
      <alignment vertical="center"/>
    </xf>
    <xf numFmtId="16" fontId="0" fillId="15" borderId="0" xfId="0" applyNumberFormat="1" applyFill="1" applyAlignment="1" applyProtection="1">
      <alignment horizontal="left"/>
    </xf>
    <xf numFmtId="0" fontId="0" fillId="15" borderId="0" xfId="0" applyFill="1" applyAlignment="1" applyProtection="1">
      <alignment wrapText="1"/>
    </xf>
    <xf numFmtId="0" fontId="0" fillId="15" borderId="0" xfId="0" applyFill="1" applyAlignment="1" applyProtection="1">
      <alignment horizontal="center"/>
    </xf>
    <xf numFmtId="0" fontId="26" fillId="15" borderId="0" xfId="0" applyFont="1" applyFill="1" applyBorder="1" applyAlignment="1" applyProtection="1">
      <alignment horizontal="right"/>
    </xf>
    <xf numFmtId="0" fontId="23" fillId="15" borderId="0" xfId="0" applyFont="1" applyFill="1" applyBorder="1" applyAlignment="1" applyProtection="1">
      <alignment horizontal="center" vertical="center"/>
    </xf>
    <xf numFmtId="0" fontId="21" fillId="9" borderId="32" xfId="0" applyFont="1" applyFill="1" applyBorder="1" applyAlignment="1" applyProtection="1">
      <alignment horizontal="center" vertical="center" wrapText="1"/>
    </xf>
    <xf numFmtId="0" fontId="17" fillId="12" borderId="1" xfId="0" applyFont="1" applyFill="1" applyBorder="1" applyAlignment="1" applyProtection="1">
      <alignment horizontal="center"/>
    </xf>
    <xf numFmtId="0" fontId="17" fillId="9" borderId="1" xfId="0" applyFont="1" applyFill="1" applyBorder="1" applyAlignment="1" applyProtection="1">
      <alignment horizontal="center"/>
    </xf>
    <xf numFmtId="0" fontId="17" fillId="9" borderId="26" xfId="0" applyFont="1" applyFill="1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32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8" borderId="11" xfId="0" applyFill="1" applyBorder="1" applyProtection="1"/>
    <xf numFmtId="0" fontId="0" fillId="8" borderId="12" xfId="0" applyFill="1" applyBorder="1" applyProtection="1"/>
    <xf numFmtId="0" fontId="0" fillId="8" borderId="13" xfId="0" applyFill="1" applyBorder="1" applyProtection="1"/>
    <xf numFmtId="0" fontId="0" fillId="8" borderId="14" xfId="0" applyFill="1" applyBorder="1" applyProtection="1"/>
    <xf numFmtId="0" fontId="0" fillId="8" borderId="15" xfId="0" applyFill="1" applyBorder="1" applyProtection="1"/>
    <xf numFmtId="0" fontId="0" fillId="23" borderId="45" xfId="0" applyFill="1" applyBorder="1" applyAlignment="1" applyProtection="1">
      <alignment horizontal="center" vertical="center"/>
    </xf>
    <xf numFmtId="0" fontId="0" fillId="23" borderId="27" xfId="0" applyFill="1" applyBorder="1" applyAlignment="1" applyProtection="1">
      <alignment horizontal="center" vertical="center"/>
    </xf>
    <xf numFmtId="0" fontId="0" fillId="8" borderId="0" xfId="0" applyFont="1" applyFill="1" applyBorder="1" applyAlignment="1" applyProtection="1">
      <alignment horizontal="center" vertical="center" textRotation="90"/>
    </xf>
    <xf numFmtId="0" fontId="0" fillId="8" borderId="0" xfId="0" applyFill="1" applyBorder="1" applyAlignment="1" applyProtection="1">
      <alignment horizontal="center"/>
    </xf>
    <xf numFmtId="0" fontId="0" fillId="8" borderId="0" xfId="0" applyFill="1" applyBorder="1" applyProtection="1"/>
    <xf numFmtId="0" fontId="0" fillId="8" borderId="8" xfId="0" applyFill="1" applyBorder="1" applyProtection="1"/>
    <xf numFmtId="0" fontId="0" fillId="8" borderId="10" xfId="0" applyFill="1" applyBorder="1" applyProtection="1"/>
    <xf numFmtId="0" fontId="0" fillId="8" borderId="9" xfId="0" applyFill="1" applyBorder="1" applyProtection="1"/>
    <xf numFmtId="0" fontId="0" fillId="15" borderId="0" xfId="0" applyFont="1" applyFill="1" applyBorder="1" applyAlignment="1" applyProtection="1">
      <alignment vertical="center" textRotation="90"/>
    </xf>
    <xf numFmtId="0" fontId="0" fillId="15" borderId="0" xfId="0" applyFill="1" applyBorder="1" applyAlignment="1" applyProtection="1">
      <alignment horizontal="center" vertical="center"/>
    </xf>
    <xf numFmtId="0" fontId="0" fillId="15" borderId="0" xfId="0" applyFont="1" applyFill="1" applyBorder="1" applyAlignment="1" applyProtection="1">
      <alignment horizontal="center" vertical="center" textRotation="90"/>
    </xf>
    <xf numFmtId="0" fontId="0" fillId="15" borderId="0" xfId="0" applyFill="1" applyBorder="1" applyAlignment="1" applyProtection="1">
      <alignment horizontal="center"/>
    </xf>
    <xf numFmtId="0" fontId="0" fillId="15" borderId="0" xfId="0" applyFill="1" applyAlignment="1" applyProtection="1">
      <alignment vertical="center"/>
    </xf>
    <xf numFmtId="0" fontId="23" fillId="9" borderId="13" xfId="0" applyFont="1" applyFill="1" applyBorder="1" applyAlignment="1" applyProtection="1">
      <alignment horizontal="center" vertical="center" wrapText="1"/>
    </xf>
    <xf numFmtId="0" fontId="24" fillId="10" borderId="45" xfId="0" applyFont="1" applyFill="1" applyBorder="1" applyAlignment="1" applyProtection="1">
      <alignment horizontal="right" vertical="center" wrapText="1"/>
    </xf>
    <xf numFmtId="0" fontId="24" fillId="10" borderId="34" xfId="0" applyFont="1" applyFill="1" applyBorder="1" applyAlignment="1" applyProtection="1">
      <alignment horizontal="right" vertical="center" wrapText="1"/>
    </xf>
    <xf numFmtId="0" fontId="24" fillId="10" borderId="46" xfId="0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horizontal="left" vertical="center"/>
      <protection locked="0"/>
    </xf>
    <xf numFmtId="0" fontId="0" fillId="15" borderId="0" xfId="0" applyFont="1" applyFill="1" applyProtection="1"/>
    <xf numFmtId="0" fontId="0" fillId="0" borderId="0" xfId="0" applyFont="1" applyProtection="1"/>
    <xf numFmtId="0" fontId="4" fillId="8" borderId="0" xfId="20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0" fontId="49" fillId="12" borderId="1" xfId="0" applyFont="1" applyFill="1" applyBorder="1" applyAlignment="1">
      <alignment horizontal="center" vertical="center" wrapText="1"/>
    </xf>
    <xf numFmtId="1" fontId="19" fillId="0" borderId="36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center" vertical="center"/>
    </xf>
    <xf numFmtId="0" fontId="34" fillId="23" borderId="31" xfId="0" applyFont="1" applyFill="1" applyBorder="1" applyAlignment="1">
      <alignment horizontal="center" vertical="center"/>
    </xf>
    <xf numFmtId="0" fontId="33" fillId="23" borderId="32" xfId="0" applyFont="1" applyFill="1" applyBorder="1" applyAlignment="1">
      <alignment horizontal="center" vertical="center"/>
    </xf>
    <xf numFmtId="0" fontId="30" fillId="8" borderId="36" xfId="0" applyFont="1" applyFill="1" applyBorder="1" applyAlignment="1">
      <alignment horizontal="center" vertical="center"/>
    </xf>
    <xf numFmtId="0" fontId="30" fillId="8" borderId="3" xfId="0" applyFont="1" applyFill="1" applyBorder="1" applyAlignment="1">
      <alignment horizontal="center" vertical="center"/>
    </xf>
    <xf numFmtId="0" fontId="37" fillId="23" borderId="31" xfId="0" applyFont="1" applyFill="1" applyBorder="1" applyAlignment="1">
      <alignment horizontal="center" vertical="center"/>
    </xf>
    <xf numFmtId="0" fontId="37" fillId="23" borderId="32" xfId="0" applyFont="1" applyFill="1" applyBorder="1" applyAlignment="1">
      <alignment horizontal="center" vertical="center"/>
    </xf>
    <xf numFmtId="1" fontId="19" fillId="0" borderId="3" xfId="0" applyNumberFormat="1" applyFont="1" applyFill="1" applyBorder="1" applyAlignment="1">
      <alignment horizontal="center" vertical="center"/>
    </xf>
    <xf numFmtId="0" fontId="19" fillId="23" borderId="31" xfId="0" applyFont="1" applyFill="1" applyBorder="1" applyAlignment="1">
      <alignment horizontal="center" vertical="center"/>
    </xf>
    <xf numFmtId="0" fontId="19" fillId="23" borderId="32" xfId="0" applyFont="1" applyFill="1" applyBorder="1" applyAlignment="1">
      <alignment horizontal="center" vertical="center"/>
    </xf>
    <xf numFmtId="0" fontId="19" fillId="23" borderId="26" xfId="0" applyFont="1" applyFill="1" applyBorder="1" applyAlignment="1">
      <alignment horizontal="center" vertical="center"/>
    </xf>
    <xf numFmtId="1" fontId="19" fillId="2" borderId="3" xfId="0" applyNumberFormat="1" applyFont="1" applyFill="1" applyBorder="1" applyAlignment="1">
      <alignment horizontal="center" vertical="center"/>
    </xf>
    <xf numFmtId="0" fontId="19" fillId="23" borderId="42" xfId="0" applyFont="1" applyFill="1" applyBorder="1" applyAlignment="1">
      <alignment horizontal="center" vertical="center"/>
    </xf>
    <xf numFmtId="0" fontId="19" fillId="2" borderId="26" xfId="0" applyNumberFormat="1" applyFont="1" applyFill="1" applyBorder="1" applyAlignment="1">
      <alignment horizontal="center" vertical="center"/>
    </xf>
    <xf numFmtId="0" fontId="20" fillId="14" borderId="53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9" fillId="9" borderId="36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1" fontId="19" fillId="8" borderId="3" xfId="0" applyNumberFormat="1" applyFont="1" applyFill="1" applyBorder="1" applyAlignment="1">
      <alignment horizontal="center" vertical="center"/>
    </xf>
    <xf numFmtId="0" fontId="0" fillId="0" borderId="28" xfId="0" applyNumberFormat="1" applyBorder="1" applyAlignment="1" applyProtection="1">
      <alignment horizontal="center" vertical="center"/>
      <protection locked="0"/>
    </xf>
    <xf numFmtId="16" fontId="0" fillId="15" borderId="0" xfId="0" applyNumberFormat="1" applyFill="1" applyBorder="1" applyAlignment="1" applyProtection="1">
      <alignment horizontal="left"/>
      <protection locked="0"/>
    </xf>
    <xf numFmtId="1" fontId="0" fillId="15" borderId="0" xfId="0" applyNumberFormat="1" applyFill="1" applyBorder="1" applyAlignment="1" applyProtection="1">
      <alignment horizontal="center"/>
      <protection locked="0"/>
    </xf>
    <xf numFmtId="0" fontId="0" fillId="15" borderId="0" xfId="0" applyFill="1" applyBorder="1" applyAlignment="1" applyProtection="1">
      <alignment wrapText="1"/>
      <protection locked="0"/>
    </xf>
    <xf numFmtId="0" fontId="0" fillId="15" borderId="0" xfId="0" applyFill="1" applyBorder="1" applyAlignment="1" applyProtection="1">
      <alignment vertical="center" wrapText="1"/>
      <protection locked="0"/>
    </xf>
    <xf numFmtId="0" fontId="0" fillId="15" borderId="0" xfId="0" applyFill="1" applyBorder="1" applyAlignment="1" applyProtection="1">
      <alignment horizontal="left"/>
      <protection locked="0"/>
    </xf>
    <xf numFmtId="0" fontId="15" fillId="8" borderId="0" xfId="199" applyFill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left" vertical="center" wrapText="1"/>
      <protection locked="0"/>
    </xf>
    <xf numFmtId="0" fontId="19" fillId="8" borderId="3" xfId="0" applyFont="1" applyFill="1" applyBorder="1" applyAlignment="1">
      <alignment horizontal="center" vertical="center"/>
    </xf>
    <xf numFmtId="0" fontId="46" fillId="30" borderId="32" xfId="0" applyFont="1" applyFill="1" applyBorder="1" applyAlignment="1">
      <alignment horizontal="center" vertical="center"/>
    </xf>
    <xf numFmtId="0" fontId="46" fillId="30" borderId="1" xfId="0" applyFont="1" applyFill="1" applyBorder="1" applyAlignment="1">
      <alignment horizontal="center" vertical="center"/>
    </xf>
    <xf numFmtId="0" fontId="46" fillId="30" borderId="26" xfId="0" applyFont="1" applyFill="1" applyBorder="1" applyAlignment="1">
      <alignment horizontal="center" vertical="center"/>
    </xf>
    <xf numFmtId="0" fontId="0" fillId="15" borderId="0" xfId="0" applyFill="1" applyAlignment="1" applyProtection="1">
      <alignment horizontal="left" vertical="center"/>
    </xf>
    <xf numFmtId="0" fontId="0" fillId="15" borderId="0" xfId="0" applyFill="1" applyAlignment="1" applyProtection="1">
      <alignment vertical="center" wrapText="1"/>
    </xf>
    <xf numFmtId="0" fontId="0" fillId="15" borderId="0" xfId="0" applyFill="1" applyAlignment="1" applyProtection="1">
      <alignment horizontal="left"/>
    </xf>
    <xf numFmtId="1" fontId="0" fillId="15" borderId="0" xfId="0" applyNumberFormat="1" applyFill="1" applyAlignment="1" applyProtection="1">
      <alignment horizontal="left"/>
    </xf>
    <xf numFmtId="0" fontId="0" fillId="8" borderId="0" xfId="0" applyFill="1" applyBorder="1" applyAlignment="1" applyProtection="1">
      <alignment vertical="center"/>
    </xf>
    <xf numFmtId="0" fontId="0" fillId="8" borderId="15" xfId="0" applyFill="1" applyBorder="1" applyAlignment="1" applyProtection="1">
      <alignment vertical="center"/>
    </xf>
    <xf numFmtId="0" fontId="0" fillId="8" borderId="0" xfId="0" applyFill="1" applyBorder="1" applyAlignment="1" applyProtection="1">
      <alignment horizontal="center" vertical="center"/>
    </xf>
    <xf numFmtId="0" fontId="7" fillId="8" borderId="0" xfId="0" applyFont="1" applyFill="1" applyBorder="1" applyAlignment="1" applyProtection="1">
      <alignment vertical="center"/>
    </xf>
    <xf numFmtId="0" fontId="0" fillId="15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8" borderId="0" xfId="0" applyNumberFormat="1" applyFill="1" applyBorder="1"/>
    <xf numFmtId="0" fontId="24" fillId="8" borderId="0" xfId="0" applyFont="1" applyFill="1" applyBorder="1" applyAlignment="1">
      <alignment horizontal="right" vertical="center" wrapText="1"/>
    </xf>
    <xf numFmtId="0" fontId="23" fillId="8" borderId="0" xfId="0" applyFont="1" applyFill="1" applyBorder="1" applyAlignment="1">
      <alignment horizontal="center" vertical="center"/>
    </xf>
    <xf numFmtId="16" fontId="0" fillId="8" borderId="0" xfId="0" applyNumberFormat="1" applyFill="1" applyBorder="1" applyAlignment="1">
      <alignment horizontal="center"/>
    </xf>
    <xf numFmtId="0" fontId="7" fillId="8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/>
    </xf>
    <xf numFmtId="0" fontId="54" fillId="12" borderId="1" xfId="0" applyFont="1" applyFill="1" applyBorder="1" applyAlignment="1">
      <alignment horizontal="center" vertical="center" wrapText="1"/>
    </xf>
    <xf numFmtId="0" fontId="56" fillId="9" borderId="13" xfId="0" applyFont="1" applyFill="1" applyBorder="1" applyAlignment="1" applyProtection="1">
      <alignment horizontal="center" vertical="center" wrapText="1"/>
    </xf>
    <xf numFmtId="0" fontId="0" fillId="15" borderId="0" xfId="0" applyNumberFormat="1" applyFill="1" applyProtection="1">
      <protection locked="0"/>
    </xf>
    <xf numFmtId="0" fontId="27" fillId="15" borderId="0" xfId="0" applyNumberFormat="1" applyFont="1" applyFill="1" applyBorder="1" applyAlignment="1" applyProtection="1">
      <alignment horizontal="center" vertical="center"/>
      <protection locked="0"/>
    </xf>
    <xf numFmtId="0" fontId="27" fillId="8" borderId="12" xfId="0" applyNumberFormat="1" applyFont="1" applyFill="1" applyBorder="1" applyAlignment="1" applyProtection="1">
      <alignment horizontal="center" vertical="center"/>
      <protection locked="0"/>
    </xf>
    <xf numFmtId="0" fontId="0" fillId="8" borderId="10" xfId="0" applyNumberFormat="1" applyFill="1" applyBorder="1" applyAlignment="1" applyProtection="1">
      <alignment horizontal="left"/>
      <protection locked="0"/>
    </xf>
    <xf numFmtId="0" fontId="0" fillId="15" borderId="0" xfId="0" applyNumberFormat="1" applyFill="1" applyBorder="1" applyAlignment="1" applyProtection="1">
      <alignment horizontal="left"/>
      <protection locked="0"/>
    </xf>
    <xf numFmtId="0" fontId="0" fillId="15" borderId="0" xfId="0" applyNumberFormat="1" applyFill="1" applyAlignment="1" applyProtection="1">
      <alignment vertical="center"/>
      <protection locked="0"/>
    </xf>
    <xf numFmtId="0" fontId="0" fillId="0" borderId="0" xfId="0" applyNumberFormat="1" applyProtection="1">
      <protection locked="0"/>
    </xf>
    <xf numFmtId="0" fontId="0" fillId="15" borderId="0" xfId="0" applyNumberFormat="1" applyFill="1" applyAlignment="1" applyProtection="1">
      <alignment horizontal="center"/>
      <protection locked="0"/>
    </xf>
    <xf numFmtId="0" fontId="0" fillId="8" borderId="10" xfId="0" applyNumberFormat="1" applyFill="1" applyBorder="1" applyAlignment="1" applyProtection="1">
      <alignment horizontal="center"/>
      <protection locked="0"/>
    </xf>
    <xf numFmtId="0" fontId="0" fillId="15" borderId="0" xfId="0" applyNumberForma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35" borderId="0" xfId="0" applyFill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left" vertical="center"/>
      <protection locked="0"/>
    </xf>
    <xf numFmtId="0" fontId="0" fillId="8" borderId="0" xfId="0" applyFill="1" applyAlignment="1" applyProtection="1">
      <alignment vertical="center" wrapText="1"/>
      <protection locked="0"/>
    </xf>
    <xf numFmtId="0" fontId="0" fillId="8" borderId="0" xfId="0" applyFont="1" applyFill="1" applyProtection="1">
      <protection locked="0"/>
    </xf>
    <xf numFmtId="0" fontId="0" fillId="0" borderId="0" xfId="0" applyFill="1" applyBorder="1" applyAlignment="1">
      <alignment vertical="center"/>
    </xf>
    <xf numFmtId="0" fontId="23" fillId="2" borderId="12" xfId="0" applyFont="1" applyFill="1" applyBorder="1" applyAlignment="1" applyProtection="1">
      <alignment horizontal="left" vertical="center" wrapText="1"/>
    </xf>
    <xf numFmtId="0" fontId="17" fillId="9" borderId="11" xfId="0" applyFont="1" applyFill="1" applyBorder="1" applyAlignment="1" applyProtection="1">
      <alignment horizontal="left" vertical="center" wrapText="1"/>
    </xf>
    <xf numFmtId="0" fontId="26" fillId="10" borderId="19" xfId="0" applyFont="1" applyFill="1" applyBorder="1" applyAlignment="1" applyProtection="1">
      <alignment horizontal="left"/>
    </xf>
    <xf numFmtId="0" fontId="26" fillId="10" borderId="14" xfId="0" applyFont="1" applyFill="1" applyBorder="1" applyAlignment="1" applyProtection="1">
      <alignment horizontal="left"/>
    </xf>
    <xf numFmtId="0" fontId="26" fillId="10" borderId="8" xfId="0" applyFont="1" applyFill="1" applyBorder="1" applyAlignment="1" applyProtection="1">
      <alignment horizontal="left"/>
    </xf>
    <xf numFmtId="0" fontId="23" fillId="2" borderId="12" xfId="0" applyFont="1" applyFill="1" applyBorder="1" applyAlignment="1" applyProtection="1">
      <alignment horizontal="left" vertical="center"/>
    </xf>
    <xf numFmtId="0" fontId="23" fillId="14" borderId="44" xfId="0" applyFont="1" applyFill="1" applyBorder="1" applyAlignment="1" applyProtection="1">
      <alignment horizontal="left" vertical="center"/>
    </xf>
    <xf numFmtId="0" fontId="23" fillId="14" borderId="41" xfId="0" applyFont="1" applyFill="1" applyBorder="1" applyAlignment="1" applyProtection="1">
      <alignment horizontal="left" vertical="center"/>
    </xf>
    <xf numFmtId="0" fontId="23" fillId="15" borderId="0" xfId="0" applyFont="1" applyFill="1" applyBorder="1" applyAlignment="1" applyProtection="1">
      <alignment horizontal="left" vertical="center"/>
    </xf>
    <xf numFmtId="0" fontId="17" fillId="9" borderId="26" xfId="0" applyFont="1" applyFill="1" applyBorder="1" applyAlignment="1" applyProtection="1">
      <alignment horizontal="left"/>
    </xf>
    <xf numFmtId="0" fontId="0" fillId="8" borderId="12" xfId="0" applyFill="1" applyBorder="1" applyAlignment="1" applyProtection="1">
      <alignment horizontal="left"/>
    </xf>
    <xf numFmtId="0" fontId="0" fillId="8" borderId="0" xfId="0" applyFill="1" applyBorder="1" applyAlignment="1" applyProtection="1">
      <alignment horizontal="left"/>
    </xf>
    <xf numFmtId="0" fontId="0" fillId="8" borderId="10" xfId="0" applyFill="1" applyBorder="1" applyAlignment="1" applyProtection="1">
      <alignment horizontal="left"/>
    </xf>
    <xf numFmtId="0" fontId="0" fillId="0" borderId="0" xfId="0" applyBorder="1" applyAlignment="1" applyProtection="1">
      <alignment horizontal="center" vertical="center"/>
      <protection locked="0"/>
    </xf>
    <xf numFmtId="0" fontId="40" fillId="9" borderId="55" xfId="0" applyFont="1" applyFill="1" applyBorder="1" applyAlignment="1" applyProtection="1">
      <alignment horizontal="center" vertical="center" wrapText="1"/>
      <protection locked="0"/>
    </xf>
    <xf numFmtId="0" fontId="40" fillId="9" borderId="55" xfId="0" applyFont="1" applyFill="1" applyBorder="1" applyAlignment="1" applyProtection="1">
      <alignment horizontal="center" vertical="center"/>
      <protection locked="0"/>
    </xf>
    <xf numFmtId="0" fontId="40" fillId="9" borderId="55" xfId="0" applyFont="1" applyFill="1" applyBorder="1" applyAlignment="1" applyProtection="1">
      <alignment horizontal="left" vertical="center"/>
      <protection locked="0"/>
    </xf>
    <xf numFmtId="0" fontId="0" fillId="8" borderId="0" xfId="0" applyFill="1"/>
    <xf numFmtId="1" fontId="0" fillId="22" borderId="26" xfId="0" applyNumberFormat="1" applyFill="1" applyBorder="1" applyAlignment="1" applyProtection="1">
      <alignment horizontal="center" vertical="center"/>
      <protection locked="0"/>
    </xf>
    <xf numFmtId="1" fontId="0" fillId="22" borderId="29" xfId="0" applyNumberFormat="1" applyFill="1" applyBorder="1" applyAlignment="1" applyProtection="1">
      <alignment horizontal="center" vertical="center"/>
      <protection locked="0"/>
    </xf>
    <xf numFmtId="0" fontId="23" fillId="35" borderId="44" xfId="0" applyFont="1" applyFill="1" applyBorder="1" applyAlignment="1" applyProtection="1">
      <alignment horizontal="center" vertical="center"/>
      <protection locked="0"/>
    </xf>
    <xf numFmtId="0" fontId="23" fillId="35" borderId="41" xfId="0" applyFont="1" applyFill="1" applyBorder="1" applyAlignment="1" applyProtection="1">
      <alignment horizontal="center" vertical="center"/>
      <protection locked="0"/>
    </xf>
    <xf numFmtId="16" fontId="23" fillId="2" borderId="12" xfId="0" applyNumberFormat="1" applyFont="1" applyFill="1" applyBorder="1" applyAlignment="1" applyProtection="1">
      <alignment horizontal="left"/>
      <protection locked="0"/>
    </xf>
    <xf numFmtId="0" fontId="23" fillId="2" borderId="12" xfId="0" applyNumberFormat="1" applyFont="1" applyFill="1" applyBorder="1" applyAlignment="1" applyProtection="1">
      <alignment horizontal="center"/>
      <protection locked="0"/>
    </xf>
    <xf numFmtId="0" fontId="23" fillId="2" borderId="12" xfId="0" applyNumberFormat="1" applyFont="1" applyFill="1" applyBorder="1" applyAlignment="1" applyProtection="1">
      <alignment vertical="center" wrapText="1"/>
      <protection locked="0"/>
    </xf>
    <xf numFmtId="0" fontId="23" fillId="2" borderId="12" xfId="0" applyNumberFormat="1" applyFont="1" applyFill="1" applyBorder="1" applyAlignment="1" applyProtection="1">
      <alignment horizontal="center" vertical="center"/>
      <protection locked="0"/>
    </xf>
    <xf numFmtId="0" fontId="23" fillId="2" borderId="12" xfId="0" applyFont="1" applyFill="1" applyBorder="1" applyAlignment="1" applyProtection="1">
      <alignment horizontal="center"/>
      <protection locked="0"/>
    </xf>
    <xf numFmtId="0" fontId="23" fillId="2" borderId="12" xfId="0" applyFont="1" applyFill="1" applyBorder="1" applyAlignment="1" applyProtection="1">
      <alignment vertical="center" wrapText="1"/>
      <protection locked="0"/>
    </xf>
    <xf numFmtId="0" fontId="23" fillId="2" borderId="12" xfId="0" applyFont="1" applyFill="1" applyBorder="1" applyAlignment="1" applyProtection="1">
      <alignment vertical="center"/>
      <protection locked="0"/>
    </xf>
    <xf numFmtId="0" fontId="23" fillId="2" borderId="12" xfId="199" applyFont="1" applyFill="1" applyBorder="1" applyAlignment="1" applyProtection="1">
      <alignment horizontal="center" vertical="center"/>
      <protection locked="0"/>
    </xf>
    <xf numFmtId="0" fontId="23" fillId="2" borderId="13" xfId="199" applyFont="1" applyFill="1" applyBorder="1" applyAlignment="1" applyProtection="1">
      <alignment horizontal="center" vertical="center"/>
      <protection locked="0"/>
    </xf>
    <xf numFmtId="16" fontId="23" fillId="2" borderId="0" xfId="0" applyNumberFormat="1" applyFont="1" applyFill="1" applyBorder="1" applyAlignment="1" applyProtection="1">
      <alignment horizontal="left"/>
      <protection locked="0"/>
    </xf>
    <xf numFmtId="0" fontId="25" fillId="9" borderId="12" xfId="0" applyNumberFormat="1" applyFont="1" applyFill="1" applyBorder="1" applyAlignment="1" applyProtection="1">
      <alignment horizontal="center" vertical="center"/>
      <protection locked="0"/>
    </xf>
    <xf numFmtId="0" fontId="25" fillId="9" borderId="13" xfId="0" applyNumberFormat="1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Border="1" applyAlignment="1" applyProtection="1">
      <alignment horizontal="center"/>
      <protection locked="0"/>
    </xf>
    <xf numFmtId="0" fontId="17" fillId="9" borderId="11" xfId="0" applyFont="1" applyFill="1" applyBorder="1" applyAlignment="1" applyProtection="1">
      <alignment horizontal="center" vertical="center" wrapText="1"/>
      <protection locked="0"/>
    </xf>
    <xf numFmtId="0" fontId="25" fillId="9" borderId="12" xfId="0" applyFont="1" applyFill="1" applyBorder="1" applyAlignment="1" applyProtection="1">
      <alignment horizontal="center" vertical="center" wrapText="1"/>
      <protection locked="0"/>
    </xf>
    <xf numFmtId="16" fontId="25" fillId="9" borderId="12" xfId="0" applyNumberFormat="1" applyFont="1" applyFill="1" applyBorder="1" applyAlignment="1" applyProtection="1">
      <alignment horizontal="center" vertical="center"/>
      <protection locked="0"/>
    </xf>
    <xf numFmtId="0" fontId="25" fillId="9" borderId="13" xfId="199" applyFont="1" applyFill="1" applyBorder="1" applyAlignment="1" applyProtection="1">
      <alignment horizontal="center" vertical="center"/>
      <protection locked="0"/>
    </xf>
    <xf numFmtId="0" fontId="26" fillId="10" borderId="45" xfId="0" applyFont="1" applyFill="1" applyBorder="1" applyAlignment="1" applyProtection="1">
      <alignment horizontal="right"/>
      <protection locked="0"/>
    </xf>
    <xf numFmtId="0" fontId="23" fillId="35" borderId="1" xfId="0" applyNumberFormat="1" applyFont="1" applyFill="1" applyBorder="1" applyAlignment="1" applyProtection="1">
      <alignment horizontal="center" vertical="center"/>
      <protection locked="0"/>
    </xf>
    <xf numFmtId="0" fontId="23" fillId="35" borderId="26" xfId="0" applyNumberFormat="1" applyFont="1" applyFill="1" applyBorder="1" applyAlignment="1" applyProtection="1">
      <alignment horizontal="center" vertical="center"/>
      <protection locked="0"/>
    </xf>
    <xf numFmtId="0" fontId="26" fillId="10" borderId="19" xfId="0" applyFont="1" applyFill="1" applyBorder="1" applyAlignment="1" applyProtection="1">
      <alignment horizontal="right"/>
      <protection locked="0"/>
    </xf>
    <xf numFmtId="0" fontId="23" fillId="35" borderId="1" xfId="0" applyFont="1" applyFill="1" applyBorder="1" applyAlignment="1" applyProtection="1">
      <alignment horizontal="center" vertical="center"/>
      <protection locked="0"/>
    </xf>
    <xf numFmtId="0" fontId="23" fillId="35" borderId="1" xfId="0" applyFont="1" applyFill="1" applyBorder="1" applyAlignment="1" applyProtection="1">
      <alignment horizontal="center"/>
      <protection locked="0"/>
    </xf>
    <xf numFmtId="0" fontId="23" fillId="35" borderId="26" xfId="0" applyFont="1" applyFill="1" applyBorder="1" applyAlignment="1" applyProtection="1">
      <alignment horizontal="center"/>
      <protection locked="0"/>
    </xf>
    <xf numFmtId="0" fontId="26" fillId="10" borderId="34" xfId="0" applyFont="1" applyFill="1" applyBorder="1" applyAlignment="1" applyProtection="1">
      <alignment horizontal="right"/>
      <protection locked="0"/>
    </xf>
    <xf numFmtId="0" fontId="26" fillId="10" borderId="14" xfId="0" applyFont="1" applyFill="1" applyBorder="1" applyAlignment="1" applyProtection="1">
      <alignment horizontal="right"/>
      <protection locked="0"/>
    </xf>
    <xf numFmtId="0" fontId="23" fillId="35" borderId="26" xfId="0" applyFont="1" applyFill="1" applyBorder="1" applyAlignment="1" applyProtection="1">
      <alignment horizontal="center" vertical="center"/>
      <protection locked="0"/>
    </xf>
    <xf numFmtId="0" fontId="26" fillId="10" borderId="46" xfId="0" applyFont="1" applyFill="1" applyBorder="1" applyAlignment="1" applyProtection="1">
      <alignment horizontal="right"/>
      <protection locked="0"/>
    </xf>
    <xf numFmtId="0" fontId="23" fillId="35" borderId="28" xfId="0" applyNumberFormat="1" applyFont="1" applyFill="1" applyBorder="1" applyAlignment="1" applyProtection="1">
      <alignment horizontal="center" vertical="center"/>
      <protection locked="0"/>
    </xf>
    <xf numFmtId="0" fontId="23" fillId="35" borderId="29" xfId="0" applyNumberFormat="1" applyFont="1" applyFill="1" applyBorder="1" applyAlignment="1" applyProtection="1">
      <alignment horizontal="center" vertical="center"/>
      <protection locked="0"/>
    </xf>
    <xf numFmtId="0" fontId="26" fillId="10" borderId="8" xfId="0" applyFont="1" applyFill="1" applyBorder="1" applyAlignment="1" applyProtection="1">
      <alignment horizontal="right"/>
      <protection locked="0"/>
    </xf>
    <xf numFmtId="0" fontId="23" fillId="35" borderId="28" xfId="0" applyFont="1" applyFill="1" applyBorder="1" applyAlignment="1" applyProtection="1">
      <alignment horizontal="center" vertical="center"/>
      <protection locked="0"/>
    </xf>
    <xf numFmtId="0" fontId="23" fillId="35" borderId="29" xfId="0" applyFont="1" applyFill="1" applyBorder="1" applyAlignment="1" applyProtection="1">
      <alignment horizontal="center" vertical="center"/>
      <protection locked="0"/>
    </xf>
    <xf numFmtId="0" fontId="23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NumberFormat="1" applyFill="1" applyBorder="1" applyProtection="1">
      <protection locked="0"/>
    </xf>
    <xf numFmtId="0" fontId="23" fillId="2" borderId="0" xfId="0" applyFont="1" applyFill="1" applyBorder="1" applyProtection="1">
      <protection locked="0"/>
    </xf>
    <xf numFmtId="0" fontId="23" fillId="2" borderId="0" xfId="0" applyFont="1" applyFill="1" applyBorder="1" applyAlignment="1" applyProtection="1">
      <alignment horizontal="left" vertical="center"/>
      <protection locked="0"/>
    </xf>
    <xf numFmtId="0" fontId="23" fillId="2" borderId="0" xfId="0" applyFont="1" applyFill="1" applyBorder="1" applyAlignment="1" applyProtection="1">
      <alignment horizontal="left"/>
      <protection locked="0"/>
    </xf>
    <xf numFmtId="0" fontId="23" fillId="2" borderId="15" xfId="0" applyFont="1" applyFill="1" applyBorder="1" applyProtection="1">
      <protection locked="0"/>
    </xf>
    <xf numFmtId="16" fontId="23" fillId="2" borderId="10" xfId="0" applyNumberFormat="1" applyFont="1" applyFill="1" applyBorder="1" applyAlignment="1" applyProtection="1">
      <alignment horizontal="left"/>
      <protection locked="0"/>
    </xf>
    <xf numFmtId="0" fontId="23" fillId="2" borderId="10" xfId="0" applyNumberFormat="1" applyFont="1" applyFill="1" applyBorder="1" applyAlignment="1" applyProtection="1">
      <alignment horizontal="center"/>
      <protection locked="0"/>
    </xf>
    <xf numFmtId="0" fontId="23" fillId="2" borderId="10" xfId="0" applyNumberFormat="1" applyFont="1" applyFill="1" applyBorder="1" applyAlignment="1" applyProtection="1">
      <protection locked="0"/>
    </xf>
    <xf numFmtId="0" fontId="23" fillId="2" borderId="10" xfId="0" applyNumberFormat="1" applyFont="1" applyFill="1" applyBorder="1" applyAlignment="1" applyProtection="1">
      <alignment horizontal="left" vertical="center"/>
      <protection locked="0"/>
    </xf>
    <xf numFmtId="0" fontId="23" fillId="2" borderId="10" xfId="0" applyFont="1" applyFill="1" applyBorder="1" applyAlignment="1" applyProtection="1">
      <alignment horizontal="center"/>
      <protection locked="0"/>
    </xf>
    <xf numFmtId="0" fontId="23" fillId="2" borderId="10" xfId="0" applyFont="1" applyFill="1" applyBorder="1" applyProtection="1">
      <protection locked="0"/>
    </xf>
    <xf numFmtId="0" fontId="23" fillId="2" borderId="10" xfId="0" applyFont="1" applyFill="1" applyBorder="1" applyAlignment="1" applyProtection="1">
      <alignment horizontal="left" vertical="center"/>
      <protection locked="0"/>
    </xf>
    <xf numFmtId="0" fontId="23" fillId="2" borderId="10" xfId="0" applyFont="1" applyFill="1" applyBorder="1" applyAlignment="1" applyProtection="1">
      <alignment horizontal="left"/>
      <protection locked="0"/>
    </xf>
    <xf numFmtId="0" fontId="23" fillId="2" borderId="9" xfId="0" applyFont="1" applyFill="1" applyBorder="1" applyProtection="1">
      <protection locked="0"/>
    </xf>
    <xf numFmtId="0" fontId="16" fillId="2" borderId="12" xfId="0" applyFont="1" applyFill="1" applyBorder="1" applyAlignment="1" applyProtection="1">
      <alignment horizontal="center" vertical="center" wrapText="1"/>
      <protection locked="0"/>
    </xf>
    <xf numFmtId="0" fontId="24" fillId="10" borderId="32" xfId="0" applyFont="1" applyFill="1" applyBorder="1" applyAlignment="1" applyProtection="1">
      <alignment horizontal="right" wrapText="1"/>
      <protection locked="0"/>
    </xf>
    <xf numFmtId="16" fontId="24" fillId="10" borderId="45" xfId="0" applyNumberFormat="1" applyFont="1" applyFill="1" applyBorder="1" applyAlignment="1" applyProtection="1">
      <alignment horizontal="right" wrapText="1"/>
      <protection locked="0"/>
    </xf>
    <xf numFmtId="0" fontId="23" fillId="35" borderId="44" xfId="0" applyNumberFormat="1" applyFont="1" applyFill="1" applyBorder="1" applyAlignment="1" applyProtection="1">
      <alignment horizontal="center" vertical="center"/>
      <protection locked="0"/>
    </xf>
    <xf numFmtId="16" fontId="24" fillId="10" borderId="34" xfId="0" applyNumberFormat="1" applyFont="1" applyFill="1" applyBorder="1" applyAlignment="1" applyProtection="1">
      <alignment horizontal="right" wrapText="1"/>
      <protection locked="0"/>
    </xf>
    <xf numFmtId="16" fontId="24" fillId="10" borderId="46" xfId="0" applyNumberFormat="1" applyFont="1" applyFill="1" applyBorder="1" applyAlignment="1" applyProtection="1">
      <alignment horizontal="right" wrapText="1"/>
      <protection locked="0"/>
    </xf>
    <xf numFmtId="0" fontId="23" fillId="35" borderId="41" xfId="0" applyNumberFormat="1" applyFont="1" applyFill="1" applyBorder="1" applyAlignment="1" applyProtection="1">
      <alignment horizontal="center" vertical="center"/>
      <protection locked="0"/>
    </xf>
    <xf numFmtId="0" fontId="0" fillId="15" borderId="0" xfId="0" applyNumberFormat="1" applyFill="1" applyBorder="1" applyAlignment="1" applyProtection="1">
      <alignment vertical="center"/>
      <protection locked="0"/>
    </xf>
    <xf numFmtId="0" fontId="26" fillId="15" borderId="0" xfId="0" applyFont="1" applyFill="1" applyBorder="1" applyAlignment="1" applyProtection="1">
      <alignment horizontal="right"/>
      <protection locked="0"/>
    </xf>
    <xf numFmtId="0" fontId="23" fillId="15" borderId="0" xfId="0" applyFont="1" applyFill="1" applyBorder="1" applyAlignment="1" applyProtection="1">
      <alignment horizontal="center" vertical="center"/>
      <protection locked="0"/>
    </xf>
    <xf numFmtId="0" fontId="17" fillId="12" borderId="1" xfId="0" applyNumberFormat="1" applyFont="1" applyFill="1" applyBorder="1" applyAlignment="1" applyProtection="1">
      <alignment horizontal="center"/>
      <protection locked="0"/>
    </xf>
    <xf numFmtId="0" fontId="17" fillId="9" borderId="1" xfId="0" applyNumberFormat="1" applyFont="1" applyFill="1" applyBorder="1" applyAlignment="1" applyProtection="1">
      <alignment horizontal="center"/>
      <protection locked="0"/>
    </xf>
    <xf numFmtId="0" fontId="17" fillId="9" borderId="1" xfId="0" applyFont="1" applyFill="1" applyBorder="1" applyAlignment="1" applyProtection="1">
      <alignment horizontal="center"/>
      <protection locked="0"/>
    </xf>
    <xf numFmtId="0" fontId="17" fillId="9" borderId="26" xfId="0" applyFont="1" applyFill="1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8" borderId="12" xfId="0" applyNumberFormat="1" applyFill="1" applyBorder="1" applyProtection="1">
      <protection locked="0"/>
    </xf>
    <xf numFmtId="0" fontId="0" fillId="23" borderId="45" xfId="0" applyFill="1" applyBorder="1" applyAlignment="1" applyProtection="1">
      <alignment horizontal="center" vertical="center"/>
      <protection locked="0"/>
    </xf>
    <xf numFmtId="0" fontId="0" fillId="23" borderId="27" xfId="0" applyFill="1" applyBorder="1" applyAlignment="1" applyProtection="1">
      <alignment horizontal="center" vertical="center"/>
      <protection locked="0"/>
    </xf>
    <xf numFmtId="0" fontId="0" fillId="8" borderId="0" xfId="0" applyFont="1" applyFill="1" applyBorder="1" applyAlignment="1" applyProtection="1">
      <alignment horizontal="center" vertical="center" textRotation="90"/>
      <protection locked="0"/>
    </xf>
    <xf numFmtId="0" fontId="0" fillId="8" borderId="0" xfId="0" applyNumberFormat="1" applyFill="1" applyBorder="1" applyAlignment="1" applyProtection="1">
      <alignment horizontal="center"/>
      <protection locked="0"/>
    </xf>
    <xf numFmtId="0" fontId="0" fillId="8" borderId="0" xfId="0" applyFill="1" applyBorder="1" applyAlignment="1" applyProtection="1">
      <alignment horizontal="center"/>
      <protection locked="0"/>
    </xf>
    <xf numFmtId="0" fontId="0" fillId="8" borderId="8" xfId="0" applyFill="1" applyBorder="1" applyProtection="1">
      <protection locked="0"/>
    </xf>
    <xf numFmtId="0" fontId="0" fillId="8" borderId="10" xfId="0" applyNumberFormat="1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20" fillId="8" borderId="0" xfId="0" applyFont="1" applyFill="1" applyBorder="1" applyAlignment="1">
      <alignment horizontal="center" vertical="center"/>
    </xf>
    <xf numFmtId="0" fontId="34" fillId="26" borderId="30" xfId="0" applyFont="1" applyFill="1" applyBorder="1" applyAlignment="1">
      <alignment horizontal="center" vertical="center"/>
    </xf>
    <xf numFmtId="0" fontId="34" fillId="25" borderId="30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10" fillId="37" borderId="30" xfId="0" applyFont="1" applyFill="1" applyBorder="1" applyAlignment="1">
      <alignment horizontal="center" vertical="center"/>
    </xf>
    <xf numFmtId="0" fontId="34" fillId="8" borderId="0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4" fillId="25" borderId="28" xfId="0" applyFont="1" applyFill="1" applyBorder="1" applyAlignment="1">
      <alignment horizontal="center" vertical="center"/>
    </xf>
    <xf numFmtId="0" fontId="34" fillId="26" borderId="28" xfId="0" applyFont="1" applyFill="1" applyBorder="1" applyAlignment="1">
      <alignment horizontal="center" vertical="center"/>
    </xf>
    <xf numFmtId="0" fontId="0" fillId="8" borderId="0" xfId="0" applyFont="1" applyFill="1" applyBorder="1" applyAlignment="1" applyProtection="1">
      <alignment vertical="center" textRotation="90"/>
      <protection locked="0"/>
    </xf>
    <xf numFmtId="0" fontId="0" fillId="3" borderId="0" xfId="0" applyFill="1"/>
    <xf numFmtId="0" fontId="0" fillId="0" borderId="0" xfId="0" applyFill="1"/>
    <xf numFmtId="0" fontId="21" fillId="9" borderId="3" xfId="0" applyFont="1" applyFill="1" applyBorder="1" applyAlignment="1" applyProtection="1">
      <alignment horizontal="center" vertical="center" wrapText="1"/>
      <protection locked="0"/>
    </xf>
    <xf numFmtId="0" fontId="0" fillId="8" borderId="0" xfId="0" applyFill="1" applyBorder="1" applyAlignment="1" applyProtection="1">
      <alignment horizontal="center" vertical="center" wrapText="1"/>
      <protection locked="0"/>
    </xf>
    <xf numFmtId="0" fontId="7" fillId="8" borderId="0" xfId="0" applyFont="1" applyFill="1" applyBorder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wrapText="1"/>
      <protection locked="0"/>
    </xf>
    <xf numFmtId="0" fontId="0" fillId="15" borderId="0" xfId="0" applyFont="1" applyFill="1" applyBorder="1" applyAlignment="1" applyProtection="1">
      <alignment vertical="center" textRotation="90"/>
      <protection locked="0"/>
    </xf>
    <xf numFmtId="0" fontId="0" fillId="15" borderId="0" xfId="0" applyFont="1" applyFill="1" applyBorder="1" applyAlignment="1" applyProtection="1">
      <alignment horizontal="center" vertical="center" textRotation="90"/>
      <protection locked="0"/>
    </xf>
    <xf numFmtId="0" fontId="0" fillId="15" borderId="0" xfId="0" applyFill="1" applyBorder="1" applyAlignment="1" applyProtection="1">
      <alignment horizontal="center"/>
      <protection locked="0"/>
    </xf>
    <xf numFmtId="0" fontId="23" fillId="9" borderId="15" xfId="0" applyFont="1" applyFill="1" applyBorder="1" applyAlignment="1" applyProtection="1">
      <alignment horizontal="center" vertical="center" wrapText="1"/>
    </xf>
    <xf numFmtId="49" fontId="27" fillId="15" borderId="0" xfId="0" applyNumberFormat="1" applyFont="1" applyFill="1" applyBorder="1" applyAlignment="1" applyProtection="1">
      <alignment horizontal="left" vertical="center"/>
      <protection locked="0"/>
    </xf>
    <xf numFmtId="49" fontId="27" fillId="8" borderId="12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Alignment="1" applyProtection="1">
      <alignment wrapText="1"/>
      <protection locked="0"/>
    </xf>
    <xf numFmtId="0" fontId="4" fillId="0" borderId="1" xfId="201" applyBorder="1" applyAlignment="1" applyProtection="1">
      <alignment horizontal="center"/>
      <protection locked="0"/>
    </xf>
    <xf numFmtId="0" fontId="24" fillId="8" borderId="0" xfId="0" applyFont="1" applyFill="1" applyBorder="1" applyAlignment="1" applyProtection="1">
      <alignment horizontal="right" vertical="center" wrapText="1"/>
      <protection locked="0"/>
    </xf>
    <xf numFmtId="0" fontId="23" fillId="8" borderId="0" xfId="0" applyFont="1" applyFill="1" applyBorder="1" applyAlignment="1" applyProtection="1">
      <alignment horizontal="center" vertical="center"/>
      <protection locked="0"/>
    </xf>
    <xf numFmtId="16" fontId="0" fillId="15" borderId="0" xfId="0" applyNumberFormat="1" applyFill="1" applyBorder="1" applyAlignment="1" applyProtection="1">
      <alignment horizontal="center" vertical="center"/>
      <protection locked="0"/>
    </xf>
    <xf numFmtId="0" fontId="7" fillId="0" borderId="0" xfId="0" applyFont="1" applyFill="1"/>
    <xf numFmtId="0" fontId="59" fillId="0" borderId="0" xfId="206" applyFill="1"/>
    <xf numFmtId="1" fontId="3" fillId="8" borderId="30" xfId="0" applyNumberFormat="1" applyFont="1" applyFill="1" applyBorder="1" applyAlignment="1">
      <alignment horizontal="center" vertical="center"/>
    </xf>
    <xf numFmtId="16" fontId="0" fillId="8" borderId="0" xfId="0" applyNumberFormat="1" applyFill="1" applyBorder="1" applyAlignment="1" applyProtection="1">
      <alignment horizontal="left" vertical="center" wrapText="1"/>
      <protection locked="0"/>
    </xf>
    <xf numFmtId="0" fontId="0" fillId="8" borderId="0" xfId="0" applyNumberFormat="1" applyFill="1" applyBorder="1" applyAlignment="1" applyProtection="1">
      <alignment horizontal="center" vertical="center"/>
      <protection locked="0"/>
    </xf>
    <xf numFmtId="16" fontId="0" fillId="8" borderId="0" xfId="0" applyNumberFormat="1" applyFill="1" applyBorder="1" applyAlignment="1" applyProtection="1">
      <alignment horizontal="left" vertical="center"/>
      <protection locked="0"/>
    </xf>
    <xf numFmtId="1" fontId="0" fillId="8" borderId="0" xfId="0" applyNumberFormat="1" applyFill="1" applyBorder="1" applyAlignment="1" applyProtection="1">
      <alignment horizontal="center" vertical="center" wrapText="1"/>
      <protection locked="0"/>
    </xf>
    <xf numFmtId="0" fontId="15" fillId="8" borderId="0" xfId="200" applyFont="1" applyFill="1" applyBorder="1" applyAlignment="1" applyProtection="1">
      <alignment vertical="center"/>
      <protection locked="0"/>
    </xf>
    <xf numFmtId="0" fontId="51" fillId="8" borderId="0" xfId="203" applyFont="1" applyFill="1" applyBorder="1" applyAlignment="1" applyProtection="1">
      <alignment horizontal="center" vertical="center"/>
      <protection locked="0"/>
    </xf>
    <xf numFmtId="0" fontId="15" fillId="8" borderId="0" xfId="199" applyFill="1" applyBorder="1" applyAlignment="1" applyProtection="1">
      <alignment vertical="center"/>
      <protection locked="0"/>
    </xf>
    <xf numFmtId="0" fontId="0" fillId="8" borderId="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Font="1" applyFill="1" applyBorder="1" applyAlignment="1" applyProtection="1">
      <alignment horizontal="center" vertical="center" wrapText="1"/>
      <protection locked="0"/>
    </xf>
    <xf numFmtId="0" fontId="57" fillId="8" borderId="0" xfId="0" applyFont="1" applyFill="1" applyBorder="1" applyAlignment="1" applyProtection="1">
      <alignment horizontal="center" vertical="center" wrapText="1"/>
      <protection locked="0"/>
    </xf>
    <xf numFmtId="0" fontId="15" fillId="8" borderId="0" xfId="200" applyFon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4" fillId="8" borderId="0" xfId="201" applyFill="1" applyBorder="1" applyAlignment="1" applyProtection="1">
      <alignment vertical="center"/>
      <protection locked="0"/>
    </xf>
    <xf numFmtId="1" fontId="0" fillId="8" borderId="0" xfId="0" applyNumberFormat="1" applyFill="1" applyBorder="1" applyAlignment="1" applyProtection="1">
      <alignment horizontal="center" vertical="center"/>
    </xf>
    <xf numFmtId="0" fontId="0" fillId="8" borderId="14" xfId="0" applyFont="1" applyFill="1" applyBorder="1" applyProtection="1">
      <protection locked="0"/>
    </xf>
    <xf numFmtId="0" fontId="0" fillId="8" borderId="0" xfId="0" applyFont="1" applyFill="1" applyBorder="1" applyProtection="1">
      <protection locked="0"/>
    </xf>
    <xf numFmtId="46" fontId="0" fillId="8" borderId="0" xfId="0" applyNumberFormat="1" applyFill="1" applyBorder="1" applyAlignment="1" applyProtection="1">
      <alignment vertical="center"/>
      <protection locked="0"/>
    </xf>
    <xf numFmtId="0" fontId="0" fillId="8" borderId="0" xfId="0" applyFont="1" applyFill="1" applyBorder="1" applyAlignment="1" applyProtection="1">
      <alignment horizontal="center" vertical="center"/>
      <protection locked="0"/>
    </xf>
    <xf numFmtId="0" fontId="0" fillId="8" borderId="15" xfId="0" applyFont="1" applyFill="1" applyBorder="1" applyProtection="1">
      <protection locked="0"/>
    </xf>
    <xf numFmtId="1" fontId="0" fillId="8" borderId="10" xfId="0" applyNumberFormat="1" applyFill="1" applyBorder="1" applyAlignment="1" applyProtection="1">
      <alignment horizontal="left"/>
      <protection locked="0"/>
    </xf>
    <xf numFmtId="0" fontId="21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57" fillId="38" borderId="1" xfId="202" applyFont="1" applyFill="1" applyBorder="1" applyAlignment="1" applyProtection="1">
      <alignment horizontal="left" vertical="center" wrapText="1"/>
      <protection locked="0"/>
    </xf>
    <xf numFmtId="0" fontId="57" fillId="0" borderId="1" xfId="0" applyFont="1" applyBorder="1" applyAlignment="1" applyProtection="1">
      <alignment horizontal="left" vertical="center" wrapText="1"/>
      <protection locked="0"/>
    </xf>
    <xf numFmtId="0" fontId="57" fillId="38" borderId="1" xfId="0" applyFont="1" applyFill="1" applyBorder="1" applyAlignment="1" applyProtection="1">
      <alignment horizontal="left" vertical="center" wrapText="1"/>
      <protection locked="0"/>
    </xf>
    <xf numFmtId="0" fontId="59" fillId="36" borderId="28" xfId="201" applyFont="1" applyFill="1" applyBorder="1" applyAlignment="1" applyProtection="1">
      <alignment horizontal="center" vertical="center"/>
      <protection locked="0"/>
    </xf>
    <xf numFmtId="0" fontId="59" fillId="0" borderId="1" xfId="201" applyFont="1" applyFill="1" applyBorder="1" applyAlignment="1" applyProtection="1">
      <alignment horizontal="center" vertical="center"/>
      <protection locked="0"/>
    </xf>
    <xf numFmtId="0" fontId="57" fillId="38" borderId="1" xfId="0" applyFont="1" applyFill="1" applyBorder="1" applyAlignment="1" applyProtection="1">
      <alignment horizontal="center" vertical="center"/>
      <protection locked="0"/>
    </xf>
    <xf numFmtId="0" fontId="50" fillId="8" borderId="0" xfId="203" applyFill="1" applyBorder="1" applyAlignment="1" applyProtection="1">
      <alignment horizontal="center" vertical="center"/>
      <protection locked="0"/>
    </xf>
    <xf numFmtId="0" fontId="0" fillId="0" borderId="28" xfId="0" applyNumberFormat="1" applyFill="1" applyBorder="1" applyAlignment="1" applyProtection="1">
      <alignment horizontal="center" vertical="center"/>
      <protection locked="0"/>
    </xf>
    <xf numFmtId="1" fontId="40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32" xfId="0" applyFont="1" applyFill="1" applyBorder="1" applyAlignment="1" applyProtection="1">
      <alignment horizontal="left" vertical="center" wrapText="1"/>
      <protection locked="0"/>
    </xf>
    <xf numFmtId="1" fontId="40" fillId="9" borderId="55" xfId="0" applyNumberFormat="1" applyFont="1" applyFill="1" applyBorder="1" applyAlignment="1" applyProtection="1">
      <alignment horizontal="center" vertical="center" wrapText="1"/>
      <protection locked="0"/>
    </xf>
    <xf numFmtId="0" fontId="40" fillId="9" borderId="52" xfId="0" applyFont="1" applyFill="1" applyBorder="1" applyAlignment="1" applyProtection="1">
      <alignment horizontal="center" vertical="center"/>
      <protection locked="0"/>
    </xf>
    <xf numFmtId="0" fontId="40" fillId="9" borderId="26" xfId="0" applyFont="1" applyFill="1" applyBorder="1" applyAlignment="1" applyProtection="1">
      <alignment horizontal="center" vertical="center"/>
      <protection locked="0"/>
    </xf>
    <xf numFmtId="16" fontId="57" fillId="38" borderId="32" xfId="0" applyNumberFormat="1" applyFont="1" applyFill="1" applyBorder="1" applyAlignment="1" applyProtection="1">
      <alignment horizontal="left" vertical="center"/>
      <protection locked="0"/>
    </xf>
    <xf numFmtId="16" fontId="57" fillId="38" borderId="27" xfId="0" applyNumberFormat="1" applyFont="1" applyFill="1" applyBorder="1" applyAlignment="1" applyProtection="1">
      <alignment horizontal="left" vertical="center"/>
      <protection locked="0"/>
    </xf>
    <xf numFmtId="0" fontId="59" fillId="36" borderId="26" xfId="201" applyFont="1" applyFill="1" applyBorder="1" applyAlignment="1">
      <alignment horizontal="center" vertical="center"/>
    </xf>
    <xf numFmtId="0" fontId="4" fillId="36" borderId="26" xfId="201" applyFill="1" applyBorder="1" applyAlignment="1">
      <alignment horizontal="center"/>
    </xf>
    <xf numFmtId="0" fontId="4" fillId="8" borderId="0" xfId="200" applyFont="1" applyFill="1" applyBorder="1" applyAlignment="1">
      <alignment horizontal="center" vertical="center"/>
    </xf>
    <xf numFmtId="16" fontId="0" fillId="8" borderId="0" xfId="0" applyNumberFormat="1" applyFill="1" applyBorder="1" applyAlignment="1">
      <alignment horizontal="left" vertical="center"/>
    </xf>
    <xf numFmtId="16" fontId="0" fillId="8" borderId="0" xfId="0" applyNumberFormat="1" applyFill="1" applyBorder="1" applyAlignment="1">
      <alignment horizontal="left" vertical="center" wrapText="1"/>
    </xf>
    <xf numFmtId="1" fontId="40" fillId="9" borderId="1" xfId="0" applyNumberFormat="1" applyFont="1" applyFill="1" applyBorder="1" applyAlignment="1">
      <alignment horizontal="center" vertical="center" wrapText="1"/>
    </xf>
    <xf numFmtId="0" fontId="21" fillId="9" borderId="32" xfId="0" applyFont="1" applyFill="1" applyBorder="1" applyAlignment="1">
      <alignment horizontal="left" vertical="center" wrapText="1"/>
    </xf>
    <xf numFmtId="0" fontId="4" fillId="8" borderId="0" xfId="20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/>
    </xf>
    <xf numFmtId="0" fontId="40" fillId="9" borderId="26" xfId="0" applyFont="1" applyFill="1" applyBorder="1" applyAlignment="1">
      <alignment horizontal="center" vertical="center"/>
    </xf>
    <xf numFmtId="0" fontId="59" fillId="36" borderId="29" xfId="201" applyFont="1" applyFill="1" applyBorder="1" applyAlignment="1">
      <alignment horizontal="center" vertical="center"/>
    </xf>
    <xf numFmtId="0" fontId="59" fillId="8" borderId="0" xfId="201" applyFont="1" applyFill="1" applyBorder="1" applyAlignment="1">
      <alignment horizontal="center" vertical="center"/>
    </xf>
    <xf numFmtId="0" fontId="59" fillId="36" borderId="26" xfId="201" applyFont="1" applyFill="1" applyBorder="1" applyAlignment="1">
      <alignment horizontal="center"/>
    </xf>
    <xf numFmtId="0" fontId="59" fillId="36" borderId="28" xfId="20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0" fillId="8" borderId="0" xfId="0" applyFont="1" applyFill="1" applyBorder="1"/>
    <xf numFmtId="46" fontId="0" fillId="8" borderId="0" xfId="0" applyNumberFormat="1" applyFill="1" applyBorder="1" applyAlignment="1">
      <alignment vertical="center"/>
    </xf>
    <xf numFmtId="0" fontId="0" fillId="8" borderId="14" xfId="0" applyFont="1" applyFill="1" applyBorder="1"/>
    <xf numFmtId="0" fontId="0" fillId="8" borderId="15" xfId="0" applyFont="1" applyFill="1" applyBorder="1"/>
    <xf numFmtId="1" fontId="0" fillId="8" borderId="10" xfId="0" applyNumberFormat="1" applyFill="1" applyBorder="1" applyAlignment="1">
      <alignment horizontal="left"/>
    </xf>
    <xf numFmtId="0" fontId="0" fillId="8" borderId="9" xfId="0" applyFill="1" applyBorder="1"/>
    <xf numFmtId="0" fontId="59" fillId="36" borderId="26" xfId="201" applyFont="1" applyFill="1" applyBorder="1" applyAlignment="1">
      <alignment horizontal="center" vertical="center" wrapText="1"/>
    </xf>
    <xf numFmtId="0" fontId="55" fillId="15" borderId="0" xfId="0" applyFont="1" applyFill="1" applyAlignment="1" applyProtection="1">
      <alignment vertical="center"/>
      <protection locked="0"/>
    </xf>
    <xf numFmtId="16" fontId="0" fillId="8" borderId="0" xfId="0" applyNumberFormat="1" applyFill="1" applyBorder="1" applyAlignment="1" applyProtection="1">
      <alignment horizontal="center"/>
      <protection locked="0"/>
    </xf>
    <xf numFmtId="0" fontId="0" fillId="8" borderId="0" xfId="0" applyNumberFormat="1" applyFill="1" applyBorder="1" applyProtection="1">
      <protection locked="0"/>
    </xf>
    <xf numFmtId="16" fontId="0" fillId="8" borderId="10" xfId="0" applyNumberFormat="1" applyFill="1" applyBorder="1" applyAlignment="1" applyProtection="1">
      <alignment horizontal="center" vertical="center"/>
      <protection locked="0"/>
    </xf>
    <xf numFmtId="16" fontId="0" fillId="0" borderId="27" xfId="0" applyNumberFormat="1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59" fillId="8" borderId="26" xfId="201" applyFont="1" applyFill="1" applyBorder="1" applyAlignment="1" applyProtection="1">
      <alignment vertical="center"/>
      <protection locked="0"/>
    </xf>
    <xf numFmtId="0" fontId="58" fillId="8" borderId="0" xfId="204" applyFill="1" applyBorder="1" applyAlignment="1" applyProtection="1">
      <alignment horizontal="center" vertical="center"/>
      <protection locked="0"/>
    </xf>
    <xf numFmtId="16" fontId="0" fillId="8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28" xfId="0" applyFill="1" applyBorder="1" applyAlignment="1" applyProtection="1">
      <alignment horizontal="left" vertical="center" wrapText="1"/>
      <protection locked="0"/>
    </xf>
    <xf numFmtId="0" fontId="59" fillId="8" borderId="26" xfId="201" applyFont="1" applyFill="1" applyBorder="1" applyAlignment="1" applyProtection="1">
      <alignment horizontal="left" vertical="center" wrapText="1"/>
      <protection locked="0"/>
    </xf>
    <xf numFmtId="16" fontId="0" fillId="8" borderId="10" xfId="0" applyNumberFormat="1" applyFill="1" applyBorder="1" applyAlignment="1" applyProtection="1">
      <alignment horizontal="left" vertical="center"/>
      <protection locked="0"/>
    </xf>
    <xf numFmtId="0" fontId="0" fillId="8" borderId="10" xfId="0" applyNumberFormat="1" applyFill="1" applyBorder="1" applyAlignment="1" applyProtection="1">
      <alignment horizontal="center" vertical="center"/>
      <protection locked="0"/>
    </xf>
    <xf numFmtId="0" fontId="0" fillId="8" borderId="10" xfId="0" applyFont="1" applyFill="1" applyBorder="1" applyAlignment="1" applyProtection="1">
      <alignment vertical="center"/>
      <protection locked="0"/>
    </xf>
    <xf numFmtId="0" fontId="0" fillId="8" borderId="10" xfId="0" applyFill="1" applyBorder="1" applyAlignment="1" applyProtection="1">
      <alignment horizontal="left" vertical="center"/>
      <protection locked="0"/>
    </xf>
    <xf numFmtId="0" fontId="4" fillId="8" borderId="10" xfId="201" applyFill="1" applyBorder="1" applyAlignment="1" applyProtection="1">
      <alignment horizontal="left" vertical="center" wrapText="1"/>
      <protection locked="0"/>
    </xf>
    <xf numFmtId="0" fontId="4" fillId="8" borderId="15" xfId="201" applyFill="1" applyBorder="1" applyProtection="1">
      <protection locked="0"/>
    </xf>
    <xf numFmtId="0" fontId="59" fillId="0" borderId="1" xfId="201" applyFont="1" applyFill="1" applyBorder="1" applyAlignment="1" applyProtection="1">
      <alignment horizontal="center" vertical="center" wrapText="1"/>
      <protection locked="0"/>
    </xf>
    <xf numFmtId="0" fontId="59" fillId="8" borderId="29" xfId="201" applyFont="1" applyFill="1" applyBorder="1" applyAlignment="1" applyProtection="1">
      <alignment horizontal="left" vertical="center" wrapText="1"/>
      <protection locked="0"/>
    </xf>
    <xf numFmtId="0" fontId="59" fillId="8" borderId="28" xfId="201" applyFont="1" applyFill="1" applyBorder="1" applyAlignment="1" applyProtection="1">
      <alignment horizontal="center" vertical="center" wrapText="1"/>
      <protection locked="0"/>
    </xf>
    <xf numFmtId="1" fontId="0" fillId="8" borderId="0" xfId="0" applyNumberFormat="1" applyFill="1" applyBorder="1" applyAlignment="1" applyProtection="1">
      <alignment horizontal="left"/>
      <protection locked="0"/>
    </xf>
    <xf numFmtId="0" fontId="4" fillId="15" borderId="0" xfId="201" applyFill="1" applyBorder="1" applyProtection="1">
      <protection locked="0"/>
    </xf>
    <xf numFmtId="0" fontId="4" fillId="15" borderId="0" xfId="201" applyFill="1" applyBorder="1" applyAlignment="1" applyProtection="1">
      <alignment horizontal="center" vertical="center"/>
      <protection locked="0"/>
    </xf>
    <xf numFmtId="0" fontId="4" fillId="15" borderId="0" xfId="201" applyFill="1" applyBorder="1" applyAlignment="1" applyProtection="1">
      <alignment horizontal="center" vertical="center" wrapText="1"/>
      <protection locked="0"/>
    </xf>
    <xf numFmtId="0" fontId="59" fillId="8" borderId="52" xfId="201" applyFont="1" applyFill="1" applyBorder="1" applyAlignment="1" applyProtection="1">
      <alignment horizontal="left" vertical="center" wrapText="1"/>
      <protection locked="0"/>
    </xf>
    <xf numFmtId="0" fontId="59" fillId="8" borderId="29" xfId="201" applyFont="1" applyFill="1" applyBorder="1" applyAlignment="1" applyProtection="1">
      <alignment vertical="center"/>
      <protection locked="0"/>
    </xf>
    <xf numFmtId="0" fontId="0" fillId="8" borderId="8" xfId="0" applyFont="1" applyFill="1" applyBorder="1" applyProtection="1">
      <protection locked="0"/>
    </xf>
    <xf numFmtId="0" fontId="0" fillId="8" borderId="10" xfId="0" applyFont="1" applyFill="1" applyBorder="1" applyAlignment="1" applyProtection="1">
      <alignment horizontal="center" vertical="center"/>
      <protection locked="0"/>
    </xf>
    <xf numFmtId="0" fontId="0" fillId="8" borderId="10" xfId="0" applyFont="1" applyFill="1" applyBorder="1" applyProtection="1">
      <protection locked="0"/>
    </xf>
    <xf numFmtId="0" fontId="0" fillId="8" borderId="9" xfId="0" applyFont="1" applyFill="1" applyBorder="1" applyProtection="1">
      <protection locked="0"/>
    </xf>
    <xf numFmtId="0" fontId="57" fillId="0" borderId="1" xfId="0" applyFont="1" applyBorder="1" applyAlignment="1" applyProtection="1">
      <alignment horizontal="center" vertical="center" wrapText="1"/>
      <protection locked="0"/>
    </xf>
    <xf numFmtId="0" fontId="0" fillId="38" borderId="1" xfId="0" applyFill="1" applyBorder="1" applyAlignment="1">
      <alignment vertical="center"/>
    </xf>
    <xf numFmtId="0" fontId="4" fillId="36" borderId="26" xfId="201" applyFill="1" applyBorder="1" applyAlignment="1">
      <alignment horizontal="center" vertical="center"/>
    </xf>
    <xf numFmtId="0" fontId="40" fillId="9" borderId="32" xfId="0" applyFont="1" applyFill="1" applyBorder="1" applyAlignment="1" applyProtection="1">
      <alignment horizontal="left" vertical="center" wrapText="1"/>
    </xf>
    <xf numFmtId="1" fontId="40" fillId="9" borderId="1" xfId="0" applyNumberFormat="1" applyFont="1" applyFill="1" applyBorder="1" applyAlignment="1" applyProtection="1">
      <alignment horizontal="center" vertical="center" wrapText="1"/>
    </xf>
    <xf numFmtId="0" fontId="40" fillId="9" borderId="1" xfId="0" applyFont="1" applyFill="1" applyBorder="1" applyAlignment="1" applyProtection="1">
      <alignment horizontal="center" vertical="center" wrapText="1"/>
    </xf>
    <xf numFmtId="0" fontId="40" fillId="9" borderId="1" xfId="0" applyNumberFormat="1" applyFont="1" applyFill="1" applyBorder="1" applyAlignment="1" applyProtection="1">
      <alignment horizontal="center" vertical="center"/>
    </xf>
    <xf numFmtId="0" fontId="40" fillId="9" borderId="1" xfId="0" applyFont="1" applyFill="1" applyBorder="1" applyAlignment="1" applyProtection="1">
      <alignment horizontal="center" vertical="center"/>
    </xf>
    <xf numFmtId="0" fontId="40" fillId="9" borderId="1" xfId="0" applyFont="1" applyFill="1" applyBorder="1" applyAlignment="1" applyProtection="1">
      <alignment horizontal="left" vertical="center"/>
    </xf>
    <xf numFmtId="0" fontId="40" fillId="9" borderId="52" xfId="0" applyFont="1" applyFill="1" applyBorder="1" applyAlignment="1" applyProtection="1">
      <alignment horizontal="center" vertical="center"/>
    </xf>
    <xf numFmtId="0" fontId="59" fillId="36" borderId="26" xfId="201" applyFont="1" applyFill="1" applyBorder="1" applyAlignment="1" applyProtection="1">
      <alignment horizontal="center" vertical="center"/>
    </xf>
    <xf numFmtId="0" fontId="59" fillId="36" borderId="29" xfId="201" applyFont="1" applyFill="1" applyBorder="1" applyAlignment="1" applyProtection="1">
      <alignment horizontal="center" vertical="center"/>
    </xf>
    <xf numFmtId="0" fontId="59" fillId="8" borderId="0" xfId="201" applyFont="1" applyFill="1" applyBorder="1" applyAlignment="1" applyProtection="1">
      <alignment horizontal="center" vertical="center"/>
      <protection locked="0"/>
    </xf>
    <xf numFmtId="0" fontId="59" fillId="8" borderId="0" xfId="201" applyFont="1" applyFill="1" applyBorder="1" applyAlignment="1" applyProtection="1">
      <alignment horizontal="center" vertical="center" wrapText="1"/>
      <protection locked="0"/>
    </xf>
    <xf numFmtId="0" fontId="59" fillId="15" borderId="0" xfId="201" applyFont="1" applyFill="1" applyBorder="1" applyAlignment="1" applyProtection="1">
      <alignment horizontal="center" vertical="center"/>
      <protection locked="0"/>
    </xf>
    <xf numFmtId="0" fontId="0" fillId="15" borderId="0" xfId="0" applyFill="1" applyBorder="1" applyAlignment="1" applyProtection="1">
      <alignment horizontal="left" vertical="center"/>
    </xf>
    <xf numFmtId="0" fontId="15" fillId="15" borderId="0" xfId="199" applyFont="1" applyFill="1" applyBorder="1" applyAlignment="1" applyProtection="1">
      <alignment horizontal="center" vertical="center"/>
      <protection locked="0"/>
    </xf>
    <xf numFmtId="0" fontId="0" fillId="15" borderId="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59" fillId="8" borderId="10" xfId="201" applyFont="1" applyFill="1" applyBorder="1" applyAlignment="1" applyProtection="1">
      <alignment horizontal="center" vertical="center"/>
      <protection locked="0"/>
    </xf>
    <xf numFmtId="0" fontId="0" fillId="8" borderId="10" xfId="0" applyFill="1" applyBorder="1" applyAlignment="1" applyProtection="1">
      <alignment vertical="center"/>
    </xf>
    <xf numFmtId="0" fontId="0" fillId="8" borderId="9" xfId="0" applyFill="1" applyBorder="1" applyAlignment="1" applyProtection="1">
      <alignment vertical="center"/>
    </xf>
    <xf numFmtId="0" fontId="4" fillId="36" borderId="26" xfId="201" applyFill="1" applyBorder="1" applyAlignment="1" applyProtection="1">
      <alignment horizontal="center"/>
    </xf>
    <xf numFmtId="49" fontId="27" fillId="8" borderId="12" xfId="0" applyNumberFormat="1" applyFont="1" applyFill="1" applyBorder="1" applyAlignment="1" applyProtection="1">
      <alignment horizontal="center" vertical="center"/>
    </xf>
    <xf numFmtId="1" fontId="27" fillId="8" borderId="12" xfId="0" applyNumberFormat="1" applyFont="1" applyFill="1" applyBorder="1" applyAlignment="1" applyProtection="1">
      <alignment horizontal="center" vertical="center"/>
    </xf>
    <xf numFmtId="49" fontId="27" fillId="8" borderId="12" xfId="0" applyNumberFormat="1" applyFont="1" applyFill="1" applyBorder="1" applyAlignment="1" applyProtection="1">
      <alignment vertical="center"/>
    </xf>
    <xf numFmtId="0" fontId="0" fillId="8" borderId="14" xfId="0" applyFill="1" applyBorder="1" applyAlignment="1" applyProtection="1">
      <alignment horizontal="left" vertical="center"/>
    </xf>
    <xf numFmtId="0" fontId="0" fillId="8" borderId="14" xfId="0" applyFill="1" applyBorder="1" applyAlignment="1" applyProtection="1">
      <alignment vertical="center"/>
    </xf>
    <xf numFmtId="0" fontId="0" fillId="8" borderId="14" xfId="0" applyFill="1" applyBorder="1" applyAlignment="1" applyProtection="1">
      <alignment vertical="center" wrapText="1"/>
    </xf>
    <xf numFmtId="0" fontId="59" fillId="36" borderId="51" xfId="201" applyFont="1" applyFill="1" applyBorder="1" applyAlignment="1">
      <alignment horizontal="center" vertical="center"/>
    </xf>
    <xf numFmtId="0" fontId="4" fillId="8" borderId="0" xfId="201" applyFill="1" applyBorder="1" applyAlignment="1">
      <alignment horizontal="center"/>
    </xf>
    <xf numFmtId="0" fontId="59" fillId="32" borderId="26" xfId="201" applyFont="1" applyFill="1" applyBorder="1" applyAlignment="1" applyProtection="1">
      <alignment horizontal="center" vertical="center"/>
    </xf>
    <xf numFmtId="0" fontId="59" fillId="32" borderId="29" xfId="201" applyFont="1" applyFill="1" applyBorder="1" applyAlignment="1" applyProtection="1">
      <alignment horizontal="center" vertical="center"/>
    </xf>
    <xf numFmtId="0" fontId="15" fillId="8" borderId="0" xfId="199" applyFont="1" applyFill="1" applyBorder="1" applyAlignment="1" applyProtection="1">
      <alignment vertical="center"/>
      <protection locked="0"/>
    </xf>
    <xf numFmtId="0" fontId="15" fillId="8" borderId="0" xfId="199" applyFont="1" applyFill="1" applyBorder="1" applyAlignment="1" applyProtection="1">
      <alignment horizontal="center" vertical="center"/>
      <protection locked="0"/>
    </xf>
    <xf numFmtId="0" fontId="59" fillId="8" borderId="0" xfId="201" applyFont="1" applyFill="1" applyBorder="1" applyAlignment="1">
      <alignment horizontal="center"/>
    </xf>
    <xf numFmtId="0" fontId="59" fillId="8" borderId="0" xfId="201" applyFont="1" applyFill="1" applyBorder="1" applyAlignment="1">
      <alignment horizontal="center" vertical="center" wrapText="1"/>
    </xf>
    <xf numFmtId="0" fontId="15" fillId="8" borderId="0" xfId="199" applyFont="1" applyFill="1" applyBorder="1" applyAlignment="1">
      <alignment horizontal="center" vertical="center"/>
    </xf>
    <xf numFmtId="0" fontId="59" fillId="15" borderId="0" xfId="201" applyFont="1" applyFill="1" applyBorder="1" applyAlignment="1">
      <alignment horizontal="center" vertical="center"/>
    </xf>
    <xf numFmtId="0" fontId="4" fillId="15" borderId="0" xfId="201" applyFill="1" applyBorder="1" applyAlignment="1">
      <alignment horizontal="center" vertical="center"/>
    </xf>
    <xf numFmtId="0" fontId="59" fillId="8" borderId="10" xfId="201" applyFont="1" applyFill="1" applyBorder="1" applyAlignment="1">
      <alignment horizontal="center" vertical="center"/>
    </xf>
    <xf numFmtId="0" fontId="4" fillId="8" borderId="0" xfId="201" applyFill="1" applyBorder="1" applyAlignment="1" applyProtection="1">
      <alignment horizontal="center"/>
      <protection locked="0"/>
    </xf>
    <xf numFmtId="0" fontId="59" fillId="8" borderId="0" xfId="201" applyFont="1" applyFill="1" applyBorder="1" applyAlignment="1" applyProtection="1">
      <alignment horizontal="center"/>
      <protection locked="0"/>
    </xf>
    <xf numFmtId="0" fontId="4" fillId="8" borderId="0" xfId="201" applyFill="1" applyBorder="1" applyAlignment="1" applyProtection="1">
      <alignment horizontal="center" wrapText="1"/>
      <protection locked="0"/>
    </xf>
    <xf numFmtId="0" fontId="4" fillId="36" borderId="26" xfId="201" applyFill="1" applyBorder="1" applyAlignment="1" applyProtection="1">
      <alignment horizontal="center" vertical="center" wrapText="1"/>
      <protection locked="0"/>
    </xf>
    <xf numFmtId="0" fontId="4" fillId="36" borderId="26" xfId="201" applyFill="1" applyBorder="1" applyAlignment="1" applyProtection="1">
      <alignment horizontal="center" vertical="center"/>
    </xf>
    <xf numFmtId="0" fontId="40" fillId="9" borderId="26" xfId="0" applyFont="1" applyFill="1" applyBorder="1" applyAlignment="1" applyProtection="1">
      <alignment horizontal="center" vertical="center"/>
    </xf>
    <xf numFmtId="0" fontId="40" fillId="9" borderId="55" xfId="0" applyFont="1" applyFill="1" applyBorder="1" applyAlignment="1" applyProtection="1">
      <alignment horizontal="center" vertical="center" wrapText="1"/>
    </xf>
    <xf numFmtId="0" fontId="40" fillId="9" borderId="55" xfId="0" applyFont="1" applyFill="1" applyBorder="1" applyAlignment="1" applyProtection="1">
      <alignment horizontal="center" vertical="center"/>
    </xf>
    <xf numFmtId="0" fontId="40" fillId="9" borderId="55" xfId="0" applyFont="1" applyFill="1" applyBorder="1" applyAlignment="1" applyProtection="1">
      <alignment horizontal="left" vertical="center"/>
    </xf>
    <xf numFmtId="0" fontId="59" fillId="39" borderId="26" xfId="201" applyFont="1" applyFill="1" applyBorder="1" applyAlignment="1" applyProtection="1">
      <alignment horizontal="center" vertical="center"/>
    </xf>
    <xf numFmtId="16" fontId="57" fillId="38" borderId="1" xfId="0" applyNumberFormat="1" applyFont="1" applyFill="1" applyBorder="1" applyAlignment="1" applyProtection="1">
      <alignment horizontal="left" vertical="center" wrapText="1"/>
    </xf>
    <xf numFmtId="0" fontId="4" fillId="39" borderId="26" xfId="201" applyFill="1" applyBorder="1" applyAlignment="1" applyProtection="1">
      <alignment horizontal="center" vertical="center"/>
    </xf>
    <xf numFmtId="0" fontId="0" fillId="38" borderId="1" xfId="0" applyFill="1" applyBorder="1" applyAlignment="1" applyProtection="1">
      <alignment vertical="center"/>
    </xf>
    <xf numFmtId="0" fontId="59" fillId="32" borderId="52" xfId="201" applyFont="1" applyFill="1" applyBorder="1" applyAlignment="1" applyProtection="1">
      <alignment horizontal="center" vertical="center"/>
    </xf>
    <xf numFmtId="16" fontId="0" fillId="38" borderId="27" xfId="0" applyNumberFormat="1" applyFill="1" applyBorder="1" applyAlignment="1" applyProtection="1">
      <alignment horizontal="left"/>
    </xf>
    <xf numFmtId="0" fontId="0" fillId="38" borderId="28" xfId="0" applyFill="1" applyBorder="1" applyAlignment="1" applyProtection="1">
      <alignment wrapText="1"/>
    </xf>
    <xf numFmtId="0" fontId="0" fillId="38" borderId="28" xfId="0" applyFill="1" applyBorder="1" applyAlignment="1" applyProtection="1">
      <alignment horizontal="center"/>
    </xf>
    <xf numFmtId="0" fontId="0" fillId="38" borderId="28" xfId="0" applyFill="1" applyBorder="1" applyProtection="1"/>
    <xf numFmtId="0" fontId="4" fillId="36" borderId="29" xfId="201" applyFill="1" applyBorder="1" applyAlignment="1" applyProtection="1">
      <alignment horizontal="center"/>
    </xf>
    <xf numFmtId="0" fontId="59" fillId="39" borderId="1" xfId="201" applyFont="1" applyFill="1" applyBorder="1" applyAlignment="1" applyProtection="1">
      <alignment horizontal="center" vertical="center"/>
      <protection locked="0"/>
    </xf>
    <xf numFmtId="0" fontId="59" fillId="39" borderId="5" xfId="201" applyFont="1" applyFill="1" applyBorder="1" applyAlignment="1" applyProtection="1">
      <alignment vertical="center"/>
      <protection locked="0"/>
    </xf>
    <xf numFmtId="0" fontId="59" fillId="39" borderId="4" xfId="201" applyFont="1" applyFill="1" applyBorder="1" applyAlignment="1" applyProtection="1">
      <alignment vertical="center"/>
      <protection locked="0"/>
    </xf>
    <xf numFmtId="0" fontId="59" fillId="39" borderId="28" xfId="201" applyFont="1" applyFill="1" applyBorder="1" applyAlignment="1" applyProtection="1">
      <alignment vertical="center"/>
      <protection locked="0"/>
    </xf>
    <xf numFmtId="0" fontId="59" fillId="39" borderId="26" xfId="201" applyFont="1" applyFill="1" applyBorder="1" applyAlignment="1">
      <alignment horizontal="center" vertical="center"/>
    </xf>
    <xf numFmtId="0" fontId="15" fillId="39" borderId="1" xfId="199" applyFont="1" applyFill="1" applyBorder="1" applyAlignment="1">
      <alignment horizontal="center" vertical="center"/>
    </xf>
    <xf numFmtId="0" fontId="59" fillId="39" borderId="26" xfId="201" applyFont="1" applyFill="1" applyBorder="1" applyAlignment="1">
      <alignment horizontal="center"/>
    </xf>
    <xf numFmtId="0" fontId="59" fillId="36" borderId="26" xfId="201" applyFont="1" applyFill="1" applyBorder="1" applyAlignment="1" applyProtection="1">
      <alignment horizontal="center" vertical="center" wrapText="1"/>
    </xf>
    <xf numFmtId="0" fontId="57" fillId="38" borderId="1" xfId="0" applyFont="1" applyFill="1" applyBorder="1" applyProtection="1"/>
    <xf numFmtId="0" fontId="15" fillId="39" borderId="26" xfId="199" applyFont="1" applyFill="1" applyBorder="1" applyAlignment="1" applyProtection="1">
      <alignment horizontal="center" vertical="center"/>
    </xf>
    <xf numFmtId="16" fontId="40" fillId="9" borderId="32" xfId="0" applyNumberFormat="1" applyFont="1" applyFill="1" applyBorder="1" applyAlignment="1" applyProtection="1">
      <alignment horizontal="left" vertical="center" wrapText="1"/>
    </xf>
    <xf numFmtId="0" fontId="40" fillId="27" borderId="26" xfId="0" applyFont="1" applyFill="1" applyBorder="1" applyAlignment="1" applyProtection="1">
      <alignment horizontal="center" vertical="center"/>
    </xf>
    <xf numFmtId="0" fontId="4" fillId="36" borderId="26" xfId="201" applyFill="1" applyBorder="1" applyAlignment="1" applyProtection="1">
      <alignment horizontal="center" wrapText="1"/>
    </xf>
    <xf numFmtId="0" fontId="59" fillId="36" borderId="26" xfId="201" applyFont="1" applyFill="1" applyBorder="1" applyAlignment="1" applyProtection="1">
      <alignment horizontal="center"/>
    </xf>
    <xf numFmtId="0" fontId="59" fillId="8" borderId="26" xfId="201" applyFont="1" applyFill="1" applyBorder="1" applyAlignment="1" applyProtection="1">
      <alignment horizontal="center"/>
    </xf>
    <xf numFmtId="0" fontId="59" fillId="36" borderId="55" xfId="201" applyFont="1" applyFill="1" applyBorder="1" applyAlignment="1">
      <alignment vertical="center"/>
    </xf>
    <xf numFmtId="0" fontId="59" fillId="36" borderId="59" xfId="201" applyFont="1" applyFill="1" applyBorder="1" applyAlignment="1">
      <alignment vertical="center"/>
    </xf>
    <xf numFmtId="0" fontId="4" fillId="0" borderId="28" xfId="201" applyFill="1" applyBorder="1" applyAlignment="1" applyProtection="1">
      <alignment horizontal="center" vertical="center"/>
      <protection locked="0"/>
    </xf>
    <xf numFmtId="16" fontId="57" fillId="10" borderId="1" xfId="0" applyNumberFormat="1" applyFont="1" applyFill="1" applyBorder="1" applyAlignment="1" applyProtection="1">
      <alignment horizontal="center" vertical="center"/>
      <protection locked="0"/>
    </xf>
    <xf numFmtId="0" fontId="4" fillId="36" borderId="26" xfId="20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4" fillId="0" borderId="0" xfId="201" applyFill="1"/>
    <xf numFmtId="16" fontId="57" fillId="0" borderId="1" xfId="0" applyNumberFormat="1" applyFont="1" applyFill="1" applyBorder="1" applyAlignment="1" applyProtection="1">
      <alignment horizontal="center" vertical="center"/>
      <protection locked="0"/>
    </xf>
    <xf numFmtId="16" fontId="0" fillId="15" borderId="0" xfId="0" applyNumberFormat="1" applyFill="1" applyAlignment="1" applyProtection="1">
      <alignment horizontal="left" vertical="center"/>
      <protection locked="0"/>
    </xf>
    <xf numFmtId="16" fontId="0" fillId="15" borderId="0" xfId="0" applyNumberFormat="1" applyFill="1" applyAlignment="1" applyProtection="1">
      <alignment horizontal="left" vertical="center"/>
    </xf>
    <xf numFmtId="0" fontId="40" fillId="9" borderId="45" xfId="0" applyFont="1" applyFill="1" applyBorder="1" applyAlignment="1" applyProtection="1">
      <alignment horizontal="center" vertical="center" wrapText="1"/>
      <protection locked="0"/>
    </xf>
    <xf numFmtId="16" fontId="23" fillId="2" borderId="12" xfId="0" applyNumberFormat="1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center" vertical="center"/>
    </xf>
    <xf numFmtId="0" fontId="23" fillId="2" borderId="10" xfId="0" applyFont="1" applyFill="1" applyBorder="1" applyAlignment="1" applyProtection="1">
      <alignment horizontal="center" vertical="center"/>
    </xf>
    <xf numFmtId="0" fontId="0" fillId="8" borderId="12" xfId="0" applyFill="1" applyBorder="1" applyAlignment="1" applyProtection="1">
      <alignment horizontal="center" vertical="center"/>
    </xf>
    <xf numFmtId="0" fontId="0" fillId="8" borderId="10" xfId="0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3" fillId="14" borderId="2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58" fillId="39" borderId="6" xfId="204" applyFill="1" applyBorder="1" applyAlignment="1" applyProtection="1">
      <alignment vertical="center"/>
      <protection locked="0"/>
    </xf>
    <xf numFmtId="0" fontId="4" fillId="36" borderId="1" xfId="201" applyFill="1" applyBorder="1" applyAlignment="1" applyProtection="1">
      <alignment vertical="center"/>
      <protection locked="0"/>
    </xf>
    <xf numFmtId="16" fontId="0" fillId="0" borderId="1" xfId="0" applyNumberFormat="1" applyBorder="1" applyAlignment="1" applyProtection="1">
      <alignment horizontal="left" vertical="center"/>
      <protection locked="0"/>
    </xf>
    <xf numFmtId="0" fontId="59" fillId="35" borderId="1" xfId="201" applyFont="1" applyFill="1" applyBorder="1" applyAlignment="1">
      <alignment horizontal="center" vertical="center"/>
    </xf>
    <xf numFmtId="0" fontId="4" fillId="36" borderId="29" xfId="201" applyFill="1" applyBorder="1" applyAlignment="1">
      <alignment horizontal="center" vertical="center"/>
    </xf>
    <xf numFmtId="0" fontId="4" fillId="36" borderId="52" xfId="201" applyFill="1" applyBorder="1" applyAlignment="1" applyProtection="1">
      <alignment vertical="center"/>
      <protection locked="0"/>
    </xf>
    <xf numFmtId="0" fontId="4" fillId="36" borderId="61" xfId="201" applyFill="1" applyBorder="1" applyAlignment="1" applyProtection="1">
      <alignment vertical="center"/>
      <protection locked="0"/>
    </xf>
    <xf numFmtId="0" fontId="4" fillId="36" borderId="51" xfId="201" applyFill="1" applyBorder="1" applyAlignment="1" applyProtection="1">
      <alignment vertical="center"/>
      <protection locked="0"/>
    </xf>
    <xf numFmtId="0" fontId="23" fillId="9" borderId="15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 applyProtection="1">
      <alignment horizontal="right" vertical="center" wrapText="1"/>
    </xf>
    <xf numFmtId="0" fontId="23" fillId="8" borderId="0" xfId="0" applyFont="1" applyFill="1" applyBorder="1" applyAlignment="1" applyProtection="1">
      <alignment horizontal="center" vertical="center"/>
    </xf>
    <xf numFmtId="16" fontId="0" fillId="0" borderId="1" xfId="0" applyNumberFormat="1" applyBorder="1" applyAlignment="1" applyProtection="1">
      <alignment horizontal="center" vertical="center"/>
      <protection locked="0"/>
    </xf>
    <xf numFmtId="0" fontId="4" fillId="0" borderId="1" xfId="20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46" fillId="0" borderId="32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6" fillId="0" borderId="2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45" fillId="0" borderId="3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5" fillId="0" borderId="26" xfId="0" applyFont="1" applyFill="1" applyBorder="1" applyAlignment="1">
      <alignment horizontal="center" vertical="center"/>
    </xf>
    <xf numFmtId="0" fontId="19" fillId="21" borderId="26" xfId="0" applyNumberFormat="1" applyFont="1" applyFill="1" applyBorder="1" applyAlignment="1">
      <alignment horizontal="center" vertical="center"/>
    </xf>
    <xf numFmtId="0" fontId="59" fillId="39" borderId="1" xfId="201" applyFont="1" applyFill="1" applyBorder="1" applyAlignment="1">
      <alignment vertical="center"/>
    </xf>
    <xf numFmtId="16" fontId="57" fillId="38" borderId="55" xfId="0" applyNumberFormat="1" applyFont="1" applyFill="1" applyBorder="1" applyAlignment="1">
      <alignment vertical="center" wrapText="1"/>
    </xf>
    <xf numFmtId="0" fontId="4" fillId="36" borderId="1" xfId="201" applyFill="1" applyBorder="1" applyAlignment="1" applyProtection="1">
      <alignment horizontal="center" vertical="center"/>
      <protection locked="0"/>
    </xf>
    <xf numFmtId="0" fontId="17" fillId="8" borderId="0" xfId="0" applyFont="1" applyFill="1" applyBorder="1" applyAlignment="1" applyProtection="1">
      <alignment horizontal="center" vertical="center" wrapText="1"/>
    </xf>
    <xf numFmtId="0" fontId="23" fillId="8" borderId="0" xfId="0" applyFont="1" applyFill="1" applyBorder="1" applyAlignment="1" applyProtection="1">
      <alignment horizontal="center" vertical="center" wrapText="1"/>
    </xf>
    <xf numFmtId="0" fontId="57" fillId="38" borderId="1" xfId="0" applyNumberFormat="1" applyFont="1" applyFill="1" applyBorder="1" applyAlignment="1" applyProtection="1">
      <alignment horizontal="center" vertical="center"/>
      <protection locked="0"/>
    </xf>
    <xf numFmtId="0" fontId="57" fillId="38" borderId="1" xfId="0" applyFont="1" applyFill="1" applyBorder="1" applyAlignment="1" applyProtection="1">
      <alignment horizontal="center"/>
      <protection locked="0"/>
    </xf>
    <xf numFmtId="0" fontId="57" fillId="38" borderId="1" xfId="0" applyFont="1" applyFill="1" applyBorder="1" applyAlignment="1" applyProtection="1">
      <alignment vertical="center"/>
      <protection locked="0"/>
    </xf>
    <xf numFmtId="0" fontId="57" fillId="38" borderId="1" xfId="207" applyFont="1" applyFill="1" applyBorder="1" applyAlignment="1" applyProtection="1">
      <alignment horizontal="left" vertical="center"/>
      <protection locked="0"/>
    </xf>
    <xf numFmtId="0" fontId="57" fillId="38" borderId="1" xfId="0" applyFont="1" applyFill="1" applyBorder="1" applyAlignment="1" applyProtection="1">
      <alignment horizontal="left" vertical="center"/>
      <protection locked="0"/>
    </xf>
    <xf numFmtId="16" fontId="57" fillId="38" borderId="1" xfId="0" applyNumberFormat="1" applyFont="1" applyFill="1" applyBorder="1" applyAlignment="1" applyProtection="1">
      <alignment horizontal="center" vertical="center"/>
      <protection locked="0"/>
    </xf>
    <xf numFmtId="0" fontId="57" fillId="38" borderId="1" xfId="0" applyFont="1" applyFill="1" applyBorder="1" applyAlignment="1" applyProtection="1">
      <alignment horizontal="center" vertical="center"/>
    </xf>
    <xf numFmtId="0" fontId="0" fillId="38" borderId="1" xfId="0" applyFill="1" applyBorder="1" applyAlignment="1" applyProtection="1">
      <alignment horizontal="center"/>
      <protection locked="0"/>
    </xf>
    <xf numFmtId="0" fontId="0" fillId="38" borderId="0" xfId="0" applyFill="1" applyAlignment="1" applyProtection="1">
      <alignment vertical="center"/>
      <protection locked="0"/>
    </xf>
    <xf numFmtId="1" fontId="0" fillId="0" borderId="26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58" fillId="0" borderId="1" xfId="204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28" xfId="0" applyFill="1" applyBorder="1" applyProtection="1">
      <protection locked="0"/>
    </xf>
    <xf numFmtId="1" fontId="0" fillId="0" borderId="29" xfId="0" applyNumberFormat="1" applyFill="1" applyBorder="1" applyAlignment="1" applyProtection="1">
      <alignment horizontal="center" vertical="center"/>
      <protection locked="0"/>
    </xf>
    <xf numFmtId="0" fontId="0" fillId="38" borderId="1" xfId="0" applyNumberFormat="1" applyFill="1" applyBorder="1" applyAlignment="1" applyProtection="1">
      <alignment horizontal="center" vertical="center"/>
      <protection locked="0"/>
    </xf>
    <xf numFmtId="0" fontId="0" fillId="38" borderId="1" xfId="0" applyFill="1" applyBorder="1" applyAlignment="1" applyProtection="1">
      <alignment horizontal="left" vertical="center" wrapText="1"/>
      <protection locked="0"/>
    </xf>
    <xf numFmtId="0" fontId="0" fillId="38" borderId="1" xfId="0" applyFill="1" applyBorder="1" applyAlignment="1" applyProtection="1">
      <alignment vertical="center"/>
      <protection locked="0"/>
    </xf>
    <xf numFmtId="0" fontId="7" fillId="38" borderId="1" xfId="0" applyFont="1" applyFill="1" applyBorder="1" applyAlignment="1" applyProtection="1">
      <alignment horizontal="center" vertical="center"/>
      <protection locked="0"/>
    </xf>
    <xf numFmtId="16" fontId="0" fillId="38" borderId="1" xfId="0" applyNumberFormat="1" applyFill="1" applyBorder="1" applyAlignment="1" applyProtection="1">
      <alignment horizontal="left" vertical="center" wrapText="1"/>
      <protection locked="0"/>
    </xf>
    <xf numFmtId="0" fontId="0" fillId="38" borderId="1" xfId="0" applyFill="1" applyBorder="1" applyAlignment="1" applyProtection="1">
      <alignment horizontal="left" vertical="center"/>
      <protection locked="0"/>
    </xf>
    <xf numFmtId="0" fontId="0" fillId="38" borderId="1" xfId="0" applyFill="1" applyBorder="1" applyAlignment="1" applyProtection="1">
      <alignment horizontal="center" vertical="center" wrapText="1"/>
      <protection locked="0"/>
    </xf>
    <xf numFmtId="0" fontId="4" fillId="36" borderId="26" xfId="201" applyFill="1" applyBorder="1" applyAlignment="1" applyProtection="1">
      <alignment vertical="center"/>
      <protection locked="0"/>
    </xf>
    <xf numFmtId="0" fontId="61" fillId="36" borderId="26" xfId="204" applyFont="1" applyFill="1" applyBorder="1" applyAlignment="1" applyProtection="1">
      <alignment vertical="center"/>
      <protection locked="0"/>
    </xf>
    <xf numFmtId="0" fontId="61" fillId="36" borderId="26" xfId="204" applyFont="1" applyFill="1" applyBorder="1" applyAlignment="1" applyProtection="1">
      <protection locked="0"/>
    </xf>
    <xf numFmtId="0" fontId="4" fillId="38" borderId="1" xfId="201" applyFill="1" applyBorder="1" applyAlignment="1" applyProtection="1">
      <alignment horizontal="center" vertical="center" wrapText="1"/>
      <protection locked="0"/>
    </xf>
    <xf numFmtId="0" fontId="59" fillId="38" borderId="1" xfId="201" applyFont="1" applyFill="1" applyBorder="1" applyProtection="1">
      <protection locked="0"/>
    </xf>
    <xf numFmtId="0" fontId="59" fillId="38" borderId="1" xfId="201" applyFont="1" applyFill="1" applyBorder="1" applyAlignment="1" applyProtection="1">
      <alignment horizontal="left" vertical="center" wrapText="1"/>
      <protection locked="0"/>
    </xf>
    <xf numFmtId="0" fontId="4" fillId="36" borderId="25" xfId="201" applyFill="1" applyBorder="1" applyAlignment="1" applyProtection="1">
      <alignment horizontal="center" vertical="center" wrapText="1"/>
      <protection locked="0"/>
    </xf>
    <xf numFmtId="0" fontId="4" fillId="36" borderId="61" xfId="201" applyFill="1" applyBorder="1" applyAlignment="1" applyProtection="1">
      <alignment horizontal="center" vertical="center"/>
      <protection locked="0"/>
    </xf>
    <xf numFmtId="0" fontId="0" fillId="36" borderId="10" xfId="0" applyFill="1" applyBorder="1" applyAlignment="1" applyProtection="1">
      <alignment horizontal="center" vertical="center"/>
      <protection locked="0"/>
    </xf>
    <xf numFmtId="0" fontId="59" fillId="38" borderId="1" xfId="201" applyFont="1" applyFill="1" applyBorder="1" applyAlignment="1" applyProtection="1">
      <alignment horizontal="center" vertical="center" wrapText="1"/>
      <protection locked="0"/>
    </xf>
    <xf numFmtId="0" fontId="62" fillId="38" borderId="0" xfId="0" applyFont="1" applyFill="1"/>
    <xf numFmtId="0" fontId="59" fillId="38" borderId="1" xfId="201" applyFont="1" applyFill="1" applyBorder="1" applyAlignment="1" applyProtection="1">
      <alignment horizontal="center" vertical="center"/>
      <protection locked="0"/>
    </xf>
    <xf numFmtId="16" fontId="57" fillId="10" borderId="55" xfId="0" applyNumberFormat="1" applyFont="1" applyFill="1" applyBorder="1" applyAlignment="1" applyProtection="1">
      <alignment vertical="center"/>
      <protection locked="0"/>
    </xf>
    <xf numFmtId="16" fontId="57" fillId="10" borderId="6" xfId="0" applyNumberFormat="1" applyFont="1" applyFill="1" applyBorder="1" applyAlignment="1" applyProtection="1">
      <alignment vertical="center"/>
      <protection locked="0"/>
    </xf>
    <xf numFmtId="0" fontId="57" fillId="38" borderId="1" xfId="0" applyFont="1" applyFill="1" applyBorder="1"/>
    <xf numFmtId="16" fontId="0" fillId="38" borderId="1" xfId="0" applyNumberFormat="1" applyFill="1" applyBorder="1" applyAlignment="1" applyProtection="1">
      <alignment vertical="center"/>
      <protection locked="0"/>
    </xf>
    <xf numFmtId="0" fontId="0" fillId="38" borderId="1" xfId="0" applyFill="1" applyBorder="1" applyAlignment="1" applyProtection="1">
      <alignment horizontal="left"/>
      <protection locked="0"/>
    </xf>
    <xf numFmtId="1" fontId="0" fillId="38" borderId="1" xfId="0" applyNumberFormat="1" applyFill="1" applyBorder="1" applyAlignment="1" applyProtection="1">
      <alignment horizontal="left"/>
      <protection locked="0"/>
    </xf>
    <xf numFmtId="0" fontId="0" fillId="38" borderId="1" xfId="0" applyFill="1" applyBorder="1" applyAlignment="1" applyProtection="1">
      <alignment wrapText="1"/>
      <protection locked="0"/>
    </xf>
    <xf numFmtId="0" fontId="0" fillId="38" borderId="1" xfId="0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16" fontId="57" fillId="0" borderId="55" xfId="0" applyNumberFormat="1" applyFont="1" applyFill="1" applyBorder="1" applyAlignment="1" applyProtection="1">
      <alignment vertical="center"/>
      <protection locked="0"/>
    </xf>
    <xf numFmtId="16" fontId="0" fillId="38" borderId="1" xfId="0" applyNumberFormat="1" applyFill="1" applyBorder="1" applyAlignment="1" applyProtection="1">
      <alignment horizontal="left" vertical="center"/>
      <protection locked="0"/>
    </xf>
    <xf numFmtId="16" fontId="0" fillId="38" borderId="1" xfId="0" applyNumberFormat="1" applyFill="1" applyBorder="1" applyAlignment="1" applyProtection="1">
      <alignment horizontal="left"/>
      <protection locked="0"/>
    </xf>
    <xf numFmtId="1" fontId="0" fillId="38" borderId="1" xfId="0" applyNumberFormat="1" applyFill="1" applyBorder="1" applyAlignment="1" applyProtection="1">
      <alignment horizontal="center"/>
      <protection locked="0"/>
    </xf>
    <xf numFmtId="0" fontId="0" fillId="38" borderId="0" xfId="0" applyFill="1"/>
    <xf numFmtId="0" fontId="7" fillId="38" borderId="1" xfId="0" applyFont="1" applyFill="1" applyBorder="1" applyAlignment="1">
      <alignment horizontal="left" vertical="center"/>
    </xf>
    <xf numFmtId="16" fontId="0" fillId="38" borderId="32" xfId="0" applyNumberFormat="1" applyFill="1" applyBorder="1" applyAlignment="1">
      <alignment horizontal="left" vertical="center"/>
    </xf>
    <xf numFmtId="0" fontId="0" fillId="38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left" vertical="center" wrapText="1"/>
    </xf>
    <xf numFmtId="0" fontId="0" fillId="38" borderId="0" xfId="0" applyFill="1" applyAlignment="1" applyProtection="1">
      <alignment horizontal="left" vertical="center"/>
      <protection locked="0"/>
    </xf>
    <xf numFmtId="0" fontId="4" fillId="36" borderId="26" xfId="201" applyFill="1" applyBorder="1" applyAlignment="1" applyProtection="1">
      <alignment horizontal="left" vertical="center" wrapText="1"/>
      <protection locked="0"/>
    </xf>
    <xf numFmtId="0" fontId="59" fillId="36" borderId="26" xfId="201" applyFont="1" applyFill="1" applyBorder="1" applyAlignment="1" applyProtection="1">
      <alignment horizontal="left" vertical="center" wrapText="1"/>
      <protection locked="0"/>
    </xf>
    <xf numFmtId="0" fontId="59" fillId="36" borderId="26" xfId="201" applyFont="1" applyFill="1" applyBorder="1" applyAlignment="1" applyProtection="1">
      <alignment vertical="center"/>
      <protection locked="0"/>
    </xf>
    <xf numFmtId="0" fontId="59" fillId="36" borderId="26" xfId="201" applyFont="1" applyFill="1" applyBorder="1" applyAlignment="1" applyProtection="1">
      <alignment horizontal="center" vertical="center" wrapText="1"/>
      <protection locked="0"/>
    </xf>
    <xf numFmtId="1" fontId="0" fillId="8" borderId="0" xfId="0" applyNumberFormat="1" applyFill="1" applyBorder="1" applyAlignment="1" applyProtection="1">
      <alignment vertical="center"/>
      <protection locked="0"/>
    </xf>
    <xf numFmtId="0" fontId="59" fillId="36" borderId="1" xfId="201" applyFont="1" applyFill="1" applyBorder="1" applyAlignment="1" applyProtection="1">
      <alignment vertical="center"/>
      <protection locked="0"/>
    </xf>
    <xf numFmtId="0" fontId="16" fillId="8" borderId="1" xfId="0" applyFont="1" applyFill="1" applyBorder="1" applyAlignment="1" applyProtection="1">
      <alignment vertical="center"/>
      <protection locked="0"/>
    </xf>
    <xf numFmtId="0" fontId="59" fillId="0" borderId="26" xfId="201" applyFont="1" applyFill="1" applyBorder="1" applyAlignment="1" applyProtection="1">
      <alignment vertical="center"/>
      <protection locked="0"/>
    </xf>
    <xf numFmtId="0" fontId="59" fillId="3" borderId="28" xfId="201" applyFont="1" applyFill="1" applyBorder="1" applyAlignment="1" applyProtection="1">
      <alignment horizontal="center" vertical="center" wrapText="1"/>
      <protection locked="0"/>
    </xf>
    <xf numFmtId="0" fontId="0" fillId="37" borderId="0" xfId="0" applyFill="1"/>
    <xf numFmtId="0" fontId="0" fillId="37" borderId="1" xfId="0" applyFill="1" applyBorder="1"/>
    <xf numFmtId="0" fontId="0" fillId="37" borderId="1" xfId="0" applyFill="1" applyBorder="1" applyAlignment="1" applyProtection="1">
      <alignment horizontal="left"/>
      <protection locked="0"/>
    </xf>
    <xf numFmtId="1" fontId="0" fillId="37" borderId="1" xfId="0" applyNumberFormat="1" applyFill="1" applyBorder="1" applyAlignment="1" applyProtection="1">
      <alignment horizontal="center"/>
      <protection locked="0"/>
    </xf>
    <xf numFmtId="0" fontId="0" fillId="37" borderId="1" xfId="0" applyFill="1" applyBorder="1" applyAlignment="1" applyProtection="1">
      <alignment wrapText="1"/>
      <protection locked="0"/>
    </xf>
    <xf numFmtId="0" fontId="0" fillId="37" borderId="0" xfId="0" applyFill="1" applyAlignment="1" applyProtection="1">
      <alignment horizontal="center"/>
      <protection locked="0"/>
    </xf>
    <xf numFmtId="0" fontId="0" fillId="37" borderId="0" xfId="0" applyFill="1" applyAlignment="1" applyProtection="1">
      <alignment wrapText="1"/>
      <protection locked="0"/>
    </xf>
    <xf numFmtId="16" fontId="0" fillId="37" borderId="1" xfId="0" applyNumberFormat="1" applyFill="1" applyBorder="1" applyAlignment="1" applyProtection="1">
      <alignment horizontal="left"/>
      <protection locked="0"/>
    </xf>
    <xf numFmtId="1" fontId="0" fillId="37" borderId="1" xfId="0" applyNumberFormat="1" applyFill="1" applyBorder="1" applyAlignment="1" applyProtection="1">
      <alignment horizontal="left"/>
      <protection locked="0"/>
    </xf>
    <xf numFmtId="0" fontId="0" fillId="37" borderId="0" xfId="0" applyFill="1" applyProtection="1">
      <protection locked="0"/>
    </xf>
    <xf numFmtId="0" fontId="0" fillId="37" borderId="1" xfId="0" applyFill="1" applyBorder="1" applyAlignment="1" applyProtection="1">
      <alignment horizontal="center"/>
      <protection locked="0"/>
    </xf>
    <xf numFmtId="0" fontId="0" fillId="37" borderId="6" xfId="0" applyFill="1" applyBorder="1" applyAlignment="1" applyProtection="1">
      <alignment horizontal="left"/>
      <protection locked="0"/>
    </xf>
    <xf numFmtId="1" fontId="0" fillId="37" borderId="6" xfId="0" applyNumberFormat="1" applyFill="1" applyBorder="1" applyAlignment="1" applyProtection="1">
      <alignment horizontal="center"/>
      <protection locked="0"/>
    </xf>
    <xf numFmtId="0" fontId="0" fillId="37" borderId="6" xfId="0" applyFill="1" applyBorder="1" applyAlignment="1" applyProtection="1">
      <alignment wrapText="1"/>
      <protection locked="0"/>
    </xf>
    <xf numFmtId="0" fontId="16" fillId="37" borderId="1" xfId="0" applyFont="1" applyFill="1" applyBorder="1" applyAlignment="1" applyProtection="1">
      <alignment vertical="center"/>
      <protection locked="0"/>
    </xf>
    <xf numFmtId="0" fontId="59" fillId="37" borderId="1" xfId="201" applyFont="1" applyFill="1" applyBorder="1" applyAlignment="1" applyProtection="1">
      <alignment horizontal="center" vertical="center" wrapText="1"/>
      <protection locked="0"/>
    </xf>
    <xf numFmtId="0" fontId="59" fillId="37" borderId="1" xfId="201" applyFont="1" applyFill="1" applyBorder="1" applyAlignment="1" applyProtection="1">
      <alignment vertical="center" wrapText="1"/>
      <protection locked="0"/>
    </xf>
    <xf numFmtId="0" fontId="17" fillId="37" borderId="1" xfId="0" applyFont="1" applyFill="1" applyBorder="1" applyAlignment="1" applyProtection="1">
      <alignment horizontal="center" vertical="center"/>
      <protection locked="0"/>
    </xf>
    <xf numFmtId="0" fontId="57" fillId="37" borderId="1" xfId="0" applyFont="1" applyFill="1" applyBorder="1" applyAlignment="1" applyProtection="1">
      <alignment horizontal="left" vertical="center" wrapText="1"/>
      <protection locked="0"/>
    </xf>
    <xf numFmtId="0" fontId="0" fillId="37" borderId="1" xfId="0" applyFill="1" applyBorder="1" applyAlignment="1" applyProtection="1">
      <alignment horizontal="left" vertical="center" wrapText="1"/>
      <protection locked="0"/>
    </xf>
    <xf numFmtId="0" fontId="0" fillId="37" borderId="1" xfId="0" applyFill="1" applyBorder="1" applyAlignment="1" applyProtection="1">
      <alignment horizontal="center" vertical="center" wrapText="1"/>
      <protection locked="0"/>
    </xf>
    <xf numFmtId="16" fontId="0" fillId="37" borderId="1" xfId="0" applyNumberFormat="1" applyFill="1" applyBorder="1" applyAlignment="1" applyProtection="1">
      <alignment horizontal="left" vertical="center"/>
      <protection locked="0"/>
    </xf>
    <xf numFmtId="0" fontId="0" fillId="37" borderId="1" xfId="0" applyFill="1" applyBorder="1" applyAlignment="1" applyProtection="1">
      <alignment horizontal="center" vertical="center"/>
      <protection locked="0"/>
    </xf>
    <xf numFmtId="0" fontId="0" fillId="37" borderId="1" xfId="0" applyFill="1" applyBorder="1" applyAlignment="1" applyProtection="1">
      <alignment horizontal="left" vertical="center"/>
      <protection locked="0"/>
    </xf>
    <xf numFmtId="0" fontId="4" fillId="37" borderId="1" xfId="201" applyFill="1" applyBorder="1" applyAlignment="1" applyProtection="1">
      <alignment horizontal="center" vertical="center"/>
      <protection locked="0"/>
    </xf>
    <xf numFmtId="3" fontId="0" fillId="15" borderId="0" xfId="0" applyNumberFormat="1" applyFill="1" applyBorder="1"/>
    <xf numFmtId="0" fontId="0" fillId="38" borderId="1" xfId="0" applyFill="1" applyBorder="1"/>
    <xf numFmtId="0" fontId="1" fillId="38" borderId="1" xfId="0" applyFont="1" applyFill="1" applyBorder="1" applyAlignment="1" applyProtection="1">
      <alignment horizontal="left" vertical="center"/>
      <protection locked="0"/>
    </xf>
    <xf numFmtId="0" fontId="9" fillId="15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/>
    </xf>
    <xf numFmtId="0" fontId="35" fillId="8" borderId="0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17" fillId="15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15" fillId="8" borderId="0" xfId="200" applyFont="1" applyFill="1" applyBorder="1" applyAlignment="1" applyProtection="1">
      <alignment horizontal="center" vertical="center"/>
      <protection locked="0"/>
    </xf>
    <xf numFmtId="0" fontId="15" fillId="8" borderId="0" xfId="199" applyFill="1" applyBorder="1" applyAlignment="1">
      <alignment horizontal="center" vertical="center"/>
    </xf>
    <xf numFmtId="0" fontId="17" fillId="9" borderId="3" xfId="0" applyFont="1" applyFill="1" applyBorder="1" applyAlignment="1" applyProtection="1">
      <alignment horizontal="center"/>
    </xf>
    <xf numFmtId="0" fontId="17" fillId="9" borderId="7" xfId="0" applyFont="1" applyFill="1" applyBorder="1" applyAlignment="1" applyProtection="1">
      <alignment horizontal="center"/>
    </xf>
    <xf numFmtId="0" fontId="17" fillId="9" borderId="44" xfId="0" applyFont="1" applyFill="1" applyBorder="1" applyAlignment="1" applyProtection="1">
      <alignment horizontal="center"/>
    </xf>
    <xf numFmtId="0" fontId="52" fillId="28" borderId="10" xfId="0" applyFont="1" applyFill="1" applyBorder="1" applyAlignment="1" applyProtection="1">
      <alignment horizontal="center" vertical="center"/>
    </xf>
    <xf numFmtId="0" fontId="59" fillId="36" borderId="1" xfId="201" applyFont="1" applyFill="1" applyBorder="1" applyAlignment="1">
      <alignment horizontal="center" vertical="center"/>
    </xf>
    <xf numFmtId="0" fontId="59" fillId="36" borderId="1" xfId="201" applyFont="1" applyFill="1" applyBorder="1" applyAlignment="1" applyProtection="1">
      <alignment horizontal="center" vertical="center"/>
      <protection locked="0"/>
    </xf>
    <xf numFmtId="0" fontId="17" fillId="9" borderId="11" xfId="0" applyFont="1" applyFill="1" applyBorder="1" applyAlignment="1" applyProtection="1">
      <alignment horizontal="center" vertical="center" wrapText="1"/>
    </xf>
    <xf numFmtId="16" fontId="0" fillId="38" borderId="1" xfId="0" applyNumberFormat="1" applyFill="1" applyBorder="1" applyAlignment="1" applyProtection="1">
      <alignment horizontal="center" vertical="center"/>
      <protection locked="0"/>
    </xf>
    <xf numFmtId="0" fontId="0" fillId="38" borderId="1" xfId="0" applyFill="1" applyBorder="1" applyAlignment="1" applyProtection="1">
      <alignment horizontal="center" vertical="center"/>
      <protection locked="0"/>
    </xf>
    <xf numFmtId="0" fontId="4" fillId="36" borderId="55" xfId="201" applyFill="1" applyBorder="1" applyAlignment="1" applyProtection="1">
      <alignment horizontal="center" vertical="center"/>
      <protection locked="0"/>
    </xf>
    <xf numFmtId="16" fontId="57" fillId="10" borderId="55" xfId="0" applyNumberFormat="1" applyFont="1" applyFill="1" applyBorder="1" applyAlignment="1" applyProtection="1">
      <alignment horizontal="center" vertical="center"/>
      <protection locked="0"/>
    </xf>
    <xf numFmtId="0" fontId="4" fillId="8" borderId="0" xfId="20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15" borderId="0" xfId="0" applyFont="1" applyFill="1" applyBorder="1"/>
    <xf numFmtId="0" fontId="1" fillId="23" borderId="32" xfId="0" applyFont="1" applyFill="1" applyBorder="1" applyAlignment="1">
      <alignment horizontal="center"/>
    </xf>
    <xf numFmtId="0" fontId="1" fillId="21" borderId="26" xfId="0" applyFont="1" applyFill="1" applyBorder="1" applyAlignment="1">
      <alignment horizontal="center"/>
    </xf>
    <xf numFmtId="0" fontId="1" fillId="25" borderId="24" xfId="0" applyFont="1" applyFill="1" applyBorder="1" applyAlignment="1">
      <alignment horizontal="center"/>
    </xf>
    <xf numFmtId="0" fontId="1" fillId="23" borderId="35" xfId="0" applyFont="1" applyFill="1" applyBorder="1" applyAlignment="1">
      <alignment horizontal="center"/>
    </xf>
    <xf numFmtId="0" fontId="1" fillId="21" borderId="51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44" xfId="0" applyFont="1" applyFill="1" applyBorder="1" applyAlignment="1">
      <alignment horizontal="center"/>
    </xf>
    <xf numFmtId="0" fontId="1" fillId="25" borderId="50" xfId="0" applyFont="1" applyFill="1" applyBorder="1" applyAlignment="1">
      <alignment horizontal="center"/>
    </xf>
    <xf numFmtId="0" fontId="1" fillId="23" borderId="45" xfId="0" applyFont="1" applyFill="1" applyBorder="1" applyAlignment="1">
      <alignment horizontal="center"/>
    </xf>
    <xf numFmtId="0" fontId="1" fillId="21" borderId="52" xfId="0" applyFont="1" applyFill="1" applyBorder="1" applyAlignment="1">
      <alignment horizontal="center"/>
    </xf>
    <xf numFmtId="0" fontId="1" fillId="25" borderId="41" xfId="0" applyFont="1" applyFill="1" applyBorder="1" applyAlignment="1">
      <alignment horizontal="center"/>
    </xf>
    <xf numFmtId="0" fontId="1" fillId="23" borderId="27" xfId="0" applyFont="1" applyFill="1" applyBorder="1" applyAlignment="1">
      <alignment horizontal="center"/>
    </xf>
    <xf numFmtId="0" fontId="1" fillId="21" borderId="29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16" fontId="1" fillId="38" borderId="32" xfId="0" applyNumberFormat="1" applyFont="1" applyFill="1" applyBorder="1" applyAlignment="1" applyProtection="1">
      <alignment horizontal="left" vertical="center"/>
    </xf>
    <xf numFmtId="0" fontId="1" fillId="38" borderId="1" xfId="0" applyNumberFormat="1" applyFont="1" applyFill="1" applyBorder="1" applyAlignment="1" applyProtection="1">
      <alignment horizontal="center" vertical="center"/>
    </xf>
    <xf numFmtId="0" fontId="1" fillId="38" borderId="0" xfId="0" applyFont="1" applyFill="1" applyBorder="1" applyAlignment="1" applyProtection="1">
      <alignment vertical="center"/>
    </xf>
    <xf numFmtId="1" fontId="1" fillId="38" borderId="1" xfId="0" applyNumberFormat="1" applyFont="1" applyFill="1" applyBorder="1" applyAlignment="1" applyProtection="1">
      <alignment horizontal="center" vertical="center"/>
    </xf>
    <xf numFmtId="0" fontId="1" fillId="38" borderId="1" xfId="0" applyFont="1" applyFill="1" applyBorder="1" applyAlignment="1" applyProtection="1">
      <alignment vertical="center"/>
    </xf>
    <xf numFmtId="16" fontId="1" fillId="10" borderId="3" xfId="0" applyNumberFormat="1" applyFont="1" applyFill="1" applyBorder="1" applyAlignment="1" applyProtection="1">
      <alignment horizontal="center" vertical="center"/>
    </xf>
    <xf numFmtId="16" fontId="1" fillId="38" borderId="32" xfId="0" applyNumberFormat="1" applyFont="1" applyFill="1" applyBorder="1" applyAlignment="1" applyProtection="1">
      <alignment horizontal="left" vertical="center"/>
      <protection locked="0"/>
    </xf>
    <xf numFmtId="0" fontId="1" fillId="38" borderId="1" xfId="0" applyNumberFormat="1" applyFont="1" applyFill="1" applyBorder="1" applyAlignment="1" applyProtection="1">
      <alignment horizontal="center" vertical="center"/>
      <protection locked="0"/>
    </xf>
    <xf numFmtId="0" fontId="1" fillId="38" borderId="1" xfId="0" applyFont="1" applyFill="1" applyBorder="1" applyAlignment="1" applyProtection="1">
      <alignment horizontal="left" vertical="center" wrapText="1"/>
      <protection locked="0"/>
    </xf>
    <xf numFmtId="0" fontId="1" fillId="38" borderId="1" xfId="0" applyFont="1" applyFill="1" applyBorder="1" applyAlignment="1" applyProtection="1">
      <alignment horizontal="center" vertical="center"/>
      <protection locked="0"/>
    </xf>
    <xf numFmtId="1" fontId="1" fillId="22" borderId="26" xfId="0" applyNumberFormat="1" applyFont="1" applyFill="1" applyBorder="1" applyAlignment="1" applyProtection="1">
      <alignment horizontal="center" vertical="center"/>
      <protection locked="0"/>
    </xf>
    <xf numFmtId="16" fontId="1" fillId="38" borderId="1" xfId="0" applyNumberFormat="1" applyFont="1" applyFill="1" applyBorder="1" applyAlignment="1" applyProtection="1">
      <alignment horizontal="left" vertical="center"/>
    </xf>
    <xf numFmtId="0" fontId="1" fillId="38" borderId="0" xfId="0" applyFont="1" applyFill="1" applyBorder="1" applyAlignment="1" applyProtection="1">
      <alignment horizontal="left" vertical="center" wrapText="1"/>
    </xf>
    <xf numFmtId="0" fontId="1" fillId="38" borderId="1" xfId="0" applyFont="1" applyFill="1" applyBorder="1" applyAlignment="1" applyProtection="1">
      <alignment horizontal="left" vertical="center"/>
    </xf>
    <xf numFmtId="0" fontId="1" fillId="38" borderId="1" xfId="0" applyFont="1" applyFill="1" applyBorder="1" applyAlignment="1" applyProtection="1">
      <alignment horizontal="left" vertical="center" wrapText="1"/>
    </xf>
    <xf numFmtId="16" fontId="1" fillId="38" borderId="27" xfId="0" applyNumberFormat="1" applyFont="1" applyFill="1" applyBorder="1" applyAlignment="1" applyProtection="1">
      <alignment horizontal="left" vertical="center"/>
      <protection locked="0"/>
    </xf>
    <xf numFmtId="0" fontId="1" fillId="38" borderId="28" xfId="0" applyNumberFormat="1" applyFont="1" applyFill="1" applyBorder="1" applyAlignment="1" applyProtection="1">
      <alignment horizontal="center" vertical="center"/>
      <protection locked="0"/>
    </xf>
    <xf numFmtId="0" fontId="1" fillId="38" borderId="28" xfId="0" applyFont="1" applyFill="1" applyBorder="1" applyAlignment="1" applyProtection="1">
      <alignment horizontal="left" vertical="center" wrapText="1"/>
      <protection locked="0"/>
    </xf>
    <xf numFmtId="0" fontId="1" fillId="38" borderId="28" xfId="0" applyNumberFormat="1" applyFont="1" applyFill="1" applyBorder="1" applyAlignment="1" applyProtection="1">
      <alignment horizontal="left" vertical="center"/>
      <protection locked="0"/>
    </xf>
    <xf numFmtId="1" fontId="1" fillId="38" borderId="28" xfId="0" applyNumberFormat="1" applyFont="1" applyFill="1" applyBorder="1" applyAlignment="1" applyProtection="1">
      <alignment horizontal="center" vertical="center"/>
      <protection locked="0"/>
    </xf>
    <xf numFmtId="0" fontId="1" fillId="38" borderId="1" xfId="0" applyFont="1" applyFill="1" applyBorder="1" applyAlignment="1" applyProtection="1">
      <alignment vertical="center" wrapText="1"/>
    </xf>
    <xf numFmtId="0" fontId="1" fillId="38" borderId="0" xfId="0" applyFont="1" applyFill="1" applyBorder="1" applyAlignment="1" applyProtection="1">
      <alignment vertical="center" wrapText="1"/>
    </xf>
    <xf numFmtId="16" fontId="1" fillId="0" borderId="3" xfId="0" applyNumberFormat="1" applyFont="1" applyFill="1" applyBorder="1" applyAlignment="1" applyProtection="1">
      <alignment horizontal="center" vertical="center"/>
    </xf>
    <xf numFmtId="16" fontId="1" fillId="38" borderId="32" xfId="0" applyNumberFormat="1" applyFont="1" applyFill="1" applyBorder="1" applyAlignment="1" applyProtection="1">
      <alignment horizontal="left" vertical="center" wrapText="1"/>
    </xf>
    <xf numFmtId="16" fontId="1" fillId="38" borderId="45" xfId="0" applyNumberFormat="1" applyFont="1" applyFill="1" applyBorder="1" applyAlignment="1" applyProtection="1">
      <alignment horizontal="left" vertical="center" wrapText="1"/>
    </xf>
    <xf numFmtId="0" fontId="1" fillId="38" borderId="55" xfId="0" applyNumberFormat="1" applyFont="1" applyFill="1" applyBorder="1" applyAlignment="1" applyProtection="1">
      <alignment horizontal="center" vertical="center"/>
    </xf>
    <xf numFmtId="0" fontId="1" fillId="38" borderId="55" xfId="0" applyFont="1" applyFill="1" applyBorder="1" applyAlignment="1" applyProtection="1">
      <alignment vertical="center"/>
    </xf>
    <xf numFmtId="1" fontId="1" fillId="38" borderId="55" xfId="0" applyNumberFormat="1" applyFont="1" applyFill="1" applyBorder="1" applyAlignment="1" applyProtection="1">
      <alignment horizontal="center" vertical="center"/>
    </xf>
    <xf numFmtId="0" fontId="1" fillId="38" borderId="55" xfId="0" applyFont="1" applyFill="1" applyBorder="1" applyAlignment="1" applyProtection="1">
      <alignment horizontal="left" vertical="center"/>
    </xf>
    <xf numFmtId="16" fontId="1" fillId="10" borderId="17" xfId="0" applyNumberFormat="1" applyFont="1" applyFill="1" applyBorder="1" applyAlignment="1" applyProtection="1">
      <alignment horizontal="center" vertical="center"/>
    </xf>
    <xf numFmtId="16" fontId="1" fillId="38" borderId="27" xfId="0" applyNumberFormat="1" applyFont="1" applyFill="1" applyBorder="1" applyAlignment="1" applyProtection="1">
      <alignment horizontal="left" vertical="center" wrapText="1"/>
    </xf>
    <xf numFmtId="0" fontId="1" fillId="38" borderId="28" xfId="0" applyNumberFormat="1" applyFont="1" applyFill="1" applyBorder="1" applyAlignment="1" applyProtection="1">
      <alignment horizontal="center" vertical="center"/>
    </xf>
    <xf numFmtId="0" fontId="1" fillId="38" borderId="28" xfId="0" applyFont="1" applyFill="1" applyBorder="1" applyAlignment="1" applyProtection="1">
      <alignment horizontal="left" vertical="center" wrapText="1"/>
    </xf>
    <xf numFmtId="1" fontId="1" fillId="38" borderId="28" xfId="0" applyNumberFormat="1" applyFont="1" applyFill="1" applyBorder="1" applyAlignment="1" applyProtection="1">
      <alignment horizontal="center" vertical="center"/>
    </xf>
    <xf numFmtId="0" fontId="1" fillId="38" borderId="28" xfId="0" applyFont="1" applyFill="1" applyBorder="1" applyAlignment="1" applyProtection="1">
      <alignment vertical="center" wrapText="1"/>
    </xf>
    <xf numFmtId="0" fontId="1" fillId="38" borderId="28" xfId="0" applyFont="1" applyFill="1" applyBorder="1" applyAlignment="1" applyProtection="1">
      <alignment vertical="center"/>
    </xf>
    <xf numFmtId="16" fontId="1" fillId="10" borderId="53" xfId="0" applyNumberFormat="1" applyFont="1" applyFill="1" applyBorder="1" applyAlignment="1" applyProtection="1">
      <alignment horizontal="center" vertical="center"/>
    </xf>
    <xf numFmtId="16" fontId="1" fillId="8" borderId="0" xfId="0" applyNumberFormat="1" applyFont="1" applyFill="1" applyBorder="1" applyAlignment="1" applyProtection="1">
      <alignment horizontal="center"/>
      <protection locked="0"/>
    </xf>
    <xf numFmtId="0" fontId="1" fillId="15" borderId="0" xfId="0" applyFont="1" applyFill="1" applyBorder="1" applyAlignment="1" applyProtection="1">
      <alignment horizontal="center"/>
    </xf>
    <xf numFmtId="0" fontId="1" fillId="15" borderId="0" xfId="0" applyFont="1" applyFill="1" applyBorder="1" applyProtection="1">
      <protection locked="0"/>
    </xf>
    <xf numFmtId="0" fontId="1" fillId="2" borderId="15" xfId="0" applyFont="1" applyFill="1" applyBorder="1" applyAlignment="1" applyProtection="1">
      <alignment vertical="center"/>
      <protection locked="0"/>
    </xf>
    <xf numFmtId="0" fontId="1" fillId="2" borderId="12" xfId="0" applyNumberFormat="1" applyFont="1" applyFill="1" applyBorder="1" applyAlignment="1" applyProtection="1">
      <alignment horizontal="center"/>
      <protection locked="0"/>
    </xf>
    <xf numFmtId="0" fontId="1" fillId="2" borderId="12" xfId="0" applyNumberFormat="1" applyFont="1" applyFill="1" applyBorder="1" applyAlignment="1" applyProtection="1">
      <alignment vertical="center"/>
      <protection locked="0"/>
    </xf>
    <xf numFmtId="0" fontId="1" fillId="2" borderId="12" xfId="0" applyFont="1" applyFill="1" applyBorder="1" applyAlignment="1" applyProtection="1">
      <alignment vertical="center"/>
      <protection locked="0"/>
    </xf>
    <xf numFmtId="0" fontId="1" fillId="2" borderId="13" xfId="0" applyFont="1" applyFill="1" applyBorder="1" applyAlignment="1" applyProtection="1">
      <alignment vertical="center"/>
      <protection locked="0"/>
    </xf>
    <xf numFmtId="0" fontId="1" fillId="2" borderId="0" xfId="0" applyNumberFormat="1" applyFont="1" applyFill="1" applyBorder="1" applyAlignment="1" applyProtection="1">
      <alignment horizontal="center"/>
      <protection locked="0"/>
    </xf>
    <xf numFmtId="0" fontId="1" fillId="9" borderId="11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NumberFormat="1" applyFont="1" applyFill="1" applyBorder="1" applyProtection="1">
      <protection locked="0"/>
    </xf>
    <xf numFmtId="0" fontId="1" fillId="2" borderId="15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0" xfId="0" applyNumberFormat="1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12" xfId="0" applyNumberFormat="1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1" fillId="35" borderId="1" xfId="0" applyNumberFormat="1" applyFont="1" applyFill="1" applyBorder="1" applyProtection="1">
      <protection locked="0"/>
    </xf>
    <xf numFmtId="0" fontId="1" fillId="35" borderId="1" xfId="0" applyNumberFormat="1" applyFont="1" applyFill="1" applyBorder="1" applyAlignment="1" applyProtection="1">
      <alignment horizontal="center"/>
      <protection locked="0"/>
    </xf>
    <xf numFmtId="0" fontId="1" fillId="35" borderId="1" xfId="0" applyFont="1" applyFill="1" applyBorder="1" applyAlignment="1" applyProtection="1">
      <alignment horizontal="center"/>
      <protection locked="0"/>
    </xf>
    <xf numFmtId="0" fontId="1" fillId="35" borderId="26" xfId="0" applyFont="1" applyFill="1" applyBorder="1" applyAlignment="1" applyProtection="1">
      <alignment horizontal="center"/>
      <protection locked="0"/>
    </xf>
    <xf numFmtId="0" fontId="1" fillId="35" borderId="28" xfId="0" applyNumberFormat="1" applyFont="1" applyFill="1" applyBorder="1" applyProtection="1">
      <protection locked="0"/>
    </xf>
    <xf numFmtId="0" fontId="1" fillId="35" borderId="28" xfId="0" applyNumberFormat="1" applyFont="1" applyFill="1" applyBorder="1" applyAlignment="1" applyProtection="1">
      <alignment horizontal="center"/>
      <protection locked="0"/>
    </xf>
    <xf numFmtId="0" fontId="1" fillId="35" borderId="28" xfId="0" applyFont="1" applyFill="1" applyBorder="1" applyAlignment="1" applyProtection="1">
      <alignment horizontal="center"/>
      <protection locked="0"/>
    </xf>
    <xf numFmtId="0" fontId="1" fillId="35" borderId="29" xfId="0" applyFont="1" applyFill="1" applyBorder="1" applyAlignment="1" applyProtection="1">
      <alignment horizontal="center"/>
      <protection locked="0"/>
    </xf>
    <xf numFmtId="0" fontId="1" fillId="8" borderId="15" xfId="0" applyFont="1" applyFill="1" applyBorder="1" applyAlignment="1" applyProtection="1">
      <alignment vertical="center"/>
      <protection locked="0"/>
    </xf>
    <xf numFmtId="0" fontId="1" fillId="23" borderId="1" xfId="0" applyNumberFormat="1" applyFont="1" applyFill="1" applyBorder="1" applyAlignment="1" applyProtection="1">
      <alignment horizontal="center"/>
      <protection locked="0"/>
    </xf>
    <xf numFmtId="0" fontId="1" fillId="21" borderId="1" xfId="0" applyNumberFormat="1" applyFont="1" applyFill="1" applyBorder="1" applyAlignment="1" applyProtection="1">
      <alignment horizontal="center"/>
      <protection locked="0"/>
    </xf>
    <xf numFmtId="0" fontId="1" fillId="23" borderId="1" xfId="0" applyFont="1" applyFill="1" applyBorder="1" applyAlignment="1" applyProtection="1">
      <alignment horizontal="center"/>
      <protection locked="0"/>
    </xf>
    <xf numFmtId="0" fontId="1" fillId="21" borderId="1" xfId="0" applyFont="1" applyFill="1" applyBorder="1" applyAlignment="1" applyProtection="1">
      <alignment horizontal="center"/>
      <protection locked="0"/>
    </xf>
    <xf numFmtId="0" fontId="1" fillId="21" borderId="26" xfId="0" applyFont="1" applyFill="1" applyBorder="1" applyAlignment="1" applyProtection="1">
      <alignment horizontal="center"/>
      <protection locked="0"/>
    </xf>
    <xf numFmtId="0" fontId="1" fillId="23" borderId="28" xfId="0" applyNumberFormat="1" applyFont="1" applyFill="1" applyBorder="1" applyAlignment="1" applyProtection="1">
      <alignment horizontal="center"/>
      <protection locked="0"/>
    </xf>
    <xf numFmtId="0" fontId="1" fillId="21" borderId="28" xfId="0" applyNumberFormat="1" applyFont="1" applyFill="1" applyBorder="1" applyAlignment="1" applyProtection="1">
      <alignment horizontal="center"/>
      <protection locked="0"/>
    </xf>
    <xf numFmtId="0" fontId="1" fillId="23" borderId="28" xfId="0" applyFont="1" applyFill="1" applyBorder="1" applyAlignment="1" applyProtection="1">
      <alignment horizontal="center"/>
      <protection locked="0"/>
    </xf>
    <xf numFmtId="0" fontId="1" fillId="21" borderId="28" xfId="0" applyFont="1" applyFill="1" applyBorder="1" applyAlignment="1" applyProtection="1">
      <alignment horizontal="center"/>
      <protection locked="0"/>
    </xf>
    <xf numFmtId="0" fontId="1" fillId="21" borderId="29" xfId="0" applyFont="1" applyFill="1" applyBorder="1" applyAlignment="1" applyProtection="1">
      <alignment horizontal="center"/>
      <protection locked="0"/>
    </xf>
    <xf numFmtId="0" fontId="1" fillId="38" borderId="1" xfId="0" applyFont="1" applyFill="1" applyBorder="1" applyAlignment="1" applyProtection="1">
      <alignment horizontal="center" vertical="center"/>
    </xf>
    <xf numFmtId="16" fontId="1" fillId="10" borderId="1" xfId="0" applyNumberFormat="1" applyFont="1" applyFill="1" applyBorder="1" applyAlignment="1" applyProtection="1">
      <alignment horizontal="center" vertical="center"/>
    </xf>
    <xf numFmtId="0" fontId="1" fillId="39" borderId="1" xfId="0" applyFont="1" applyFill="1" applyBorder="1" applyAlignment="1" applyProtection="1">
      <alignment horizontal="left" vertical="center"/>
      <protection locked="0"/>
    </xf>
    <xf numFmtId="1" fontId="1" fillId="22" borderId="26" xfId="0" applyNumberFormat="1" applyFont="1" applyFill="1" applyBorder="1" applyAlignment="1" applyProtection="1">
      <alignment horizontal="center" vertical="center"/>
    </xf>
    <xf numFmtId="16" fontId="1" fillId="38" borderId="1" xfId="0" applyNumberFormat="1" applyFont="1" applyFill="1" applyBorder="1" applyAlignment="1" applyProtection="1">
      <alignment horizontal="center" vertical="center"/>
    </xf>
    <xf numFmtId="0" fontId="1" fillId="38" borderId="28" xfId="0" applyFont="1" applyFill="1" applyBorder="1" applyAlignment="1" applyProtection="1">
      <alignment horizontal="center" vertical="center"/>
      <protection locked="0"/>
    </xf>
    <xf numFmtId="0" fontId="1" fillId="38" borderId="28" xfId="0" applyFont="1" applyFill="1" applyBorder="1" applyAlignment="1" applyProtection="1">
      <alignment horizontal="left" vertical="center"/>
      <protection locked="0"/>
    </xf>
    <xf numFmtId="1" fontId="1" fillId="22" borderId="29" xfId="0" applyNumberFormat="1" applyFont="1" applyFill="1" applyBorder="1" applyAlignment="1" applyProtection="1">
      <alignment horizontal="center" vertical="center"/>
    </xf>
    <xf numFmtId="16" fontId="1" fillId="38" borderId="0" xfId="0" applyNumberFormat="1" applyFont="1" applyFill="1" applyBorder="1" applyAlignment="1" applyProtection="1">
      <alignment horizontal="left" vertical="center"/>
    </xf>
    <xf numFmtId="16" fontId="1" fillId="0" borderId="1" xfId="0" applyNumberFormat="1" applyFont="1" applyFill="1" applyBorder="1" applyAlignment="1" applyProtection="1">
      <alignment horizontal="center" vertical="center"/>
    </xf>
    <xf numFmtId="0" fontId="1" fillId="38" borderId="1" xfId="0" applyFont="1" applyFill="1" applyBorder="1" applyProtection="1"/>
    <xf numFmtId="0" fontId="1" fillId="38" borderId="1" xfId="0" applyFont="1" applyFill="1" applyBorder="1" applyAlignment="1" applyProtection="1">
      <alignment horizontal="center" vertical="center" wrapText="1"/>
    </xf>
    <xf numFmtId="16" fontId="1" fillId="8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vertical="center"/>
    </xf>
    <xf numFmtId="0" fontId="1" fillId="2" borderId="12" xfId="0" applyNumberFormat="1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vertical="center"/>
    </xf>
    <xf numFmtId="0" fontId="1" fillId="2" borderId="12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9" borderId="11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5" xfId="0" applyFont="1" applyFill="1" applyBorder="1" applyProtection="1"/>
    <xf numFmtId="0" fontId="1" fillId="2" borderId="10" xfId="0" applyFont="1" applyFill="1" applyBorder="1" applyProtection="1"/>
    <xf numFmtId="0" fontId="1" fillId="2" borderId="9" xfId="0" applyFont="1" applyFill="1" applyBorder="1" applyProtection="1"/>
    <xf numFmtId="0" fontId="1" fillId="2" borderId="12" xfId="0" applyFont="1" applyFill="1" applyBorder="1" applyProtection="1"/>
    <xf numFmtId="0" fontId="1" fillId="2" borderId="13" xfId="0" applyFont="1" applyFill="1" applyBorder="1" applyProtection="1"/>
    <xf numFmtId="0" fontId="1" fillId="15" borderId="1" xfId="0" applyFont="1" applyFill="1" applyBorder="1" applyProtection="1"/>
    <xf numFmtId="0" fontId="1" fillId="8" borderId="1" xfId="0" applyFont="1" applyFill="1" applyBorder="1" applyAlignment="1" applyProtection="1">
      <alignment horizontal="center"/>
    </xf>
    <xf numFmtId="0" fontId="1" fillId="15" borderId="1" xfId="0" applyFont="1" applyFill="1" applyBorder="1" applyAlignment="1" applyProtection="1">
      <alignment horizontal="center"/>
    </xf>
    <xf numFmtId="0" fontId="1" fillId="8" borderId="26" xfId="0" applyFont="1" applyFill="1" applyBorder="1" applyAlignment="1" applyProtection="1">
      <alignment horizontal="center"/>
    </xf>
    <xf numFmtId="0" fontId="1" fillId="15" borderId="28" xfId="0" applyFont="1" applyFill="1" applyBorder="1" applyProtection="1"/>
    <xf numFmtId="0" fontId="1" fillId="8" borderId="28" xfId="0" applyFont="1" applyFill="1" applyBorder="1" applyAlignment="1" applyProtection="1">
      <alignment horizontal="center"/>
    </xf>
    <xf numFmtId="0" fontId="1" fillId="15" borderId="28" xfId="0" applyFont="1" applyFill="1" applyBorder="1" applyAlignment="1" applyProtection="1">
      <alignment horizontal="center"/>
    </xf>
    <xf numFmtId="0" fontId="1" fillId="8" borderId="29" xfId="0" applyFont="1" applyFill="1" applyBorder="1" applyAlignment="1" applyProtection="1">
      <alignment horizontal="center"/>
    </xf>
    <xf numFmtId="0" fontId="1" fillId="8" borderId="15" xfId="0" applyFont="1" applyFill="1" applyBorder="1" applyAlignment="1" applyProtection="1">
      <alignment vertical="center"/>
    </xf>
    <xf numFmtId="0" fontId="1" fillId="23" borderId="1" xfId="0" applyFont="1" applyFill="1" applyBorder="1" applyAlignment="1" applyProtection="1">
      <alignment horizontal="center"/>
    </xf>
    <xf numFmtId="0" fontId="1" fillId="21" borderId="1" xfId="0" applyFont="1" applyFill="1" applyBorder="1" applyAlignment="1" applyProtection="1">
      <alignment horizontal="center"/>
    </xf>
    <xf numFmtId="0" fontId="1" fillId="21" borderId="26" xfId="0" applyFont="1" applyFill="1" applyBorder="1" applyAlignment="1" applyProtection="1">
      <alignment horizontal="center"/>
    </xf>
    <xf numFmtId="0" fontId="1" fillId="23" borderId="28" xfId="0" applyFont="1" applyFill="1" applyBorder="1" applyAlignment="1" applyProtection="1">
      <alignment horizontal="center"/>
    </xf>
    <xf numFmtId="0" fontId="1" fillId="21" borderId="28" xfId="0" applyFont="1" applyFill="1" applyBorder="1" applyAlignment="1" applyProtection="1">
      <alignment horizontal="center"/>
    </xf>
    <xf numFmtId="0" fontId="1" fillId="21" borderId="29" xfId="0" applyFont="1" applyFill="1" applyBorder="1" applyAlignment="1" applyProtection="1">
      <alignment horizontal="center"/>
    </xf>
    <xf numFmtId="16" fontId="1" fillId="38" borderId="35" xfId="0" applyNumberFormat="1" applyFont="1" applyFill="1" applyBorder="1" applyAlignment="1" applyProtection="1">
      <alignment horizontal="left" vertical="center"/>
    </xf>
    <xf numFmtId="0" fontId="1" fillId="38" borderId="6" xfId="0" applyNumberFormat="1" applyFont="1" applyFill="1" applyBorder="1" applyAlignment="1" applyProtection="1">
      <alignment horizontal="center" vertical="center"/>
    </xf>
    <xf numFmtId="0" fontId="1" fillId="38" borderId="6" xfId="0" applyFont="1" applyFill="1" applyBorder="1" applyAlignment="1" applyProtection="1">
      <alignment vertical="center"/>
    </xf>
    <xf numFmtId="0" fontId="1" fillId="38" borderId="7" xfId="0" applyNumberFormat="1" applyFont="1" applyFill="1" applyBorder="1" applyAlignment="1" applyProtection="1">
      <alignment horizontal="center" vertical="center"/>
      <protection locked="0"/>
    </xf>
    <xf numFmtId="0" fontId="1" fillId="38" borderId="1" xfId="0" applyFont="1" applyFill="1" applyBorder="1" applyAlignment="1" applyProtection="1">
      <alignment vertical="center"/>
      <protection locked="0"/>
    </xf>
    <xf numFmtId="0" fontId="1" fillId="39" borderId="26" xfId="0" applyFont="1" applyFill="1" applyBorder="1" applyAlignment="1" applyProtection="1">
      <alignment horizontal="center" vertical="center"/>
    </xf>
    <xf numFmtId="0" fontId="1" fillId="38" borderId="57" xfId="0" applyNumberFormat="1" applyFont="1" applyFill="1" applyBorder="1" applyAlignment="1" applyProtection="1">
      <alignment horizontal="center" vertical="center"/>
      <protection locked="0"/>
    </xf>
    <xf numFmtId="0" fontId="1" fillId="38" borderId="55" xfId="0" applyFont="1" applyFill="1" applyBorder="1" applyAlignment="1" applyProtection="1">
      <alignment horizontal="center" vertical="center"/>
      <protection locked="0"/>
    </xf>
    <xf numFmtId="0" fontId="1" fillId="38" borderId="7" xfId="0" applyFont="1" applyFill="1" applyBorder="1" applyAlignment="1" applyProtection="1">
      <alignment horizontal="center" vertical="center"/>
      <protection locked="0"/>
    </xf>
    <xf numFmtId="0" fontId="1" fillId="39" borderId="1" xfId="0" applyFont="1" applyFill="1" applyBorder="1" applyAlignment="1" applyProtection="1">
      <alignment horizontal="center" vertical="center"/>
      <protection locked="0"/>
    </xf>
    <xf numFmtId="16" fontId="1" fillId="38" borderId="32" xfId="0" applyNumberFormat="1" applyFont="1" applyFill="1" applyBorder="1" applyAlignment="1" applyProtection="1">
      <alignment horizontal="left"/>
      <protection locked="0"/>
    </xf>
    <xf numFmtId="0" fontId="1" fillId="38" borderId="1" xfId="0" applyFont="1" applyFill="1" applyBorder="1" applyAlignment="1" applyProtection="1">
      <alignment horizontal="left"/>
      <protection locked="0"/>
    </xf>
    <xf numFmtId="0" fontId="1" fillId="38" borderId="1" xfId="0" applyFont="1" applyFill="1" applyBorder="1" applyProtection="1">
      <protection locked="0"/>
    </xf>
    <xf numFmtId="16" fontId="1" fillId="38" borderId="27" xfId="0" applyNumberFormat="1" applyFont="1" applyFill="1" applyBorder="1" applyAlignment="1" applyProtection="1">
      <alignment horizontal="left"/>
      <protection locked="0"/>
    </xf>
    <xf numFmtId="0" fontId="1" fillId="38" borderId="38" xfId="0" applyFont="1" applyFill="1" applyBorder="1" applyAlignment="1" applyProtection="1">
      <alignment horizontal="center" vertical="center"/>
      <protection locked="0"/>
    </xf>
    <xf numFmtId="0" fontId="1" fillId="38" borderId="28" xfId="0" applyFont="1" applyFill="1" applyBorder="1" applyAlignment="1" applyProtection="1">
      <alignment horizontal="left"/>
      <protection locked="0"/>
    </xf>
    <xf numFmtId="0" fontId="1" fillId="38" borderId="28" xfId="0" applyFont="1" applyFill="1" applyBorder="1" applyProtection="1">
      <protection locked="0"/>
    </xf>
    <xf numFmtId="1" fontId="1" fillId="22" borderId="29" xfId="0" applyNumberFormat="1" applyFont="1" applyFill="1" applyBorder="1" applyAlignment="1" applyProtection="1">
      <alignment horizontal="center" vertical="center"/>
      <protection locked="0"/>
    </xf>
    <xf numFmtId="16" fontId="1" fillId="38" borderId="1" xfId="0" applyNumberFormat="1" applyFont="1" applyFill="1" applyBorder="1" applyAlignment="1" applyProtection="1">
      <alignment horizontal="left" vertical="center" wrapText="1"/>
    </xf>
    <xf numFmtId="1" fontId="1" fillId="38" borderId="6" xfId="0" applyNumberFormat="1" applyFont="1" applyFill="1" applyBorder="1" applyAlignment="1" applyProtection="1">
      <alignment horizontal="center" vertical="center"/>
    </xf>
    <xf numFmtId="0" fontId="1" fillId="38" borderId="6" xfId="0" applyFont="1" applyFill="1" applyBorder="1" applyAlignment="1" applyProtection="1">
      <alignment horizontal="left" vertical="center"/>
    </xf>
    <xf numFmtId="0" fontId="1" fillId="38" borderId="6" xfId="0" applyFont="1" applyFill="1" applyBorder="1" applyAlignment="1" applyProtection="1">
      <alignment horizontal="center" vertical="center"/>
    </xf>
    <xf numFmtId="1" fontId="1" fillId="38" borderId="1" xfId="0" applyNumberFormat="1" applyFont="1" applyFill="1" applyBorder="1" applyAlignment="1" applyProtection="1">
      <alignment horizontal="left" vertical="center"/>
    </xf>
    <xf numFmtId="16" fontId="1" fillId="38" borderId="31" xfId="201" applyNumberFormat="1" applyFont="1" applyFill="1" applyBorder="1" applyAlignment="1" applyProtection="1">
      <alignment horizontal="left" vertical="center"/>
      <protection locked="0"/>
    </xf>
    <xf numFmtId="0" fontId="1" fillId="38" borderId="30" xfId="0" applyFont="1" applyFill="1" applyBorder="1" applyAlignment="1" applyProtection="1">
      <alignment horizontal="center" vertical="center"/>
      <protection locked="0"/>
    </xf>
    <xf numFmtId="0" fontId="1" fillId="38" borderId="30" xfId="0" applyFont="1" applyFill="1" applyBorder="1" applyAlignment="1" applyProtection="1">
      <alignment vertical="center"/>
      <protection locked="0"/>
    </xf>
    <xf numFmtId="0" fontId="1" fillId="38" borderId="30" xfId="0" applyFont="1" applyFill="1" applyBorder="1" applyAlignment="1" applyProtection="1">
      <alignment horizontal="left" vertical="center"/>
      <protection locked="0"/>
    </xf>
    <xf numFmtId="1" fontId="1" fillId="22" borderId="25" xfId="0" applyNumberFormat="1" applyFont="1" applyFill="1" applyBorder="1" applyAlignment="1" applyProtection="1">
      <alignment horizontal="center" vertical="center"/>
      <protection locked="0"/>
    </xf>
    <xf numFmtId="16" fontId="1" fillId="38" borderId="32" xfId="201" applyNumberFormat="1" applyFont="1" applyFill="1" applyBorder="1" applyAlignment="1" applyProtection="1">
      <alignment horizontal="left" vertical="center"/>
      <protection locked="0"/>
    </xf>
    <xf numFmtId="0" fontId="1" fillId="39" borderId="1" xfId="0" applyFont="1" applyFill="1" applyBorder="1" applyAlignment="1" applyProtection="1">
      <alignment vertical="center"/>
      <protection locked="0"/>
    </xf>
    <xf numFmtId="0" fontId="1" fillId="38" borderId="1" xfId="0" applyFont="1" applyFill="1" applyBorder="1" applyAlignment="1" applyProtection="1">
      <alignment horizontal="justify" vertical="center"/>
      <protection locked="0"/>
    </xf>
    <xf numFmtId="0" fontId="1" fillId="38" borderId="28" xfId="0" applyFont="1" applyFill="1" applyBorder="1" applyAlignment="1" applyProtection="1">
      <alignment horizontal="center"/>
      <protection locked="0"/>
    </xf>
    <xf numFmtId="0" fontId="1" fillId="38" borderId="28" xfId="0" applyFont="1" applyFill="1" applyBorder="1" applyAlignment="1" applyProtection="1">
      <alignment horizontal="justify" vertical="center"/>
      <protection locked="0"/>
    </xf>
    <xf numFmtId="0" fontId="1" fillId="38" borderId="28" xfId="0" applyFont="1" applyFill="1" applyBorder="1" applyAlignment="1" applyProtection="1">
      <alignment vertical="center"/>
      <protection locked="0"/>
    </xf>
    <xf numFmtId="0" fontId="1" fillId="8" borderId="0" xfId="0" applyFont="1" applyFill="1" applyBorder="1" applyAlignment="1" applyProtection="1">
      <alignment vertical="center"/>
      <protection locked="0"/>
    </xf>
    <xf numFmtId="0" fontId="1" fillId="8" borderId="0" xfId="0" applyFont="1" applyFill="1" applyBorder="1" applyAlignment="1" applyProtection="1">
      <alignment horizontal="center"/>
      <protection locked="0"/>
    </xf>
    <xf numFmtId="16" fontId="1" fillId="38" borderId="45" xfId="0" applyNumberFormat="1" applyFont="1" applyFill="1" applyBorder="1" applyAlignment="1" applyProtection="1">
      <alignment horizontal="left" vertical="center"/>
    </xf>
    <xf numFmtId="0" fontId="1" fillId="38" borderId="55" xfId="0" applyFont="1" applyFill="1" applyBorder="1" applyAlignment="1" applyProtection="1">
      <alignment horizontal="center" vertical="center"/>
    </xf>
    <xf numFmtId="16" fontId="1" fillId="38" borderId="55" xfId="0" applyNumberFormat="1" applyFont="1" applyFill="1" applyBorder="1" applyAlignment="1" applyProtection="1">
      <alignment horizontal="center" vertical="center"/>
    </xf>
    <xf numFmtId="0" fontId="1" fillId="38" borderId="55" xfId="0" applyFont="1" applyFill="1" applyBorder="1" applyAlignment="1" applyProtection="1">
      <alignment vertical="center" wrapText="1"/>
    </xf>
    <xf numFmtId="0" fontId="1" fillId="8" borderId="14" xfId="0" applyFont="1" applyFill="1" applyBorder="1" applyProtection="1">
      <protection locked="0"/>
    </xf>
    <xf numFmtId="1" fontId="1" fillId="38" borderId="1" xfId="0" applyNumberFormat="1" applyFont="1" applyFill="1" applyBorder="1" applyAlignment="1" applyProtection="1">
      <alignment vertical="center"/>
    </xf>
    <xf numFmtId="1" fontId="1" fillId="38" borderId="55" xfId="0" applyNumberFormat="1" applyFont="1" applyFill="1" applyBorder="1" applyAlignment="1" applyProtection="1">
      <alignment horizontal="left" vertical="center"/>
    </xf>
    <xf numFmtId="16" fontId="1" fillId="10" borderId="55" xfId="0" applyNumberFormat="1" applyFont="1" applyFill="1" applyBorder="1" applyAlignment="1" applyProtection="1">
      <alignment horizontal="center" vertical="center"/>
    </xf>
    <xf numFmtId="16" fontId="1" fillId="10" borderId="28" xfId="0" applyNumberFormat="1" applyFont="1" applyFill="1" applyBorder="1" applyAlignment="1" applyProtection="1">
      <alignment horizontal="center" vertical="center"/>
    </xf>
    <xf numFmtId="0" fontId="1" fillId="10" borderId="11" xfId="0" applyFont="1" applyFill="1" applyBorder="1" applyAlignment="1" applyProtection="1">
      <alignment horizontal="center" vertical="center"/>
    </xf>
    <xf numFmtId="0" fontId="1" fillId="10" borderId="12" xfId="0" applyFont="1" applyFill="1" applyBorder="1" applyAlignment="1" applyProtection="1">
      <alignment horizontal="center" vertical="center"/>
    </xf>
    <xf numFmtId="0" fontId="1" fillId="10" borderId="13" xfId="0" applyFont="1" applyFill="1" applyBorder="1" applyAlignment="1" applyProtection="1">
      <alignment horizontal="center" vertical="center"/>
    </xf>
    <xf numFmtId="0" fontId="1" fillId="10" borderId="23" xfId="0" applyFont="1" applyFill="1" applyBorder="1" applyAlignment="1" applyProtection="1">
      <alignment horizontal="center" vertical="center"/>
    </xf>
    <xf numFmtId="0" fontId="1" fillId="10" borderId="2" xfId="0" applyFont="1" applyFill="1" applyBorder="1" applyAlignment="1" applyProtection="1">
      <alignment horizontal="center" vertical="center"/>
    </xf>
    <xf numFmtId="0" fontId="1" fillId="10" borderId="22" xfId="0" applyFont="1" applyFill="1" applyBorder="1" applyAlignment="1" applyProtection="1">
      <alignment horizontal="center" vertical="center"/>
    </xf>
    <xf numFmtId="16" fontId="1" fillId="38" borderId="32" xfId="0" applyNumberFormat="1" applyFont="1" applyFill="1" applyBorder="1" applyAlignment="1" applyProtection="1">
      <alignment horizontal="left"/>
    </xf>
    <xf numFmtId="16" fontId="1" fillId="38" borderId="32" xfId="0" applyNumberFormat="1" applyFont="1" applyFill="1" applyBorder="1" applyAlignment="1">
      <alignment horizontal="left" vertical="center"/>
    </xf>
    <xf numFmtId="0" fontId="1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left" vertical="center" wrapText="1"/>
    </xf>
    <xf numFmtId="0" fontId="1" fillId="38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left" vertical="center"/>
    </xf>
    <xf numFmtId="0" fontId="1" fillId="38" borderId="1" xfId="0" applyFont="1" applyFill="1" applyBorder="1" applyAlignment="1" applyProtection="1">
      <alignment horizontal="center"/>
      <protection locked="0"/>
    </xf>
    <xf numFmtId="0" fontId="1" fillId="38" borderId="1" xfId="0" applyNumberFormat="1" applyFont="1" applyFill="1" applyBorder="1" applyAlignment="1" applyProtection="1">
      <alignment horizontal="center"/>
      <protection locked="0"/>
    </xf>
    <xf numFmtId="16" fontId="1" fillId="38" borderId="28" xfId="0" applyNumberFormat="1" applyFont="1" applyFill="1" applyBorder="1" applyAlignment="1" applyProtection="1">
      <alignment horizontal="center" vertical="center"/>
      <protection locked="0"/>
    </xf>
    <xf numFmtId="0" fontId="1" fillId="38" borderId="28" xfId="0" applyFont="1" applyFill="1" applyBorder="1" applyAlignment="1" applyProtection="1">
      <alignment horizontal="center" vertical="center" wrapText="1"/>
      <protection locked="0"/>
    </xf>
    <xf numFmtId="0" fontId="1" fillId="38" borderId="0" xfId="0" applyFont="1" applyFill="1" applyBorder="1" applyAlignment="1" applyProtection="1">
      <alignment horizontal="left" vertical="center"/>
    </xf>
    <xf numFmtId="0" fontId="1" fillId="39" borderId="1" xfId="0" applyFont="1" applyFill="1" applyBorder="1" applyAlignment="1" applyProtection="1">
      <alignment vertical="center"/>
    </xf>
    <xf numFmtId="16" fontId="1" fillId="38" borderId="27" xfId="0" applyNumberFormat="1" applyFont="1" applyFill="1" applyBorder="1" applyAlignment="1" applyProtection="1">
      <alignment horizontal="left"/>
    </xf>
    <xf numFmtId="0" fontId="1" fillId="38" borderId="28" xfId="0" applyFont="1" applyFill="1" applyBorder="1" applyProtection="1"/>
    <xf numFmtId="16" fontId="1" fillId="38" borderId="28" xfId="0" applyNumberFormat="1" applyFont="1" applyFill="1" applyBorder="1" applyAlignment="1" applyProtection="1">
      <alignment horizontal="center" vertical="center"/>
    </xf>
    <xf numFmtId="0" fontId="1" fillId="38" borderId="28" xfId="0" applyFont="1" applyFill="1" applyBorder="1" applyAlignment="1" applyProtection="1">
      <alignment horizontal="center" vertical="center"/>
    </xf>
    <xf numFmtId="0" fontId="1" fillId="38" borderId="1" xfId="0" applyFont="1" applyFill="1" applyBorder="1" applyAlignment="1">
      <alignment vertical="center" wrapText="1"/>
    </xf>
    <xf numFmtId="16" fontId="1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vertical="center"/>
    </xf>
    <xf numFmtId="16" fontId="1" fillId="10" borderId="1" xfId="0" applyNumberFormat="1" applyFont="1" applyFill="1" applyBorder="1" applyAlignment="1" applyProtection="1">
      <alignment horizontal="center" vertical="center"/>
      <protection locked="0"/>
    </xf>
    <xf numFmtId="1" fontId="1" fillId="22" borderId="26" xfId="0" applyNumberFormat="1" applyFont="1" applyFill="1" applyBorder="1" applyAlignment="1">
      <alignment horizontal="center" vertical="center"/>
    </xf>
    <xf numFmtId="16" fontId="1" fillId="38" borderId="32" xfId="0" applyNumberFormat="1" applyFont="1" applyFill="1" applyBorder="1" applyAlignment="1">
      <alignment horizontal="left" vertical="center" wrapText="1"/>
    </xf>
    <xf numFmtId="0" fontId="1" fillId="38" borderId="1" xfId="0" applyFont="1" applyFill="1" applyBorder="1" applyAlignment="1">
      <alignment horizontal="center" vertical="center" wrapText="1"/>
    </xf>
    <xf numFmtId="16" fontId="1" fillId="38" borderId="27" xfId="0" applyNumberFormat="1" applyFont="1" applyFill="1" applyBorder="1" applyAlignment="1">
      <alignment horizontal="left" vertical="center"/>
    </xf>
    <xf numFmtId="0" fontId="1" fillId="38" borderId="28" xfId="0" applyNumberFormat="1" applyFont="1" applyFill="1" applyBorder="1" applyAlignment="1">
      <alignment horizontal="center" vertical="center"/>
    </xf>
    <xf numFmtId="0" fontId="1" fillId="38" borderId="28" xfId="0" applyFont="1" applyFill="1" applyBorder="1" applyAlignment="1">
      <alignment horizontal="left" vertical="center" wrapText="1"/>
    </xf>
    <xf numFmtId="0" fontId="1" fillId="38" borderId="28" xfId="0" applyFont="1" applyFill="1" applyBorder="1" applyAlignment="1">
      <alignment horizontal="center" vertical="center"/>
    </xf>
    <xf numFmtId="0" fontId="1" fillId="38" borderId="28" xfId="0" applyFont="1" applyFill="1" applyBorder="1" applyAlignment="1">
      <alignment vertical="center"/>
    </xf>
    <xf numFmtId="1" fontId="1" fillId="22" borderId="29" xfId="0" applyNumberFormat="1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1" fillId="38" borderId="0" xfId="0" applyFont="1" applyFill="1" applyBorder="1" applyAlignment="1">
      <alignment vertical="center"/>
    </xf>
    <xf numFmtId="16" fontId="1" fillId="38" borderId="28" xfId="0" applyNumberFormat="1" applyFont="1" applyFill="1" applyBorder="1" applyAlignment="1">
      <alignment horizontal="center" vertical="center"/>
    </xf>
    <xf numFmtId="16" fontId="1" fillId="10" borderId="28" xfId="0" applyNumberFormat="1" applyFont="1" applyFill="1" applyBorder="1" applyAlignment="1" applyProtection="1">
      <alignment horizontal="center" vertical="center"/>
      <protection locked="0"/>
    </xf>
    <xf numFmtId="16" fontId="1" fillId="8" borderId="0" xfId="0" applyNumberFormat="1" applyFont="1" applyFill="1" applyBorder="1" applyAlignment="1">
      <alignment horizontal="center"/>
    </xf>
    <xf numFmtId="0" fontId="1" fillId="38" borderId="1" xfId="0" applyFont="1" applyFill="1" applyBorder="1"/>
    <xf numFmtId="16" fontId="1" fillId="0" borderId="1" xfId="0" applyNumberFormat="1" applyFont="1" applyFill="1" applyBorder="1" applyAlignment="1">
      <alignment horizontal="center"/>
    </xf>
    <xf numFmtId="0" fontId="1" fillId="38" borderId="55" xfId="0" applyFont="1" applyFill="1" applyBorder="1" applyAlignment="1">
      <alignment vertical="center" wrapText="1"/>
    </xf>
    <xf numFmtId="16" fontId="1" fillId="38" borderId="32" xfId="0" applyNumberFormat="1" applyFont="1" applyFill="1" applyBorder="1" applyAlignment="1">
      <alignment horizontal="left"/>
    </xf>
    <xf numFmtId="1" fontId="1" fillId="38" borderId="1" xfId="0" applyNumberFormat="1" applyFont="1" applyFill="1" applyBorder="1" applyAlignment="1">
      <alignment horizontal="left"/>
    </xf>
    <xf numFmtId="16" fontId="1" fillId="38" borderId="1" xfId="0" applyNumberFormat="1" applyFont="1" applyFill="1" applyBorder="1" applyAlignment="1">
      <alignment horizontal="left" vertical="center"/>
    </xf>
    <xf numFmtId="16" fontId="1" fillId="38" borderId="1" xfId="0" applyNumberFormat="1" applyFont="1" applyFill="1" applyBorder="1" applyAlignment="1">
      <alignment horizontal="left" vertical="center" wrapText="1"/>
    </xf>
    <xf numFmtId="0" fontId="1" fillId="38" borderId="1" xfId="0" applyNumberFormat="1" applyFont="1" applyFill="1" applyBorder="1" applyAlignment="1">
      <alignment horizontal="center"/>
    </xf>
    <xf numFmtId="0" fontId="1" fillId="38" borderId="55" xfId="0" applyNumberFormat="1" applyFont="1" applyFill="1" applyBorder="1" applyAlignment="1">
      <alignment horizontal="center"/>
    </xf>
    <xf numFmtId="0" fontId="1" fillId="38" borderId="55" xfId="0" applyFont="1" applyFill="1" applyBorder="1" applyAlignment="1">
      <alignment horizontal="center"/>
    </xf>
    <xf numFmtId="16" fontId="1" fillId="38" borderId="1" xfId="0" applyNumberFormat="1" applyFont="1" applyFill="1" applyBorder="1" applyAlignment="1"/>
    <xf numFmtId="0" fontId="1" fillId="38" borderId="55" xfId="0" applyFont="1" applyFill="1" applyBorder="1" applyAlignment="1">
      <alignment horizontal="center" vertical="center"/>
    </xf>
    <xf numFmtId="0" fontId="1" fillId="38" borderId="59" xfId="0" applyFont="1" applyFill="1" applyBorder="1" applyAlignment="1">
      <alignment vertical="center"/>
    </xf>
    <xf numFmtId="16" fontId="1" fillId="38" borderId="0" xfId="0" applyNumberFormat="1" applyFont="1" applyFill="1" applyBorder="1" applyAlignment="1">
      <alignment horizontal="left" vertical="center"/>
    </xf>
    <xf numFmtId="0" fontId="1" fillId="38" borderId="0" xfId="0" applyFont="1" applyFill="1" applyBorder="1" applyAlignment="1">
      <alignment vertical="center" wrapText="1"/>
    </xf>
    <xf numFmtId="16" fontId="1" fillId="38" borderId="45" xfId="0" applyNumberFormat="1" applyFont="1" applyFill="1" applyBorder="1" applyAlignment="1">
      <alignment horizontal="left"/>
    </xf>
    <xf numFmtId="0" fontId="1" fillId="38" borderId="55" xfId="0" applyNumberFormat="1" applyFont="1" applyFill="1" applyBorder="1" applyAlignment="1">
      <alignment horizontal="center" vertical="center"/>
    </xf>
    <xf numFmtId="16" fontId="1" fillId="38" borderId="55" xfId="0" applyNumberFormat="1" applyFont="1" applyFill="1" applyBorder="1" applyAlignment="1">
      <alignment horizontal="left" vertical="center"/>
    </xf>
    <xf numFmtId="16" fontId="1" fillId="38" borderId="55" xfId="0" applyNumberFormat="1" applyFont="1" applyFill="1" applyBorder="1" applyAlignment="1">
      <alignment horizontal="center" vertical="center"/>
    </xf>
    <xf numFmtId="0" fontId="1" fillId="38" borderId="55" xfId="0" applyFont="1" applyFill="1" applyBorder="1" applyAlignment="1">
      <alignment vertical="center"/>
    </xf>
    <xf numFmtId="1" fontId="1" fillId="38" borderId="1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1" fontId="1" fillId="38" borderId="1" xfId="0" applyNumberFormat="1" applyFont="1" applyFill="1" applyBorder="1" applyAlignment="1">
      <alignment horizontal="center"/>
    </xf>
    <xf numFmtId="16" fontId="1" fillId="38" borderId="1" xfId="0" applyNumberFormat="1" applyFont="1" applyFill="1" applyBorder="1" applyAlignment="1">
      <alignment horizontal="center"/>
    </xf>
    <xf numFmtId="0" fontId="1" fillId="38" borderId="1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1" fontId="1" fillId="38" borderId="1" xfId="0" applyNumberFormat="1" applyFont="1" applyFill="1" applyBorder="1" applyAlignment="1">
      <alignment vertical="center"/>
    </xf>
    <xf numFmtId="16" fontId="1" fillId="38" borderId="45" xfId="0" applyNumberFormat="1" applyFont="1" applyFill="1" applyBorder="1" applyAlignment="1">
      <alignment horizontal="left" vertical="center"/>
    </xf>
    <xf numFmtId="1" fontId="1" fillId="38" borderId="55" xfId="0" applyNumberFormat="1" applyFont="1" applyFill="1" applyBorder="1" applyAlignment="1">
      <alignment vertical="center"/>
    </xf>
    <xf numFmtId="0" fontId="1" fillId="38" borderId="0" xfId="0" applyFont="1" applyFill="1" applyBorder="1"/>
    <xf numFmtId="0" fontId="1" fillId="38" borderId="1" xfId="0" applyFont="1" applyFill="1" applyBorder="1" applyAlignment="1">
      <alignment horizontal="left"/>
    </xf>
    <xf numFmtId="0" fontId="1" fillId="8" borderId="14" xfId="0" applyFont="1" applyFill="1" applyBorder="1"/>
    <xf numFmtId="1" fontId="1" fillId="38" borderId="28" xfId="0" applyNumberFormat="1" applyFont="1" applyFill="1" applyBorder="1" applyAlignment="1">
      <alignment vertical="center"/>
    </xf>
    <xf numFmtId="0" fontId="1" fillId="38" borderId="28" xfId="0" applyFont="1" applyFill="1" applyBorder="1"/>
    <xf numFmtId="0" fontId="1" fillId="38" borderId="28" xfId="0" applyFont="1" applyFill="1" applyBorder="1" applyAlignment="1">
      <alignment horizontal="left" vertical="center"/>
    </xf>
    <xf numFmtId="16" fontId="1" fillId="0" borderId="32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16" fontId="1" fillId="0" borderId="27" xfId="0" applyNumberFormat="1" applyFont="1" applyBorder="1" applyAlignment="1" applyProtection="1">
      <alignment horizontal="center" vertical="center"/>
      <protection locked="0"/>
    </xf>
    <xf numFmtId="0" fontId="1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8" xfId="0" applyFont="1" applyFill="1" applyBorder="1" applyAlignment="1" applyProtection="1">
      <alignment horizontal="center" vertical="center"/>
      <protection locked="0"/>
    </xf>
    <xf numFmtId="0" fontId="1" fillId="39" borderId="1" xfId="0" applyFont="1" applyFill="1" applyBorder="1" applyAlignment="1" applyProtection="1">
      <alignment horizontal="center" vertical="center"/>
    </xf>
    <xf numFmtId="16" fontId="1" fillId="38" borderId="27" xfId="0" applyNumberFormat="1" applyFont="1" applyFill="1" applyBorder="1" applyAlignment="1" applyProtection="1">
      <alignment horizontal="left" vertical="center"/>
    </xf>
    <xf numFmtId="0" fontId="1" fillId="15" borderId="0" xfId="0" applyFont="1" applyFill="1" applyBorder="1" applyAlignment="1" applyProtection="1">
      <alignment horizontal="center"/>
      <protection locked="0"/>
    </xf>
    <xf numFmtId="0" fontId="1" fillId="38" borderId="1" xfId="0" applyNumberFormat="1" applyFont="1" applyFill="1" applyBorder="1" applyAlignment="1" applyProtection="1">
      <alignment horizontal="center"/>
    </xf>
    <xf numFmtId="16" fontId="1" fillId="38" borderId="1" xfId="0" applyNumberFormat="1" applyFont="1" applyFill="1" applyBorder="1" applyAlignment="1" applyProtection="1">
      <alignment horizontal="left" wrapText="1"/>
    </xf>
    <xf numFmtId="16" fontId="1" fillId="38" borderId="1" xfId="0" applyNumberFormat="1" applyFont="1" applyFill="1" applyBorder="1" applyAlignment="1" applyProtection="1">
      <alignment horizontal="center"/>
    </xf>
    <xf numFmtId="0" fontId="1" fillId="38" borderId="1" xfId="0" applyFont="1" applyFill="1" applyBorder="1" applyAlignment="1" applyProtection="1">
      <alignment horizontal="center"/>
    </xf>
    <xf numFmtId="0" fontId="1" fillId="38" borderId="1" xfId="0" applyFont="1" applyFill="1" applyBorder="1" applyAlignment="1" applyProtection="1"/>
    <xf numFmtId="0" fontId="1" fillId="38" borderId="1" xfId="0" applyFont="1" applyFill="1" applyBorder="1" applyAlignment="1" applyProtection="1">
      <alignment horizontal="left" wrapText="1"/>
    </xf>
    <xf numFmtId="16" fontId="1" fillId="38" borderId="1" xfId="0" applyNumberFormat="1" applyFont="1" applyFill="1" applyBorder="1" applyAlignment="1" applyProtection="1">
      <alignment horizontal="left"/>
    </xf>
    <xf numFmtId="0" fontId="1" fillId="38" borderId="1" xfId="0" applyFont="1" applyFill="1" applyBorder="1" applyAlignment="1" applyProtection="1">
      <alignment horizontal="left"/>
    </xf>
    <xf numFmtId="0" fontId="1" fillId="38" borderId="1" xfId="0" applyFont="1" applyFill="1" applyBorder="1" applyAlignment="1" applyProtection="1">
      <alignment wrapText="1"/>
    </xf>
    <xf numFmtId="0" fontId="1" fillId="39" borderId="1" xfId="0" applyFont="1" applyFill="1" applyBorder="1" applyAlignment="1" applyProtection="1"/>
    <xf numFmtId="16" fontId="1" fillId="0" borderId="32" xfId="0" applyNumberFormat="1" applyFont="1" applyFill="1" applyBorder="1" applyAlignment="1" applyProtection="1">
      <alignment horizontal="left"/>
    </xf>
    <xf numFmtId="0" fontId="1" fillId="0" borderId="1" xfId="0" applyNumberFormat="1" applyFont="1" applyBorder="1" applyAlignment="1" applyProtection="1">
      <alignment horizontal="center"/>
    </xf>
    <xf numFmtId="16" fontId="1" fillId="0" borderId="1" xfId="0" applyNumberFormat="1" applyFont="1" applyFill="1" applyBorder="1" applyAlignment="1" applyProtection="1">
      <alignment horizontal="left"/>
    </xf>
    <xf numFmtId="16" fontId="1" fillId="0" borderId="1" xfId="0" applyNumberFormat="1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/>
    <xf numFmtId="0" fontId="1" fillId="8" borderId="1" xfId="0" applyFont="1" applyFill="1" applyBorder="1" applyAlignment="1" applyProtection="1"/>
    <xf numFmtId="16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wrapText="1"/>
    </xf>
    <xf numFmtId="0" fontId="1" fillId="0" borderId="1" xfId="0" applyFont="1" applyFill="1" applyBorder="1" applyAlignment="1" applyProtection="1">
      <alignment horizontal="left" wrapText="1"/>
    </xf>
    <xf numFmtId="0" fontId="1" fillId="0" borderId="1" xfId="0" applyNumberFormat="1" applyFont="1" applyFill="1" applyBorder="1" applyAlignment="1" applyProtection="1">
      <alignment horizontal="center"/>
    </xf>
    <xf numFmtId="16" fontId="1" fillId="0" borderId="27" xfId="0" applyNumberFormat="1" applyFont="1" applyFill="1" applyBorder="1" applyAlignment="1" applyProtection="1">
      <alignment horizontal="left"/>
    </xf>
    <xf numFmtId="0" fontId="1" fillId="0" borderId="28" xfId="0" applyNumberFormat="1" applyFont="1" applyBorder="1" applyAlignment="1" applyProtection="1">
      <alignment horizontal="center"/>
    </xf>
    <xf numFmtId="0" fontId="1" fillId="0" borderId="28" xfId="0" applyFont="1" applyFill="1" applyBorder="1" applyAlignment="1" applyProtection="1">
      <alignment wrapText="1"/>
    </xf>
    <xf numFmtId="16" fontId="1" fillId="0" borderId="28" xfId="0" applyNumberFormat="1" applyFont="1" applyBorder="1" applyAlignment="1" applyProtection="1">
      <alignment horizontal="center"/>
    </xf>
    <xf numFmtId="0" fontId="1" fillId="0" borderId="28" xfId="0" applyFont="1" applyBorder="1" applyAlignment="1" applyProtection="1">
      <alignment horizontal="center"/>
    </xf>
    <xf numFmtId="0" fontId="1" fillId="0" borderId="28" xfId="0" applyFont="1" applyFill="1" applyBorder="1" applyAlignment="1" applyProtection="1"/>
    <xf numFmtId="0" fontId="1" fillId="8" borderId="28" xfId="0" applyFont="1" applyFill="1" applyBorder="1" applyAlignment="1" applyProtection="1"/>
    <xf numFmtId="16" fontId="1" fillId="0" borderId="28" xfId="0" applyNumberFormat="1" applyFont="1" applyFill="1" applyBorder="1" applyAlignment="1" applyProtection="1">
      <alignment horizontal="center"/>
    </xf>
    <xf numFmtId="16" fontId="1" fillId="38" borderId="1" xfId="0" applyNumberFormat="1" applyFont="1" applyFill="1" applyBorder="1" applyAlignment="1" applyProtection="1">
      <alignment horizontal="center"/>
      <protection locked="0"/>
    </xf>
    <xf numFmtId="0" fontId="1" fillId="38" borderId="1" xfId="0" applyFont="1" applyFill="1" applyBorder="1" applyAlignment="1" applyProtection="1">
      <protection locked="0"/>
    </xf>
    <xf numFmtId="16" fontId="1" fillId="38" borderId="1" xfId="0" applyNumberFormat="1" applyFont="1" applyFill="1" applyBorder="1" applyAlignment="1" applyProtection="1">
      <alignment horizontal="left" vertical="center" wrapText="1"/>
      <protection locked="0"/>
    </xf>
    <xf numFmtId="0" fontId="1" fillId="38" borderId="0" xfId="0" applyFont="1" applyFill="1"/>
    <xf numFmtId="16" fontId="1" fillId="38" borderId="1" xfId="0" applyNumberFormat="1" applyFont="1" applyFill="1" applyBorder="1" applyAlignment="1" applyProtection="1">
      <alignment horizontal="center" vertical="center"/>
      <protection locked="0"/>
    </xf>
    <xf numFmtId="0" fontId="1" fillId="38" borderId="1" xfId="0" applyFont="1" applyFill="1" applyBorder="1" applyAlignment="1">
      <alignment wrapText="1"/>
    </xf>
    <xf numFmtId="0" fontId="1" fillId="9" borderId="14" xfId="0" applyFont="1" applyFill="1" applyBorder="1" applyAlignment="1">
      <alignment horizontal="center" vertical="center" wrapText="1"/>
    </xf>
    <xf numFmtId="0" fontId="1" fillId="38" borderId="1" xfId="205" applyFont="1" applyFill="1" applyBorder="1"/>
    <xf numFmtId="0" fontId="1" fillId="38" borderId="1" xfId="205" applyFont="1" applyFill="1" applyBorder="1" applyAlignment="1">
      <alignment wrapText="1"/>
    </xf>
    <xf numFmtId="16" fontId="1" fillId="8" borderId="1" xfId="0" applyNumberFormat="1" applyFont="1" applyFill="1" applyBorder="1" applyAlignment="1" applyProtection="1">
      <alignment horizontal="center"/>
      <protection locked="0"/>
    </xf>
    <xf numFmtId="16" fontId="1" fillId="38" borderId="1" xfId="0" applyNumberFormat="1" applyFont="1" applyFill="1" applyBorder="1" applyAlignment="1" applyProtection="1">
      <alignment horizontal="left"/>
      <protection locked="0"/>
    </xf>
    <xf numFmtId="16" fontId="1" fillId="38" borderId="31" xfId="0" applyNumberFormat="1" applyFont="1" applyFill="1" applyBorder="1" applyAlignment="1" applyProtection="1">
      <alignment horizontal="left" vertical="center"/>
      <protection locked="0"/>
    </xf>
    <xf numFmtId="0" fontId="1" fillId="38" borderId="30" xfId="0" applyNumberFormat="1" applyFont="1" applyFill="1" applyBorder="1" applyAlignment="1" applyProtection="1">
      <alignment horizontal="center" vertical="center"/>
      <protection locked="0"/>
    </xf>
    <xf numFmtId="0" fontId="1" fillId="38" borderId="30" xfId="0" applyFont="1" applyFill="1" applyBorder="1" applyAlignment="1" applyProtection="1">
      <alignment horizontal="left" vertical="center" wrapText="1"/>
      <protection locked="0"/>
    </xf>
    <xf numFmtId="16" fontId="1" fillId="38" borderId="30" xfId="0" applyNumberFormat="1" applyFont="1" applyFill="1" applyBorder="1" applyAlignment="1" applyProtection="1">
      <alignment horizontal="center" vertical="center"/>
      <protection locked="0"/>
    </xf>
    <xf numFmtId="0" fontId="1" fillId="38" borderId="30" xfId="0" applyFont="1" applyFill="1" applyBorder="1" applyAlignment="1" applyProtection="1">
      <alignment horizontal="center" vertical="center"/>
    </xf>
    <xf numFmtId="16" fontId="1" fillId="38" borderId="32" xfId="0" applyNumberFormat="1" applyFont="1" applyFill="1" applyBorder="1" applyAlignment="1" applyProtection="1">
      <alignment horizontal="center" vertical="center"/>
      <protection locked="0"/>
    </xf>
    <xf numFmtId="16" fontId="1" fillId="38" borderId="1" xfId="0" applyNumberFormat="1" applyFont="1" applyFill="1" applyBorder="1" applyAlignment="1" applyProtection="1">
      <alignment horizontal="left" vertical="center"/>
      <protection locked="0"/>
    </xf>
    <xf numFmtId="0" fontId="1" fillId="38" borderId="1" xfId="0" applyFont="1" applyFill="1" applyBorder="1" applyAlignment="1" applyProtection="1">
      <alignment vertical="center" wrapText="1"/>
      <protection locked="0"/>
    </xf>
    <xf numFmtId="16" fontId="1" fillId="8" borderId="1" xfId="0" applyNumberFormat="1" applyFont="1" applyFill="1" applyBorder="1" applyAlignment="1" applyProtection="1">
      <alignment horizontal="center" vertical="center"/>
      <protection locked="0"/>
    </xf>
    <xf numFmtId="16" fontId="1" fillId="38" borderId="32" xfId="0" applyNumberFormat="1" applyFont="1" applyFill="1" applyBorder="1" applyAlignment="1" applyProtection="1">
      <alignment horizontal="center"/>
      <protection locked="0"/>
    </xf>
    <xf numFmtId="16" fontId="1" fillId="38" borderId="27" xfId="0" applyNumberFormat="1" applyFont="1" applyFill="1" applyBorder="1" applyAlignment="1" applyProtection="1">
      <alignment horizontal="center" vertical="center"/>
      <protection locked="0"/>
    </xf>
    <xf numFmtId="16" fontId="1" fillId="38" borderId="32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1" fillId="35" borderId="1" xfId="0" applyNumberFormat="1" applyFont="1" applyFill="1" applyBorder="1" applyAlignment="1" applyProtection="1">
      <alignment horizontal="center" vertical="center"/>
      <protection locked="0"/>
    </xf>
    <xf numFmtId="0" fontId="1" fillId="38" borderId="55" xfId="0" applyNumberFormat="1" applyFont="1" applyFill="1" applyBorder="1" applyAlignment="1" applyProtection="1">
      <alignment horizontal="center" vertical="center"/>
      <protection locked="0"/>
    </xf>
    <xf numFmtId="16" fontId="1" fillId="38" borderId="55" xfId="0" applyNumberFormat="1" applyFont="1" applyFill="1" applyBorder="1" applyAlignment="1" applyProtection="1">
      <alignment horizontal="left" vertical="center"/>
      <protection locked="0"/>
    </xf>
    <xf numFmtId="16" fontId="1" fillId="38" borderId="55" xfId="0" applyNumberFormat="1" applyFont="1" applyFill="1" applyBorder="1" applyAlignment="1" applyProtection="1">
      <alignment horizontal="center" vertical="center"/>
      <protection locked="0"/>
    </xf>
    <xf numFmtId="0" fontId="1" fillId="38" borderId="55" xfId="0" applyFont="1" applyFill="1" applyBorder="1" applyAlignment="1" applyProtection="1">
      <alignment vertical="center"/>
      <protection locked="0"/>
    </xf>
    <xf numFmtId="16" fontId="1" fillId="38" borderId="1" xfId="0" applyNumberFormat="1" applyFont="1" applyFill="1" applyBorder="1" applyAlignment="1" applyProtection="1">
      <alignment vertical="center"/>
      <protection locked="0"/>
    </xf>
    <xf numFmtId="0" fontId="1" fillId="38" borderId="6" xfId="0" applyNumberFormat="1" applyFont="1" applyFill="1" applyBorder="1" applyAlignment="1" applyProtection="1">
      <alignment horizontal="center" vertical="center"/>
      <protection locked="0"/>
    </xf>
    <xf numFmtId="16" fontId="1" fillId="38" borderId="56" xfId="0" applyNumberFormat="1" applyFont="1" applyFill="1" applyBorder="1" applyAlignment="1" applyProtection="1">
      <alignment vertical="center"/>
      <protection locked="0"/>
    </xf>
    <xf numFmtId="16" fontId="1" fillId="38" borderId="6" xfId="0" applyNumberFormat="1" applyFont="1" applyFill="1" applyBorder="1" applyAlignment="1" applyProtection="1">
      <alignment horizontal="center" vertical="center"/>
      <protection locked="0"/>
    </xf>
    <xf numFmtId="0" fontId="1" fillId="38" borderId="6" xfId="0" applyFont="1" applyFill="1" applyBorder="1" applyAlignment="1" applyProtection="1">
      <alignment vertical="center"/>
      <protection locked="0"/>
    </xf>
    <xf numFmtId="0" fontId="1" fillId="38" borderId="56" xfId="0" applyFont="1" applyFill="1" applyBorder="1" applyAlignment="1" applyProtection="1">
      <alignment vertical="center"/>
      <protection locked="0"/>
    </xf>
    <xf numFmtId="16" fontId="1" fillId="38" borderId="55" xfId="0" applyNumberFormat="1" applyFont="1" applyFill="1" applyBorder="1" applyAlignment="1" applyProtection="1">
      <alignment vertical="center"/>
      <protection locked="0"/>
    </xf>
    <xf numFmtId="16" fontId="1" fillId="38" borderId="55" xfId="0" applyNumberFormat="1" applyFont="1" applyFill="1" applyBorder="1" applyAlignment="1" applyProtection="1">
      <alignment horizontal="left" vertical="center" wrapText="1"/>
      <protection locked="0"/>
    </xf>
    <xf numFmtId="0" fontId="1" fillId="38" borderId="6" xfId="0" applyFont="1" applyFill="1" applyBorder="1" applyAlignment="1" applyProtection="1">
      <alignment horizontal="center" vertical="center"/>
      <protection locked="0"/>
    </xf>
    <xf numFmtId="0" fontId="1" fillId="38" borderId="6" xfId="0" applyFont="1" applyFill="1" applyBorder="1" applyAlignment="1" applyProtection="1">
      <alignment horizontal="left" vertical="center"/>
      <protection locked="0"/>
    </xf>
    <xf numFmtId="0" fontId="1" fillId="38" borderId="55" xfId="0" applyFont="1" applyFill="1" applyBorder="1" applyAlignment="1" applyProtection="1">
      <alignment vertical="center" wrapText="1"/>
      <protection locked="0"/>
    </xf>
    <xf numFmtId="16" fontId="1" fillId="38" borderId="45" xfId="0" applyNumberFormat="1" applyFont="1" applyFill="1" applyBorder="1" applyAlignment="1" applyProtection="1">
      <alignment vertical="center"/>
      <protection locked="0"/>
    </xf>
    <xf numFmtId="0" fontId="1" fillId="38" borderId="55" xfId="0" applyFont="1" applyFill="1" applyBorder="1" applyAlignment="1" applyProtection="1">
      <alignment horizontal="left" vertical="center"/>
      <protection locked="0"/>
    </xf>
    <xf numFmtId="16" fontId="1" fillId="38" borderId="45" xfId="0" applyNumberFormat="1" applyFont="1" applyFill="1" applyBorder="1" applyAlignment="1" applyProtection="1">
      <alignment horizontal="left" vertical="center"/>
      <protection locked="0"/>
    </xf>
    <xf numFmtId="0" fontId="1" fillId="38" borderId="28" xfId="0" applyFont="1" applyFill="1" applyBorder="1" applyAlignment="1" applyProtection="1">
      <alignment vertical="center" wrapText="1"/>
      <protection locked="0"/>
    </xf>
    <xf numFmtId="0" fontId="1" fillId="21" borderId="1" xfId="0" applyFont="1" applyFill="1" applyBorder="1" applyAlignment="1" applyProtection="1">
      <alignment horizontal="center" vertical="center"/>
    </xf>
    <xf numFmtId="0" fontId="1" fillId="21" borderId="28" xfId="0" applyFont="1" applyFill="1" applyBorder="1" applyAlignment="1" applyProtection="1">
      <alignment horizontal="center" vertical="center"/>
    </xf>
    <xf numFmtId="16" fontId="1" fillId="35" borderId="32" xfId="0" applyNumberFormat="1" applyFont="1" applyFill="1" applyBorder="1" applyAlignment="1" applyProtection="1">
      <alignment horizontal="left" vertical="center"/>
      <protection locked="0"/>
    </xf>
    <xf numFmtId="0" fontId="1" fillId="35" borderId="1" xfId="0" applyFont="1" applyFill="1" applyBorder="1" applyAlignment="1" applyProtection="1">
      <alignment vertical="center"/>
      <protection locked="0"/>
    </xf>
    <xf numFmtId="0" fontId="1" fillId="35" borderId="1" xfId="0" applyFont="1" applyFill="1" applyBorder="1" applyAlignment="1" applyProtection="1">
      <alignment horizontal="left" vertical="center" wrapText="1"/>
      <protection locked="0"/>
    </xf>
    <xf numFmtId="0" fontId="1" fillId="35" borderId="1" xfId="0" applyFont="1" applyFill="1" applyBorder="1" applyAlignment="1" applyProtection="1">
      <alignment horizontal="center" vertical="center"/>
      <protection locked="0"/>
    </xf>
    <xf numFmtId="16" fontId="1" fillId="8" borderId="32" xfId="0" applyNumberFormat="1" applyFont="1" applyFill="1" applyBorder="1" applyAlignment="1" applyProtection="1">
      <alignment horizontal="left" vertical="center"/>
      <protection locked="0"/>
    </xf>
    <xf numFmtId="0" fontId="1" fillId="8" borderId="1" xfId="0" applyFont="1" applyFill="1" applyBorder="1" applyAlignment="1" applyProtection="1">
      <alignment vertical="center"/>
      <protection locked="0"/>
    </xf>
    <xf numFmtId="0" fontId="1" fillId="8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" fontId="1" fillId="35" borderId="1" xfId="0" applyNumberFormat="1" applyFont="1" applyFill="1" applyBorder="1" applyAlignment="1" applyProtection="1">
      <alignment horizontal="center" vertical="center"/>
      <protection locked="0"/>
    </xf>
    <xf numFmtId="16" fontId="1" fillId="0" borderId="32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16" fontId="1" fillId="8" borderId="32" xfId="0" applyNumberFormat="1" applyFont="1" applyFill="1" applyBorder="1" applyAlignment="1" applyProtection="1">
      <alignment horizontal="left"/>
      <protection locked="0"/>
    </xf>
    <xf numFmtId="0" fontId="1" fillId="8" borderId="1" xfId="0" applyFont="1" applyFill="1" applyBorder="1" applyAlignment="1" applyProtection="1">
      <alignment horizont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left" vertical="center" wrapText="1"/>
      <protection locked="0"/>
    </xf>
    <xf numFmtId="0" fontId="1" fillId="8" borderId="1" xfId="0" applyFont="1" applyFill="1" applyBorder="1" applyAlignment="1" applyProtection="1">
      <alignment horizontal="left" wrapText="1"/>
      <protection locked="0"/>
    </xf>
    <xf numFmtId="0" fontId="1" fillId="8" borderId="1" xfId="0" applyFont="1" applyFill="1" applyBorder="1" applyProtection="1">
      <protection locked="0"/>
    </xf>
    <xf numFmtId="16" fontId="1" fillId="8" borderId="27" xfId="0" applyNumberFormat="1" applyFont="1" applyFill="1" applyBorder="1" applyAlignment="1" applyProtection="1">
      <alignment horizontal="left" vertical="center"/>
      <protection locked="0"/>
    </xf>
    <xf numFmtId="0" fontId="1" fillId="8" borderId="28" xfId="0" applyFont="1" applyFill="1" applyBorder="1" applyAlignment="1" applyProtection="1">
      <alignment horizontal="center" vertical="center"/>
      <protection locked="0"/>
    </xf>
    <xf numFmtId="0" fontId="1" fillId="8" borderId="28" xfId="0" applyFont="1" applyFill="1" applyBorder="1" applyAlignment="1" applyProtection="1">
      <alignment horizontal="left" vertical="center" wrapText="1"/>
      <protection locked="0"/>
    </xf>
    <xf numFmtId="0" fontId="1" fillId="8" borderId="28" xfId="0" applyFont="1" applyFill="1" applyBorder="1" applyProtection="1">
      <protection locked="0"/>
    </xf>
    <xf numFmtId="16" fontId="1" fillId="38" borderId="7" xfId="0" applyNumberFormat="1" applyFont="1" applyFill="1" applyBorder="1" applyAlignment="1" applyProtection="1">
      <alignment horizontal="left" vertical="center" wrapText="1"/>
      <protection locked="0"/>
    </xf>
    <xf numFmtId="0" fontId="1" fillId="38" borderId="7" xfId="0" applyFont="1" applyFill="1" applyBorder="1" applyAlignment="1" applyProtection="1">
      <alignment vertical="center" wrapText="1"/>
      <protection locked="0"/>
    </xf>
    <xf numFmtId="0" fontId="1" fillId="38" borderId="1" xfId="0" applyFont="1" applyFill="1" applyBorder="1" applyAlignment="1" applyProtection="1">
      <alignment horizontal="center" vertical="center" wrapText="1"/>
      <protection locked="0"/>
    </xf>
    <xf numFmtId="0" fontId="1" fillId="38" borderId="7" xfId="0" applyFont="1" applyFill="1" applyBorder="1" applyAlignment="1" applyProtection="1">
      <alignment horizontal="left" vertical="center"/>
      <protection locked="0"/>
    </xf>
    <xf numFmtId="1" fontId="1" fillId="38" borderId="1" xfId="0" applyNumberFormat="1" applyFont="1" applyFill="1" applyBorder="1" applyAlignment="1" applyProtection="1">
      <alignment horizontal="center" vertical="center"/>
      <protection locked="0"/>
    </xf>
    <xf numFmtId="0" fontId="1" fillId="38" borderId="7" xfId="0" applyFont="1" applyFill="1" applyBorder="1" applyAlignment="1" applyProtection="1">
      <alignment horizontal="left" vertical="center" wrapText="1"/>
      <protection locked="0"/>
    </xf>
    <xf numFmtId="16" fontId="1" fillId="8" borderId="32" xfId="0" applyNumberFormat="1" applyFont="1" applyFill="1" applyBorder="1" applyAlignment="1" applyProtection="1">
      <alignment horizontal="left" vertical="center" wrapText="1"/>
      <protection locked="0"/>
    </xf>
    <xf numFmtId="0" fontId="1" fillId="8" borderId="1" xfId="0" applyNumberFormat="1" applyFont="1" applyFill="1" applyBorder="1" applyAlignment="1" applyProtection="1">
      <alignment horizontal="center" vertical="center"/>
      <protection locked="0"/>
    </xf>
    <xf numFmtId="16" fontId="1" fillId="8" borderId="27" xfId="0" applyNumberFormat="1" applyFont="1" applyFill="1" applyBorder="1" applyAlignment="1" applyProtection="1">
      <alignment horizontal="left" vertical="center" wrapText="1"/>
      <protection locked="0"/>
    </xf>
    <xf numFmtId="0" fontId="1" fillId="8" borderId="28" xfId="0" applyNumberFormat="1" applyFont="1" applyFill="1" applyBorder="1" applyAlignment="1" applyProtection="1">
      <alignment horizontal="center" vertical="center"/>
      <protection locked="0"/>
    </xf>
    <xf numFmtId="0" fontId="1" fillId="8" borderId="28" xfId="0" applyFont="1" applyFill="1" applyBorder="1" applyAlignment="1" applyProtection="1">
      <alignment horizontal="left" vertical="center"/>
      <protection locked="0"/>
    </xf>
    <xf numFmtId="16" fontId="1" fillId="8" borderId="28" xfId="0" applyNumberFormat="1" applyFont="1" applyFill="1" applyBorder="1" applyAlignment="1" applyProtection="1">
      <alignment horizontal="center" vertical="center"/>
      <protection locked="0"/>
    </xf>
    <xf numFmtId="0" fontId="1" fillId="8" borderId="28" xfId="0" applyFont="1" applyFill="1" applyBorder="1" applyAlignment="1" applyProtection="1">
      <alignment vertical="center"/>
      <protection locked="0"/>
    </xf>
    <xf numFmtId="16" fontId="1" fillId="8" borderId="10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left"/>
    </xf>
    <xf numFmtId="0" fontId="1" fillId="2" borderId="12" xfId="0" applyFont="1" applyFill="1" applyBorder="1" applyAlignment="1" applyProtection="1">
      <alignment horizontal="left"/>
    </xf>
    <xf numFmtId="0" fontId="1" fillId="8" borderId="26" xfId="0" applyFont="1" applyFill="1" applyBorder="1" applyAlignment="1" applyProtection="1">
      <alignment horizontal="left"/>
    </xf>
    <xf numFmtId="0" fontId="1" fillId="8" borderId="29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1" borderId="1" xfId="0" applyFont="1" applyFill="1" applyBorder="1" applyAlignment="1" applyProtection="1">
      <alignment horizontal="left"/>
    </xf>
    <xf numFmtId="0" fontId="1" fillId="21" borderId="28" xfId="0" applyFont="1" applyFill="1" applyBorder="1" applyAlignment="1" applyProtection="1">
      <alignment horizontal="left"/>
    </xf>
    <xf numFmtId="16" fontId="1" fillId="37" borderId="32" xfId="0" applyNumberFormat="1" applyFont="1" applyFill="1" applyBorder="1" applyAlignment="1" applyProtection="1">
      <alignment horizontal="left" vertical="center"/>
      <protection locked="0"/>
    </xf>
    <xf numFmtId="0" fontId="1" fillId="37" borderId="1" xfId="0" applyNumberFormat="1" applyFont="1" applyFill="1" applyBorder="1" applyAlignment="1" applyProtection="1">
      <alignment horizontal="center" vertical="center"/>
      <protection locked="0"/>
    </xf>
    <xf numFmtId="16" fontId="1" fillId="37" borderId="1" xfId="0" applyNumberFormat="1" applyFont="1" applyFill="1" applyBorder="1" applyAlignment="1" applyProtection="1">
      <alignment horizontal="left" vertical="center"/>
      <protection locked="0"/>
    </xf>
    <xf numFmtId="16" fontId="1" fillId="37" borderId="1" xfId="0" applyNumberFormat="1" applyFont="1" applyFill="1" applyBorder="1" applyAlignment="1" applyProtection="1">
      <alignment horizontal="center" vertical="center"/>
      <protection locked="0"/>
    </xf>
    <xf numFmtId="0" fontId="1" fillId="37" borderId="1" xfId="0" applyFont="1" applyFill="1" applyBorder="1" applyAlignment="1" applyProtection="1">
      <alignment horizontal="center" vertical="center"/>
      <protection locked="0"/>
    </xf>
    <xf numFmtId="0" fontId="1" fillId="37" borderId="1" xfId="0" applyFont="1" applyFill="1" applyBorder="1" applyAlignment="1" applyProtection="1">
      <alignment vertical="center"/>
      <protection locked="0"/>
    </xf>
    <xf numFmtId="0" fontId="1" fillId="37" borderId="1" xfId="0" applyFont="1" applyFill="1" applyBorder="1" applyAlignment="1" applyProtection="1">
      <alignment horizontal="left" vertical="center"/>
      <protection locked="0"/>
    </xf>
    <xf numFmtId="0" fontId="1" fillId="37" borderId="1" xfId="0" applyFont="1" applyFill="1" applyBorder="1" applyAlignment="1" applyProtection="1">
      <alignment horizontal="left" vertical="center" wrapText="1"/>
      <protection locked="0"/>
    </xf>
    <xf numFmtId="0" fontId="1" fillId="37" borderId="1" xfId="0" applyFont="1" applyFill="1" applyBorder="1" applyAlignment="1" applyProtection="1">
      <alignment horizontal="center" vertical="center" wrapText="1"/>
      <protection locked="0"/>
    </xf>
    <xf numFmtId="16" fontId="1" fillId="37" borderId="1" xfId="0" applyNumberFormat="1" applyFont="1" applyFill="1" applyBorder="1" applyAlignment="1" applyProtection="1">
      <alignment horizontal="left" vertical="center" wrapText="1"/>
      <protection locked="0"/>
    </xf>
    <xf numFmtId="16" fontId="1" fillId="37" borderId="32" xfId="0" applyNumberFormat="1" applyFont="1" applyFill="1" applyBorder="1" applyAlignment="1" applyProtection="1">
      <alignment horizontal="left"/>
      <protection locked="0"/>
    </xf>
    <xf numFmtId="0" fontId="1" fillId="37" borderId="1" xfId="0" applyFont="1" applyFill="1" applyBorder="1" applyAlignment="1" applyProtection="1">
      <alignment horizontal="center"/>
      <protection locked="0"/>
    </xf>
    <xf numFmtId="0" fontId="1" fillId="37" borderId="1" xfId="0" applyFont="1" applyFill="1" applyBorder="1" applyAlignment="1" applyProtection="1">
      <alignment vertical="center" wrapText="1"/>
      <protection locked="0"/>
    </xf>
    <xf numFmtId="1" fontId="1" fillId="22" borderId="1" xfId="0" applyNumberFormat="1" applyFont="1" applyFill="1" applyBorder="1" applyAlignment="1" applyProtection="1">
      <alignment horizontal="center" vertical="center"/>
      <protection locked="0"/>
    </xf>
    <xf numFmtId="16" fontId="1" fillId="37" borderId="1" xfId="0" applyNumberFormat="1" applyFont="1" applyFill="1" applyBorder="1" applyAlignment="1" applyProtection="1">
      <alignment horizontal="left"/>
      <protection locked="0"/>
    </xf>
    <xf numFmtId="16" fontId="1" fillId="3" borderId="27" xfId="0" applyNumberFormat="1" applyFont="1" applyFill="1" applyBorder="1" applyAlignment="1" applyProtection="1">
      <alignment horizontal="left" vertic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horizontal="left" vertical="center"/>
      <protection locked="0"/>
    </xf>
    <xf numFmtId="0" fontId="1" fillId="3" borderId="28" xfId="0" applyFont="1" applyFill="1" applyBorder="1" applyAlignment="1" applyProtection="1">
      <alignment horizontal="center" vertical="center" wrapText="1"/>
      <protection locked="0"/>
    </xf>
    <xf numFmtId="16" fontId="1" fillId="37" borderId="35" xfId="0" applyNumberFormat="1" applyFont="1" applyFill="1" applyBorder="1" applyAlignment="1" applyProtection="1">
      <alignment horizontal="left" vertical="center"/>
      <protection locked="0"/>
    </xf>
    <xf numFmtId="0" fontId="1" fillId="37" borderId="6" xfId="0" applyNumberFormat="1" applyFont="1" applyFill="1" applyBorder="1" applyAlignment="1" applyProtection="1">
      <alignment horizontal="center" vertical="center"/>
      <protection locked="0"/>
    </xf>
    <xf numFmtId="0" fontId="1" fillId="8" borderId="28" xfId="0" applyFont="1" applyFill="1" applyBorder="1" applyAlignment="1" applyProtection="1">
      <alignment horizontal="center" vertical="center" wrapText="1"/>
      <protection locked="0"/>
    </xf>
    <xf numFmtId="16" fontId="1" fillId="37" borderId="6" xfId="0" applyNumberFormat="1" applyFont="1" applyFill="1" applyBorder="1" applyAlignment="1" applyProtection="1">
      <alignment horizontal="center" vertical="center"/>
      <protection locked="0"/>
    </xf>
    <xf numFmtId="0" fontId="1" fillId="37" borderId="6" xfId="0" applyFont="1" applyFill="1" applyBorder="1" applyAlignment="1" applyProtection="1">
      <alignment vertical="center"/>
      <protection locked="0"/>
    </xf>
    <xf numFmtId="16" fontId="1" fillId="37" borderId="32" xfId="0" applyNumberFormat="1" applyFont="1" applyFill="1" applyBorder="1" applyAlignment="1" applyProtection="1">
      <alignment horizontal="left" vertical="center" wrapText="1"/>
      <protection locked="0"/>
    </xf>
    <xf numFmtId="0" fontId="1" fillId="8" borderId="26" xfId="0" applyFont="1" applyFill="1" applyBorder="1" applyAlignment="1" applyProtection="1">
      <alignment vertical="center"/>
      <protection locked="0"/>
    </xf>
    <xf numFmtId="1" fontId="1" fillId="37" borderId="55" xfId="0" applyNumberFormat="1" applyFont="1" applyFill="1" applyBorder="1" applyAlignment="1" applyProtection="1">
      <alignment horizontal="center" vertical="center"/>
      <protection locked="0"/>
    </xf>
    <xf numFmtId="1" fontId="1" fillId="8" borderId="55" xfId="0" applyNumberFormat="1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16" fontId="1" fillId="8" borderId="32" xfId="0" applyNumberFormat="1" applyFont="1" applyFill="1" applyBorder="1" applyAlignment="1" applyProtection="1">
      <alignment horizontal="center" vertical="center"/>
      <protection locked="0"/>
    </xf>
    <xf numFmtId="1" fontId="1" fillId="8" borderId="1" xfId="0" applyNumberFormat="1" applyFont="1" applyFill="1" applyBorder="1" applyAlignment="1" applyProtection="1">
      <alignment vertical="center"/>
      <protection locked="0"/>
    </xf>
    <xf numFmtId="16" fontId="1" fillId="37" borderId="32" xfId="0" applyNumberFormat="1" applyFont="1" applyFill="1" applyBorder="1" applyAlignment="1" applyProtection="1">
      <alignment horizontal="center" vertical="center"/>
      <protection locked="0"/>
    </xf>
    <xf numFmtId="16" fontId="1" fillId="3" borderId="32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vertical="center"/>
      <protection locked="0"/>
    </xf>
    <xf numFmtId="16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6" fontId="1" fillId="35" borderId="27" xfId="0" applyNumberFormat="1" applyFont="1" applyFill="1" applyBorder="1" applyAlignment="1" applyProtection="1">
      <alignment horizontal="center" vertical="center"/>
      <protection locked="0"/>
    </xf>
    <xf numFmtId="1" fontId="1" fillId="35" borderId="28" xfId="0" applyNumberFormat="1" applyFont="1" applyFill="1" applyBorder="1" applyAlignment="1" applyProtection="1">
      <alignment horizontal="center" vertical="center"/>
      <protection locked="0"/>
    </xf>
    <xf numFmtId="0" fontId="1" fillId="35" borderId="28" xfId="0" applyFont="1" applyFill="1" applyBorder="1" applyAlignment="1" applyProtection="1">
      <alignment vertical="center" wrapText="1"/>
      <protection locked="0"/>
    </xf>
    <xf numFmtId="16" fontId="1" fillId="35" borderId="28" xfId="0" applyNumberFormat="1" applyFont="1" applyFill="1" applyBorder="1" applyAlignment="1" applyProtection="1">
      <alignment horizontal="center" vertical="center"/>
      <protection locked="0"/>
    </xf>
    <xf numFmtId="0" fontId="1" fillId="35" borderId="28" xfId="0" applyFont="1" applyFill="1" applyBorder="1" applyAlignment="1" applyProtection="1">
      <alignment horizontal="center" vertical="center" wrapText="1"/>
      <protection locked="0"/>
    </xf>
    <xf numFmtId="0" fontId="1" fillId="35" borderId="28" xfId="0" applyFont="1" applyFill="1" applyBorder="1" applyAlignment="1" applyProtection="1">
      <alignment vertical="center"/>
      <protection locked="0"/>
    </xf>
    <xf numFmtId="16" fontId="1" fillId="37" borderId="27" xfId="0" applyNumberFormat="1" applyFont="1" applyFill="1" applyBorder="1" applyAlignment="1" applyProtection="1">
      <alignment horizontal="center" vertical="center"/>
      <protection locked="0"/>
    </xf>
    <xf numFmtId="1" fontId="1" fillId="37" borderId="28" xfId="0" applyNumberFormat="1" applyFont="1" applyFill="1" applyBorder="1" applyAlignment="1" applyProtection="1">
      <alignment horizontal="center" vertical="center"/>
      <protection locked="0"/>
    </xf>
    <xf numFmtId="0" fontId="1" fillId="37" borderId="28" xfId="0" applyFont="1" applyFill="1" applyBorder="1" applyAlignment="1" applyProtection="1">
      <alignment vertical="center" wrapText="1"/>
      <protection locked="0"/>
    </xf>
    <xf numFmtId="16" fontId="1" fillId="37" borderId="28" xfId="0" applyNumberFormat="1" applyFont="1" applyFill="1" applyBorder="1" applyAlignment="1" applyProtection="1">
      <alignment horizontal="center" vertical="center"/>
      <protection locked="0"/>
    </xf>
    <xf numFmtId="0" fontId="1" fillId="37" borderId="28" xfId="0" applyFont="1" applyFill="1" applyBorder="1" applyAlignment="1" applyProtection="1">
      <alignment horizontal="center" vertical="center" wrapText="1"/>
      <protection locked="0"/>
    </xf>
    <xf numFmtId="0" fontId="1" fillId="37" borderId="28" xfId="0" applyFont="1" applyFill="1" applyBorder="1" applyAlignment="1" applyProtection="1">
      <alignment vertical="center"/>
      <protection locked="0"/>
    </xf>
    <xf numFmtId="16" fontId="1" fillId="37" borderId="45" xfId="0" applyNumberFormat="1" applyFont="1" applyFill="1" applyBorder="1" applyAlignment="1" applyProtection="1">
      <alignment horizontal="left" vertical="center"/>
      <protection locked="0"/>
    </xf>
    <xf numFmtId="1" fontId="1" fillId="37" borderId="1" xfId="0" applyNumberFormat="1" applyFont="1" applyFill="1" applyBorder="1" applyAlignment="1" applyProtection="1">
      <alignment horizontal="center" vertical="center"/>
      <protection locked="0"/>
    </xf>
    <xf numFmtId="16" fontId="1" fillId="3" borderId="27" xfId="0" applyNumberFormat="1" applyFont="1" applyFill="1" applyBorder="1" applyAlignment="1" applyProtection="1">
      <alignment horizontal="center" vertical="center"/>
      <protection locked="0"/>
    </xf>
    <xf numFmtId="1" fontId="1" fillId="3" borderId="28" xfId="0" applyNumberFormat="1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vertical="center" wrapText="1"/>
      <protection locked="0"/>
    </xf>
    <xf numFmtId="16" fontId="1" fillId="3" borderId="28" xfId="0" applyNumberFormat="1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vertical="center"/>
      <protection locked="0"/>
    </xf>
    <xf numFmtId="16" fontId="1" fillId="8" borderId="27" xfId="0" applyNumberFormat="1" applyFont="1" applyFill="1" applyBorder="1" applyAlignment="1" applyProtection="1">
      <alignment horizontal="center" vertical="center"/>
      <protection locked="0"/>
    </xf>
    <xf numFmtId="1" fontId="1" fillId="8" borderId="28" xfId="0" applyNumberFormat="1" applyFont="1" applyFill="1" applyBorder="1" applyAlignment="1" applyProtection="1">
      <alignment horizontal="center" vertical="center"/>
      <protection locked="0"/>
    </xf>
    <xf numFmtId="0" fontId="1" fillId="8" borderId="28" xfId="0" applyFont="1" applyFill="1" applyBorder="1" applyAlignment="1" applyProtection="1">
      <alignment vertical="center" wrapText="1"/>
      <protection locked="0"/>
    </xf>
    <xf numFmtId="16" fontId="1" fillId="8" borderId="45" xfId="0" applyNumberFormat="1" applyFont="1" applyFill="1" applyBorder="1" applyAlignment="1" applyProtection="1">
      <alignment horizontal="left" vertical="center"/>
      <protection locked="0"/>
    </xf>
    <xf numFmtId="0" fontId="1" fillId="8" borderId="0" xfId="0" applyFont="1" applyFill="1" applyBorder="1" applyAlignment="1" applyProtection="1">
      <alignment vertical="center" wrapText="1"/>
      <protection locked="0"/>
    </xf>
    <xf numFmtId="0" fontId="0" fillId="25" borderId="11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5" borderId="42" xfId="0" applyFill="1" applyBorder="1" applyAlignment="1">
      <alignment horizontal="center" vertical="center"/>
    </xf>
    <xf numFmtId="0" fontId="0" fillId="25" borderId="4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/>
    </xf>
    <xf numFmtId="0" fontId="9" fillId="8" borderId="0" xfId="0" applyFont="1" applyFill="1" applyBorder="1" applyAlignment="1">
      <alignment horizontal="left" vertical="center" wrapText="1"/>
    </xf>
    <xf numFmtId="0" fontId="0" fillId="15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 wrapText="1"/>
    </xf>
    <xf numFmtId="0" fontId="53" fillId="15" borderId="0" xfId="0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8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horizontal="center" vertical="center" wrapText="1"/>
    </xf>
    <xf numFmtId="0" fontId="35" fillId="8" borderId="0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0" fillId="20" borderId="39" xfId="0" applyFont="1" applyFill="1" applyBorder="1" applyAlignment="1">
      <alignment horizontal="center" vertical="center"/>
    </xf>
    <xf numFmtId="0" fontId="10" fillId="20" borderId="7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9" fillId="12" borderId="31" xfId="0" applyFont="1" applyFill="1" applyBorder="1" applyAlignment="1">
      <alignment horizontal="center" vertical="center"/>
    </xf>
    <xf numFmtId="0" fontId="9" fillId="12" borderId="32" xfId="0" applyFont="1" applyFill="1" applyBorder="1" applyAlignment="1">
      <alignment horizontal="center" vertical="center"/>
    </xf>
    <xf numFmtId="0" fontId="10" fillId="17" borderId="37" xfId="0" applyFont="1" applyFill="1" applyBorder="1" applyAlignment="1">
      <alignment horizontal="center" vertical="center"/>
    </xf>
    <xf numFmtId="0" fontId="10" fillId="17" borderId="38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 wrapText="1"/>
    </xf>
    <xf numFmtId="0" fontId="10" fillId="22" borderId="0" xfId="0" applyFont="1" applyFill="1" applyBorder="1" applyAlignment="1">
      <alignment horizontal="center" vertical="center"/>
    </xf>
    <xf numFmtId="0" fontId="10" fillId="20" borderId="37" xfId="0" applyFont="1" applyFill="1" applyBorder="1" applyAlignment="1">
      <alignment horizontal="center" vertical="center"/>
    </xf>
    <xf numFmtId="0" fontId="10" fillId="20" borderId="38" xfId="0" applyFont="1" applyFill="1" applyBorder="1" applyAlignment="1">
      <alignment horizontal="center" vertical="center"/>
    </xf>
    <xf numFmtId="0" fontId="10" fillId="17" borderId="27" xfId="0" applyFont="1" applyFill="1" applyBorder="1" applyAlignment="1">
      <alignment horizontal="center" vertical="center"/>
    </xf>
    <xf numFmtId="0" fontId="10" fillId="17" borderId="2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6" fillId="24" borderId="0" xfId="0" applyFont="1" applyFill="1" applyBorder="1" applyAlignment="1">
      <alignment horizontal="center" vertical="center"/>
    </xf>
    <xf numFmtId="0" fontId="21" fillId="15" borderId="0" xfId="0" applyFont="1" applyFill="1" applyBorder="1" applyAlignment="1">
      <alignment horizontal="center" vertical="center" wrapText="1"/>
    </xf>
    <xf numFmtId="0" fontId="1" fillId="15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9" fillId="12" borderId="33" xfId="0" applyFont="1" applyFill="1" applyBorder="1" applyAlignment="1">
      <alignment horizontal="center" vertical="center"/>
    </xf>
    <xf numFmtId="0" fontId="9" fillId="12" borderId="34" xfId="0" applyFont="1" applyFill="1" applyBorder="1" applyAlignment="1">
      <alignment horizontal="center" vertical="center"/>
    </xf>
    <xf numFmtId="0" fontId="9" fillId="12" borderId="35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 applyProtection="1">
      <alignment horizontal="center" vertical="center"/>
      <protection locked="0"/>
    </xf>
    <xf numFmtId="0" fontId="3" fillId="10" borderId="12" xfId="0" applyFont="1" applyFill="1" applyBorder="1" applyAlignment="1" applyProtection="1">
      <alignment horizontal="center" vertical="center"/>
      <protection locked="0"/>
    </xf>
    <xf numFmtId="0" fontId="3" fillId="10" borderId="13" xfId="0" applyFont="1" applyFill="1" applyBorder="1" applyAlignment="1" applyProtection="1">
      <alignment horizontal="center" vertical="center"/>
      <protection locked="0"/>
    </xf>
    <xf numFmtId="0" fontId="3" fillId="10" borderId="23" xfId="0" applyFont="1" applyFill="1" applyBorder="1" applyAlignment="1" applyProtection="1">
      <alignment horizontal="center" vertical="center"/>
      <protection locked="0"/>
    </xf>
    <xf numFmtId="0" fontId="3" fillId="10" borderId="2" xfId="0" applyFont="1" applyFill="1" applyBorder="1" applyAlignment="1" applyProtection="1">
      <alignment horizontal="center" vertical="center"/>
      <protection locked="0"/>
    </xf>
    <xf numFmtId="0" fontId="3" fillId="10" borderId="22" xfId="0" applyFont="1" applyFill="1" applyBorder="1" applyAlignment="1" applyProtection="1">
      <alignment horizontal="center" vertical="center"/>
      <protection locked="0"/>
    </xf>
    <xf numFmtId="49" fontId="60" fillId="10" borderId="11" xfId="0" applyNumberFormat="1" applyFont="1" applyFill="1" applyBorder="1" applyAlignment="1" applyProtection="1">
      <alignment horizontal="center" vertical="center"/>
      <protection locked="0"/>
    </xf>
    <xf numFmtId="49" fontId="60" fillId="10" borderId="12" xfId="0" applyNumberFormat="1" applyFont="1" applyFill="1" applyBorder="1" applyAlignment="1" applyProtection="1">
      <alignment horizontal="center" vertical="center"/>
      <protection locked="0"/>
    </xf>
    <xf numFmtId="49" fontId="60" fillId="10" borderId="13" xfId="0" applyNumberFormat="1" applyFont="1" applyFill="1" applyBorder="1" applyAlignment="1" applyProtection="1">
      <alignment horizontal="center" vertical="center"/>
      <protection locked="0"/>
    </xf>
    <xf numFmtId="49" fontId="60" fillId="10" borderId="14" xfId="0" applyNumberFormat="1" applyFont="1" applyFill="1" applyBorder="1" applyAlignment="1" applyProtection="1">
      <alignment horizontal="center" vertical="center"/>
      <protection locked="0"/>
    </xf>
    <xf numFmtId="49" fontId="60" fillId="10" borderId="0" xfId="0" applyNumberFormat="1" applyFont="1" applyFill="1" applyBorder="1" applyAlignment="1" applyProtection="1">
      <alignment horizontal="center" vertical="center"/>
      <protection locked="0"/>
    </xf>
    <xf numFmtId="49" fontId="60" fillId="10" borderId="15" xfId="0" applyNumberFormat="1" applyFont="1" applyFill="1" applyBorder="1" applyAlignment="1" applyProtection="1">
      <alignment horizontal="center" vertical="center"/>
      <protection locked="0"/>
    </xf>
    <xf numFmtId="49" fontId="60" fillId="10" borderId="8" xfId="0" applyNumberFormat="1" applyFont="1" applyFill="1" applyBorder="1" applyAlignment="1" applyProtection="1">
      <alignment horizontal="center" vertical="center"/>
      <protection locked="0"/>
    </xf>
    <xf numFmtId="49" fontId="60" fillId="10" borderId="10" xfId="0" applyNumberFormat="1" applyFont="1" applyFill="1" applyBorder="1" applyAlignment="1" applyProtection="1">
      <alignment horizontal="center" vertical="center"/>
      <protection locked="0"/>
    </xf>
    <xf numFmtId="49" fontId="60" fillId="10" borderId="9" xfId="0" applyNumberFormat="1" applyFont="1" applyFill="1" applyBorder="1" applyAlignment="1" applyProtection="1">
      <alignment horizontal="center" vertical="center"/>
      <protection locked="0"/>
    </xf>
    <xf numFmtId="0" fontId="0" fillId="3" borderId="11" xfId="0" applyFont="1" applyFill="1" applyBorder="1" applyAlignment="1" applyProtection="1">
      <alignment horizontal="center" vertical="center" textRotation="90"/>
      <protection locked="0"/>
    </xf>
    <xf numFmtId="0" fontId="0" fillId="3" borderId="14" xfId="0" applyFont="1" applyFill="1" applyBorder="1" applyAlignment="1" applyProtection="1">
      <alignment horizontal="center" vertical="center" textRotation="90"/>
      <protection locked="0"/>
    </xf>
    <xf numFmtId="0" fontId="0" fillId="3" borderId="8" xfId="0" applyFont="1" applyFill="1" applyBorder="1" applyAlignment="1" applyProtection="1">
      <alignment horizontal="center" vertical="center" textRotation="90"/>
      <protection locked="0"/>
    </xf>
    <xf numFmtId="0" fontId="3" fillId="10" borderId="31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1" xfId="0" applyFont="1" applyFill="1" applyBorder="1" applyAlignment="1" applyProtection="1">
      <alignment horizontal="center" vertical="center"/>
    </xf>
    <xf numFmtId="0" fontId="3" fillId="10" borderId="26" xfId="0" applyFont="1" applyFill="1" applyBorder="1" applyAlignment="1" applyProtection="1">
      <alignment horizontal="center" vertical="center"/>
    </xf>
    <xf numFmtId="0" fontId="52" fillId="28" borderId="10" xfId="0" applyFont="1" applyFill="1" applyBorder="1" applyAlignment="1" applyProtection="1">
      <alignment horizontal="center" vertical="center"/>
      <protection locked="0"/>
    </xf>
    <xf numFmtId="0" fontId="1" fillId="9" borderId="11" xfId="0" applyFont="1" applyFill="1" applyBorder="1" applyAlignment="1" applyProtection="1">
      <alignment horizontal="center" vertical="center" wrapText="1"/>
      <protection locked="0"/>
    </xf>
    <xf numFmtId="0" fontId="1" fillId="9" borderId="13" xfId="0" applyFont="1" applyFill="1" applyBorder="1" applyAlignment="1" applyProtection="1">
      <alignment horizontal="center" vertical="center" wrapText="1"/>
      <protection locked="0"/>
    </xf>
    <xf numFmtId="0" fontId="1" fillId="9" borderId="14" xfId="0" applyFont="1" applyFill="1" applyBorder="1" applyAlignment="1" applyProtection="1">
      <alignment horizontal="center" vertical="center" wrapText="1"/>
      <protection locked="0"/>
    </xf>
    <xf numFmtId="0" fontId="1" fillId="9" borderId="15" xfId="0" applyFont="1" applyFill="1" applyBorder="1" applyAlignment="1" applyProtection="1">
      <alignment horizontal="center" vertical="center" wrapText="1"/>
      <protection locked="0"/>
    </xf>
    <xf numFmtId="0" fontId="1" fillId="9" borderId="23" xfId="0" applyFont="1" applyFill="1" applyBorder="1" applyAlignment="1" applyProtection="1">
      <alignment horizontal="center" vertical="center" wrapText="1"/>
      <protection locked="0"/>
    </xf>
    <xf numFmtId="0" fontId="1" fillId="9" borderId="22" xfId="0" applyFont="1" applyFill="1" applyBorder="1" applyAlignment="1" applyProtection="1">
      <alignment horizontal="center" vertical="center" wrapText="1"/>
      <protection locked="0"/>
    </xf>
    <xf numFmtId="0" fontId="15" fillId="8" borderId="0" xfId="200" applyFont="1" applyFill="1" applyBorder="1" applyAlignment="1" applyProtection="1">
      <alignment horizontal="center" vertical="center"/>
      <protection locked="0"/>
    </xf>
    <xf numFmtId="0" fontId="1" fillId="10" borderId="11" xfId="0" applyFont="1" applyFill="1" applyBorder="1" applyAlignment="1" applyProtection="1">
      <alignment horizontal="center" vertical="center"/>
      <protection locked="0"/>
    </xf>
    <xf numFmtId="0" fontId="1" fillId="10" borderId="12" xfId="0" applyFont="1" applyFill="1" applyBorder="1" applyAlignment="1" applyProtection="1">
      <alignment horizontal="center" vertical="center"/>
      <protection locked="0"/>
    </xf>
    <xf numFmtId="0" fontId="1" fillId="10" borderId="13" xfId="0" applyFont="1" applyFill="1" applyBorder="1" applyAlignment="1" applyProtection="1">
      <alignment horizontal="center" vertical="center"/>
      <protection locked="0"/>
    </xf>
    <xf numFmtId="0" fontId="1" fillId="10" borderId="23" xfId="0" applyFont="1" applyFill="1" applyBorder="1" applyAlignment="1" applyProtection="1">
      <alignment horizontal="center" vertical="center"/>
      <protection locked="0"/>
    </xf>
    <xf numFmtId="0" fontId="1" fillId="10" borderId="2" xfId="0" applyFont="1" applyFill="1" applyBorder="1" applyAlignment="1" applyProtection="1">
      <alignment horizontal="center" vertical="center"/>
      <protection locked="0"/>
    </xf>
    <xf numFmtId="0" fontId="1" fillId="10" borderId="22" xfId="0" applyFont="1" applyFill="1" applyBorder="1" applyAlignment="1" applyProtection="1">
      <alignment horizontal="center" vertical="center"/>
      <protection locked="0"/>
    </xf>
    <xf numFmtId="0" fontId="0" fillId="3" borderId="47" xfId="0" applyFont="1" applyFill="1" applyBorder="1" applyAlignment="1" applyProtection="1">
      <alignment horizontal="center" vertical="center" textRotation="90"/>
      <protection locked="0"/>
    </xf>
    <xf numFmtId="0" fontId="0" fillId="3" borderId="48" xfId="0" applyFont="1" applyFill="1" applyBorder="1" applyAlignment="1" applyProtection="1">
      <alignment horizontal="center" vertical="center" textRotation="90"/>
      <protection locked="0"/>
    </xf>
    <xf numFmtId="0" fontId="0" fillId="3" borderId="49" xfId="0" applyFont="1" applyFill="1" applyBorder="1" applyAlignment="1" applyProtection="1">
      <alignment horizontal="center" vertical="center" textRotation="90"/>
      <protection locked="0"/>
    </xf>
    <xf numFmtId="0" fontId="17" fillId="12" borderId="3" xfId="0" applyFont="1" applyFill="1" applyBorder="1" applyAlignment="1" applyProtection="1">
      <alignment horizontal="center"/>
      <protection locked="0"/>
    </xf>
    <xf numFmtId="0" fontId="17" fillId="12" borderId="7" xfId="0" applyFont="1" applyFill="1" applyBorder="1" applyAlignment="1" applyProtection="1">
      <alignment horizontal="center"/>
      <protection locked="0"/>
    </xf>
    <xf numFmtId="0" fontId="17" fillId="9" borderId="3" xfId="0" applyFont="1" applyFill="1" applyBorder="1" applyAlignment="1" applyProtection="1">
      <alignment horizontal="center"/>
      <protection locked="0"/>
    </xf>
    <xf numFmtId="0" fontId="17" fillId="9" borderId="7" xfId="0" applyFont="1" applyFill="1" applyBorder="1" applyAlignment="1" applyProtection="1">
      <alignment horizontal="center"/>
      <protection locked="0"/>
    </xf>
    <xf numFmtId="0" fontId="17" fillId="10" borderId="42" xfId="0" applyFont="1" applyFill="1" applyBorder="1" applyAlignment="1" applyProtection="1">
      <alignment horizontal="center" vertical="center"/>
      <protection locked="0"/>
    </xf>
    <xf numFmtId="0" fontId="17" fillId="10" borderId="43" xfId="0" applyFont="1" applyFill="1" applyBorder="1" applyAlignment="1" applyProtection="1">
      <alignment horizontal="center" vertical="center"/>
      <protection locked="0"/>
    </xf>
    <xf numFmtId="0" fontId="17" fillId="10" borderId="40" xfId="0" applyFont="1" applyFill="1" applyBorder="1" applyAlignment="1" applyProtection="1">
      <alignment horizontal="center" vertical="center"/>
      <protection locked="0"/>
    </xf>
    <xf numFmtId="0" fontId="17" fillId="9" borderId="44" xfId="0" applyFont="1" applyFill="1" applyBorder="1" applyAlignment="1" applyProtection="1">
      <alignment horizontal="center"/>
      <protection locked="0"/>
    </xf>
    <xf numFmtId="0" fontId="0" fillId="3" borderId="47" xfId="0" applyFont="1" applyFill="1" applyBorder="1" applyAlignment="1" applyProtection="1">
      <alignment horizontal="center" vertical="center" textRotation="90"/>
    </xf>
    <xf numFmtId="0" fontId="0" fillId="3" borderId="48" xfId="0" applyFont="1" applyFill="1" applyBorder="1" applyAlignment="1" applyProtection="1">
      <alignment horizontal="center" vertical="center" textRotation="90"/>
    </xf>
    <xf numFmtId="0" fontId="0" fillId="3" borderId="49" xfId="0" applyFont="1" applyFill="1" applyBorder="1" applyAlignment="1" applyProtection="1">
      <alignment horizontal="center" vertical="center" textRotation="90"/>
    </xf>
    <xf numFmtId="0" fontId="17" fillId="12" borderId="3" xfId="0" applyFont="1" applyFill="1" applyBorder="1" applyAlignment="1" applyProtection="1">
      <alignment horizontal="center"/>
    </xf>
    <xf numFmtId="0" fontId="17" fillId="12" borderId="7" xfId="0" applyFont="1" applyFill="1" applyBorder="1" applyAlignment="1" applyProtection="1">
      <alignment horizontal="center"/>
    </xf>
    <xf numFmtId="0" fontId="17" fillId="9" borderId="3" xfId="0" applyFont="1" applyFill="1" applyBorder="1" applyAlignment="1" applyProtection="1">
      <alignment horizontal="center"/>
    </xf>
    <xf numFmtId="0" fontId="17" fillId="9" borderId="7" xfId="0" applyFont="1" applyFill="1" applyBorder="1" applyAlignment="1" applyProtection="1">
      <alignment horizontal="center"/>
    </xf>
    <xf numFmtId="0" fontId="17" fillId="9" borderId="44" xfId="0" applyFont="1" applyFill="1" applyBorder="1" applyAlignment="1" applyProtection="1">
      <alignment horizontal="center"/>
    </xf>
    <xf numFmtId="0" fontId="0" fillId="3" borderId="11" xfId="0" applyFont="1" applyFill="1" applyBorder="1" applyAlignment="1" applyProtection="1">
      <alignment horizontal="center" vertical="center" textRotation="90"/>
    </xf>
    <xf numFmtId="0" fontId="0" fillId="3" borderId="14" xfId="0" applyFont="1" applyFill="1" applyBorder="1" applyAlignment="1" applyProtection="1">
      <alignment horizontal="center" vertical="center" textRotation="90"/>
    </xf>
    <xf numFmtId="0" fontId="0" fillId="3" borderId="8" xfId="0" applyFont="1" applyFill="1" applyBorder="1" applyAlignment="1" applyProtection="1">
      <alignment horizontal="center" vertical="center" textRotation="90"/>
    </xf>
    <xf numFmtId="0" fontId="1" fillId="9" borderId="11" xfId="0" applyFont="1" applyFill="1" applyBorder="1" applyAlignment="1" applyProtection="1">
      <alignment horizontal="center" vertical="center" wrapText="1"/>
    </xf>
    <xf numFmtId="0" fontId="1" fillId="9" borderId="13" xfId="0" applyFont="1" applyFill="1" applyBorder="1" applyAlignment="1" applyProtection="1">
      <alignment horizontal="center" vertical="center" wrapText="1"/>
    </xf>
    <xf numFmtId="0" fontId="1" fillId="9" borderId="14" xfId="0" applyFont="1" applyFill="1" applyBorder="1" applyAlignment="1" applyProtection="1">
      <alignment horizontal="center" vertical="center" wrapText="1"/>
    </xf>
    <xf numFmtId="0" fontId="1" fillId="9" borderId="15" xfId="0" applyFont="1" applyFill="1" applyBorder="1" applyAlignment="1" applyProtection="1">
      <alignment horizontal="center" vertical="center" wrapText="1"/>
    </xf>
    <xf numFmtId="0" fontId="1" fillId="9" borderId="23" xfId="0" applyFont="1" applyFill="1" applyBorder="1" applyAlignment="1" applyProtection="1">
      <alignment horizontal="center" vertical="center" wrapText="1"/>
    </xf>
    <xf numFmtId="0" fontId="1" fillId="9" borderId="22" xfId="0" applyFont="1" applyFill="1" applyBorder="1" applyAlignment="1" applyProtection="1">
      <alignment horizontal="center" vertical="center" wrapText="1"/>
    </xf>
    <xf numFmtId="0" fontId="17" fillId="10" borderId="42" xfId="0" applyFont="1" applyFill="1" applyBorder="1" applyAlignment="1" applyProtection="1">
      <alignment horizontal="center" vertical="center"/>
    </xf>
    <xf numFmtId="0" fontId="17" fillId="10" borderId="43" xfId="0" applyFont="1" applyFill="1" applyBorder="1" applyAlignment="1" applyProtection="1">
      <alignment horizontal="center" vertical="center"/>
    </xf>
    <xf numFmtId="0" fontId="17" fillId="10" borderId="4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3" fillId="10" borderId="12" xfId="0" applyFont="1" applyFill="1" applyBorder="1" applyAlignment="1" applyProtection="1">
      <alignment horizontal="center" vertical="center"/>
    </xf>
    <xf numFmtId="0" fontId="3" fillId="10" borderId="13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  <protection locked="0"/>
    </xf>
    <xf numFmtId="0" fontId="3" fillId="10" borderId="30" xfId="0" applyFont="1" applyFill="1" applyBorder="1" applyAlignment="1" applyProtection="1">
      <alignment horizontal="center" vertical="center"/>
      <protection locked="0"/>
    </xf>
    <xf numFmtId="0" fontId="3" fillId="10" borderId="25" xfId="0" applyFont="1" applyFill="1" applyBorder="1" applyAlignment="1" applyProtection="1">
      <alignment horizontal="center" vertical="center"/>
      <protection locked="0"/>
    </xf>
    <xf numFmtId="0" fontId="3" fillId="10" borderId="32" xfId="0" applyFont="1" applyFill="1" applyBorder="1" applyAlignment="1" applyProtection="1">
      <alignment horizontal="center" vertic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10" borderId="26" xfId="0" applyFont="1" applyFill="1" applyBorder="1" applyAlignment="1" applyProtection="1">
      <alignment horizontal="center" vertical="center"/>
      <protection locked="0"/>
    </xf>
    <xf numFmtId="0" fontId="15" fillId="8" borderId="0" xfId="199" applyFill="1" applyBorder="1" applyAlignment="1">
      <alignment horizontal="center" vertical="center"/>
    </xf>
    <xf numFmtId="0" fontId="52" fillId="28" borderId="10" xfId="0" applyFont="1" applyFill="1" applyBorder="1" applyAlignment="1" applyProtection="1">
      <alignment horizontal="center" vertical="center"/>
    </xf>
    <xf numFmtId="0" fontId="1" fillId="10" borderId="11" xfId="0" applyFont="1" applyFill="1" applyBorder="1" applyAlignment="1" applyProtection="1">
      <alignment horizontal="center" vertical="center"/>
    </xf>
    <xf numFmtId="0" fontId="1" fillId="10" borderId="12" xfId="0" applyFont="1" applyFill="1" applyBorder="1" applyAlignment="1" applyProtection="1">
      <alignment horizontal="center" vertical="center"/>
    </xf>
    <xf numFmtId="0" fontId="1" fillId="10" borderId="13" xfId="0" applyFont="1" applyFill="1" applyBorder="1" applyAlignment="1" applyProtection="1">
      <alignment horizontal="center" vertical="center"/>
    </xf>
    <xf numFmtId="0" fontId="1" fillId="10" borderId="23" xfId="0" applyFont="1" applyFill="1" applyBorder="1" applyAlignment="1" applyProtection="1">
      <alignment horizontal="center" vertical="center"/>
    </xf>
    <xf numFmtId="0" fontId="1" fillId="10" borderId="2" xfId="0" applyFont="1" applyFill="1" applyBorder="1" applyAlignment="1" applyProtection="1">
      <alignment horizontal="center" vertical="center"/>
    </xf>
    <xf numFmtId="0" fontId="1" fillId="10" borderId="22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 applyProtection="1">
      <alignment horizontal="center" vertical="center"/>
    </xf>
    <xf numFmtId="0" fontId="3" fillId="10" borderId="45" xfId="0" applyFont="1" applyFill="1" applyBorder="1" applyAlignment="1" applyProtection="1">
      <alignment horizontal="center" vertical="center"/>
      <protection locked="0"/>
    </xf>
    <xf numFmtId="0" fontId="59" fillId="36" borderId="58" xfId="201" applyFont="1" applyFill="1" applyBorder="1" applyAlignment="1" applyProtection="1">
      <alignment horizontal="center" vertical="center"/>
      <protection locked="0"/>
    </xf>
    <xf numFmtId="0" fontId="59" fillId="36" borderId="5" xfId="201" applyFont="1" applyFill="1" applyBorder="1" applyAlignment="1" applyProtection="1">
      <alignment horizontal="center" vertical="center"/>
      <protection locked="0"/>
    </xf>
    <xf numFmtId="0" fontId="59" fillId="36" borderId="4" xfId="201" applyFont="1" applyFill="1" applyBorder="1" applyAlignment="1" applyProtection="1">
      <alignment horizontal="center" vertical="center"/>
      <protection locked="0"/>
    </xf>
    <xf numFmtId="0" fontId="59" fillId="36" borderId="60" xfId="201" applyFont="1" applyFill="1" applyBorder="1" applyAlignment="1" applyProtection="1">
      <alignment horizontal="center" vertical="center"/>
      <protection locked="0"/>
    </xf>
    <xf numFmtId="0" fontId="59" fillId="36" borderId="56" xfId="201" applyFont="1" applyFill="1" applyBorder="1" applyAlignment="1" applyProtection="1">
      <alignment horizontal="center" vertical="center"/>
      <protection locked="0"/>
    </xf>
    <xf numFmtId="0" fontId="59" fillId="36" borderId="6" xfId="201" applyFont="1" applyFill="1" applyBorder="1" applyAlignment="1" applyProtection="1">
      <alignment horizontal="center" vertical="center"/>
      <protection locked="0"/>
    </xf>
    <xf numFmtId="0" fontId="9" fillId="10" borderId="31" xfId="0" applyFont="1" applyFill="1" applyBorder="1" applyAlignment="1" applyProtection="1">
      <alignment horizontal="center" vertical="center"/>
      <protection locked="0"/>
    </xf>
    <xf numFmtId="0" fontId="9" fillId="10" borderId="30" xfId="0" applyFont="1" applyFill="1" applyBorder="1" applyAlignment="1" applyProtection="1">
      <alignment horizontal="center" vertical="center"/>
      <protection locked="0"/>
    </xf>
    <xf numFmtId="0" fontId="9" fillId="10" borderId="25" xfId="0" applyFont="1" applyFill="1" applyBorder="1" applyAlignment="1" applyProtection="1">
      <alignment horizontal="center" vertical="center"/>
      <protection locked="0"/>
    </xf>
    <xf numFmtId="0" fontId="9" fillId="10" borderId="32" xfId="0" applyFont="1" applyFill="1" applyBorder="1" applyAlignment="1" applyProtection="1">
      <alignment horizontal="center" vertical="center"/>
      <protection locked="0"/>
    </xf>
    <xf numFmtId="0" fontId="9" fillId="10" borderId="1" xfId="0" applyFont="1" applyFill="1" applyBorder="1" applyAlignment="1" applyProtection="1">
      <alignment horizontal="center" vertical="center"/>
      <protection locked="0"/>
    </xf>
    <xf numFmtId="0" fontId="9" fillId="10" borderId="26" xfId="0" applyFont="1" applyFill="1" applyBorder="1" applyAlignment="1" applyProtection="1">
      <alignment horizontal="center" vertical="center"/>
      <protection locked="0"/>
    </xf>
    <xf numFmtId="0" fontId="59" fillId="36" borderId="1" xfId="201" applyFont="1" applyFill="1" applyBorder="1" applyAlignment="1">
      <alignment horizontal="center" vertical="center"/>
    </xf>
    <xf numFmtId="0" fontId="59" fillId="36" borderId="1" xfId="201" applyFont="1" applyFill="1" applyBorder="1" applyAlignment="1" applyProtection="1">
      <alignment horizontal="center" vertical="center"/>
      <protection locked="0"/>
    </xf>
    <xf numFmtId="49" fontId="60" fillId="10" borderId="11" xfId="0" applyNumberFormat="1" applyFont="1" applyFill="1" applyBorder="1" applyAlignment="1">
      <alignment horizontal="center" vertical="center"/>
    </xf>
    <xf numFmtId="49" fontId="60" fillId="10" borderId="12" xfId="0" applyNumberFormat="1" applyFont="1" applyFill="1" applyBorder="1" applyAlignment="1">
      <alignment horizontal="center" vertical="center"/>
    </xf>
    <xf numFmtId="49" fontId="60" fillId="10" borderId="13" xfId="0" applyNumberFormat="1" applyFont="1" applyFill="1" applyBorder="1" applyAlignment="1">
      <alignment horizontal="center" vertical="center"/>
    </xf>
    <xf numFmtId="49" fontId="60" fillId="10" borderId="14" xfId="0" applyNumberFormat="1" applyFont="1" applyFill="1" applyBorder="1" applyAlignment="1">
      <alignment horizontal="center" vertical="center"/>
    </xf>
    <xf numFmtId="49" fontId="60" fillId="10" borderId="0" xfId="0" applyNumberFormat="1" applyFont="1" applyFill="1" applyBorder="1" applyAlignment="1">
      <alignment horizontal="center" vertical="center"/>
    </xf>
    <xf numFmtId="49" fontId="60" fillId="10" borderId="15" xfId="0" applyNumberFormat="1" applyFont="1" applyFill="1" applyBorder="1" applyAlignment="1">
      <alignment horizontal="center" vertical="center"/>
    </xf>
    <xf numFmtId="49" fontId="60" fillId="10" borderId="8" xfId="0" applyNumberFormat="1" applyFont="1" applyFill="1" applyBorder="1" applyAlignment="1">
      <alignment horizontal="center" vertical="center"/>
    </xf>
    <xf numFmtId="49" fontId="60" fillId="10" borderId="10" xfId="0" applyNumberFormat="1" applyFont="1" applyFill="1" applyBorder="1" applyAlignment="1">
      <alignment horizontal="center" vertical="center"/>
    </xf>
    <xf numFmtId="49" fontId="60" fillId="10" borderId="9" xfId="0" applyNumberFormat="1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1" fillId="38" borderId="55" xfId="0" applyFont="1" applyFill="1" applyBorder="1" applyAlignment="1">
      <alignment horizontal="center" vertical="center"/>
    </xf>
    <xf numFmtId="0" fontId="1" fillId="38" borderId="56" xfId="0" applyFont="1" applyFill="1" applyBorder="1" applyAlignment="1">
      <alignment horizontal="center" vertical="center"/>
    </xf>
    <xf numFmtId="0" fontId="1" fillId="38" borderId="6" xfId="0" applyFont="1" applyFill="1" applyBorder="1" applyAlignment="1">
      <alignment horizontal="center" vertical="center"/>
    </xf>
    <xf numFmtId="16" fontId="1" fillId="38" borderId="45" xfId="0" applyNumberFormat="1" applyFont="1" applyFill="1" applyBorder="1" applyAlignment="1">
      <alignment horizontal="left" vertical="center"/>
    </xf>
    <xf numFmtId="16" fontId="1" fillId="38" borderId="34" xfId="0" applyNumberFormat="1" applyFont="1" applyFill="1" applyBorder="1" applyAlignment="1">
      <alignment horizontal="left" vertical="center"/>
    </xf>
    <xf numFmtId="16" fontId="1" fillId="38" borderId="35" xfId="0" applyNumberFormat="1" applyFont="1" applyFill="1" applyBorder="1" applyAlignment="1">
      <alignment horizontal="left" vertical="center"/>
    </xf>
    <xf numFmtId="16" fontId="1" fillId="38" borderId="45" xfId="0" applyNumberFormat="1" applyFont="1" applyFill="1" applyBorder="1" applyAlignment="1">
      <alignment horizontal="left"/>
    </xf>
    <xf numFmtId="16" fontId="1" fillId="38" borderId="34" xfId="0" applyNumberFormat="1" applyFont="1" applyFill="1" applyBorder="1" applyAlignment="1">
      <alignment horizontal="left"/>
    </xf>
    <xf numFmtId="0" fontId="1" fillId="38" borderId="55" xfId="0" applyFont="1" applyFill="1" applyBorder="1" applyAlignment="1">
      <alignment horizontal="left" vertical="center"/>
    </xf>
    <xf numFmtId="0" fontId="1" fillId="38" borderId="56" xfId="0" applyFont="1" applyFill="1" applyBorder="1" applyAlignment="1">
      <alignment horizontal="left" vertical="center"/>
    </xf>
    <xf numFmtId="0" fontId="1" fillId="38" borderId="59" xfId="0" applyFont="1" applyFill="1" applyBorder="1" applyAlignment="1">
      <alignment horizontal="center" vertical="center"/>
    </xf>
    <xf numFmtId="0" fontId="59" fillId="36" borderId="55" xfId="201" applyFont="1" applyFill="1" applyBorder="1" applyAlignment="1">
      <alignment horizontal="center" vertical="center"/>
    </xf>
    <xf numFmtId="0" fontId="59" fillId="36" borderId="59" xfId="201" applyFont="1" applyFill="1" applyBorder="1" applyAlignment="1">
      <alignment horizontal="center" vertical="center"/>
    </xf>
    <xf numFmtId="0" fontId="17" fillId="9" borderId="11" xfId="0" applyFont="1" applyFill="1" applyBorder="1" applyAlignment="1" applyProtection="1">
      <alignment horizontal="center" vertical="center" wrapText="1"/>
    </xf>
    <xf numFmtId="0" fontId="17" fillId="9" borderId="23" xfId="0" applyFont="1" applyFill="1" applyBorder="1" applyAlignment="1" applyProtection="1">
      <alignment horizontal="center" vertical="center" wrapText="1"/>
    </xf>
    <xf numFmtId="16" fontId="0" fillId="38" borderId="1" xfId="0" applyNumberFormat="1" applyFill="1" applyBorder="1" applyAlignment="1" applyProtection="1">
      <alignment horizontal="center" vertical="center"/>
      <protection locked="0"/>
    </xf>
    <xf numFmtId="0" fontId="0" fillId="38" borderId="1" xfId="0" applyFill="1" applyBorder="1" applyAlignment="1" applyProtection="1">
      <alignment horizontal="center" vertical="center"/>
      <protection locked="0"/>
    </xf>
    <xf numFmtId="0" fontId="4" fillId="36" borderId="55" xfId="201" applyFill="1" applyBorder="1" applyAlignment="1" applyProtection="1">
      <alignment horizontal="center" vertical="center"/>
      <protection locked="0"/>
    </xf>
    <xf numFmtId="0" fontId="4" fillId="36" borderId="6" xfId="201" applyFill="1" applyBorder="1" applyAlignment="1" applyProtection="1">
      <alignment horizontal="center" vertical="center"/>
      <protection locked="0"/>
    </xf>
    <xf numFmtId="16" fontId="57" fillId="10" borderId="55" xfId="0" applyNumberFormat="1" applyFont="1" applyFill="1" applyBorder="1" applyAlignment="1" applyProtection="1">
      <alignment horizontal="center" vertical="center"/>
      <protection locked="0"/>
    </xf>
    <xf numFmtId="16" fontId="57" fillId="10" borderId="62" xfId="0" applyNumberFormat="1" applyFont="1" applyFill="1" applyBorder="1" applyAlignment="1" applyProtection="1">
      <alignment horizontal="center" vertical="center"/>
      <protection locked="0"/>
    </xf>
    <xf numFmtId="16" fontId="1" fillId="38" borderId="45" xfId="0" applyNumberFormat="1" applyFont="1" applyFill="1" applyBorder="1" applyAlignment="1" applyProtection="1">
      <alignment horizontal="left" vertical="center"/>
      <protection locked="0"/>
    </xf>
    <xf numFmtId="16" fontId="1" fillId="38" borderId="34" xfId="0" applyNumberFormat="1" applyFont="1" applyFill="1" applyBorder="1" applyAlignment="1" applyProtection="1">
      <alignment horizontal="left" vertical="center"/>
      <protection locked="0"/>
    </xf>
    <xf numFmtId="16" fontId="1" fillId="38" borderId="35" xfId="0" applyNumberFormat="1" applyFont="1" applyFill="1" applyBorder="1" applyAlignment="1" applyProtection="1">
      <alignment horizontal="left" vertical="center"/>
      <protection locked="0"/>
    </xf>
    <xf numFmtId="16" fontId="57" fillId="10" borderId="56" xfId="0" applyNumberFormat="1" applyFont="1" applyFill="1" applyBorder="1" applyAlignment="1" applyProtection="1">
      <alignment horizontal="center" vertical="center"/>
      <protection locked="0"/>
    </xf>
    <xf numFmtId="16" fontId="57" fillId="10" borderId="6" xfId="0" applyNumberFormat="1" applyFont="1" applyFill="1" applyBorder="1" applyAlignment="1" applyProtection="1">
      <alignment horizontal="center" vertical="center"/>
      <protection locked="0"/>
    </xf>
    <xf numFmtId="0" fontId="17" fillId="10" borderId="40" xfId="0" applyFont="1" applyFill="1" applyBorder="1" applyAlignment="1" applyProtection="1">
      <alignment horizontal="left" vertical="center"/>
    </xf>
    <xf numFmtId="0" fontId="1" fillId="10" borderId="12" xfId="0" applyFont="1" applyFill="1" applyBorder="1" applyAlignment="1" applyProtection="1">
      <alignment horizontal="left" vertical="center"/>
    </xf>
    <xf numFmtId="0" fontId="1" fillId="10" borderId="2" xfId="0" applyFont="1" applyFill="1" applyBorder="1" applyAlignment="1" applyProtection="1">
      <alignment horizontal="left" vertical="center"/>
    </xf>
    <xf numFmtId="0" fontId="17" fillId="9" borderId="7" xfId="0" applyFont="1" applyFill="1" applyBorder="1" applyAlignment="1" applyProtection="1">
      <alignment horizontal="left"/>
    </xf>
    <xf numFmtId="0" fontId="1" fillId="9" borderId="13" xfId="0" applyFont="1" applyFill="1" applyBorder="1" applyAlignment="1" applyProtection="1">
      <alignment horizontal="left" vertical="center" wrapText="1"/>
    </xf>
    <xf numFmtId="0" fontId="1" fillId="9" borderId="22" xfId="0" applyFont="1" applyFill="1" applyBorder="1" applyAlignment="1" applyProtection="1">
      <alignment horizontal="left" vertical="center" wrapText="1"/>
    </xf>
    <xf numFmtId="0" fontId="52" fillId="28" borderId="10" xfId="0" applyFont="1" applyFill="1" applyBorder="1" applyAlignment="1" applyProtection="1">
      <alignment horizontal="left" vertical="center"/>
    </xf>
    <xf numFmtId="49" fontId="60" fillId="10" borderId="12" xfId="0" applyNumberFormat="1" applyFont="1" applyFill="1" applyBorder="1" applyAlignment="1" applyProtection="1">
      <alignment horizontal="left" vertical="center"/>
      <protection locked="0"/>
    </xf>
    <xf numFmtId="49" fontId="60" fillId="10" borderId="0" xfId="0" applyNumberFormat="1" applyFont="1" applyFill="1" applyBorder="1" applyAlignment="1" applyProtection="1">
      <alignment horizontal="left" vertical="center"/>
      <protection locked="0"/>
    </xf>
    <xf numFmtId="49" fontId="60" fillId="10" borderId="10" xfId="0" applyNumberFormat="1" applyFont="1" applyFill="1" applyBorder="1" applyAlignment="1" applyProtection="1">
      <alignment horizontal="left" vertical="center"/>
      <protection locked="0"/>
    </xf>
    <xf numFmtId="0" fontId="3" fillId="10" borderId="30" xfId="0" applyFont="1" applyFill="1" applyBorder="1" applyAlignment="1" applyProtection="1">
      <alignment horizontal="left" vertical="center"/>
      <protection locked="0"/>
    </xf>
    <xf numFmtId="0" fontId="3" fillId="10" borderId="1" xfId="0" applyFont="1" applyFill="1" applyBorder="1" applyAlignment="1" applyProtection="1">
      <alignment horizontal="left" vertical="center"/>
      <protection locked="0"/>
    </xf>
    <xf numFmtId="0" fontId="4" fillId="8" borderId="0" xfId="201" applyFill="1" applyBorder="1" applyAlignment="1" applyProtection="1">
      <alignment horizontal="center" vertical="center" wrapText="1"/>
      <protection locked="0"/>
    </xf>
  </cellXfs>
  <cellStyles count="208">
    <cellStyle name="Calculation" xfId="203" builtinId="22"/>
    <cellStyle name="Followed Hyperlink" xfId="180" builtinId="9" hidden="1"/>
    <cellStyle name="Followed Hyperlink" xfId="184" builtinId="9" hidden="1"/>
    <cellStyle name="Followed Hyperlink" xfId="190" builtinId="9" hidden="1"/>
    <cellStyle name="Followed Hyperlink" xfId="196" builtinId="9" hidden="1"/>
    <cellStyle name="Followed Hyperlink" xfId="194" builtinId="9" hidden="1"/>
    <cellStyle name="Followed Hyperlink" xfId="178" builtinId="9" hidden="1"/>
    <cellStyle name="Followed Hyperlink" xfId="162" builtinId="9" hidden="1"/>
    <cellStyle name="Followed Hyperlink" xfId="146" builtinId="9" hidden="1"/>
    <cellStyle name="Followed Hyperlink" xfId="130" builtinId="9" hidden="1"/>
    <cellStyle name="Followed Hyperlink" xfId="114" builtinId="9" hidden="1"/>
    <cellStyle name="Followed Hyperlink" xfId="98" builtinId="9" hidden="1"/>
    <cellStyle name="Followed Hyperlink" xfId="40" builtinId="9" hidden="1"/>
    <cellStyle name="Followed Hyperlink" xfId="44" builtinId="9" hidden="1"/>
    <cellStyle name="Followed Hyperlink" xfId="48" builtinId="9" hidden="1"/>
    <cellStyle name="Followed Hyperlink" xfId="54" builtinId="9" hidden="1"/>
    <cellStyle name="Followed Hyperlink" xfId="58" builtinId="9" hidden="1"/>
    <cellStyle name="Followed Hyperlink" xfId="62" builtinId="9" hidden="1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6" builtinId="9" hidden="1"/>
    <cellStyle name="Followed Hyperlink" xfId="82" builtinId="9" hidden="1"/>
    <cellStyle name="Followed Hyperlink" xfId="50" builtinId="9" hidden="1"/>
    <cellStyle name="Followed Hyperlink" xfId="22" builtinId="9" hidden="1"/>
    <cellStyle name="Followed Hyperlink" xfId="26" builtinId="9" hidden="1"/>
    <cellStyle name="Followed Hyperlink" xfId="30" builtinId="9" hidden="1"/>
    <cellStyle name="Followed Hyperlink" xfId="34" builtinId="9" hidden="1"/>
    <cellStyle name="Followed Hyperlink" xfId="38" builtinId="9" hidden="1"/>
    <cellStyle name="Followed Hyperlink" xfId="10" builtinId="9" hidden="1"/>
    <cellStyle name="Followed Hyperlink" xfId="14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6" builtinId="9" hidden="1"/>
    <cellStyle name="Followed Hyperlink" xfId="12" builtinId="9" hidden="1"/>
    <cellStyle name="Followed Hyperlink" xfId="18" builtinId="9" hidden="1"/>
    <cellStyle name="Followed Hyperlink" xfId="36" builtinId="9" hidden="1"/>
    <cellStyle name="Followed Hyperlink" xfId="32" builtinId="9" hidden="1"/>
    <cellStyle name="Followed Hyperlink" xfId="28" builtinId="9" hidden="1"/>
    <cellStyle name="Followed Hyperlink" xfId="24" builtinId="9" hidden="1"/>
    <cellStyle name="Followed Hyperlink" xfId="20" builtinId="9" hidden="1"/>
    <cellStyle name="Followed Hyperlink" xfId="66" builtinId="9" hidden="1"/>
    <cellStyle name="Followed Hyperlink" xfId="88" builtinId="9" hidden="1"/>
    <cellStyle name="Followed Hyperlink" xfId="84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4" builtinId="9" hidden="1"/>
    <cellStyle name="Followed Hyperlink" xfId="60" builtinId="9" hidden="1"/>
    <cellStyle name="Followed Hyperlink" xfId="56" builtinId="9" hidden="1"/>
    <cellStyle name="Followed Hyperlink" xfId="52" builtinId="9" hidden="1"/>
    <cellStyle name="Followed Hyperlink" xfId="46" builtinId="9" hidden="1"/>
    <cellStyle name="Followed Hyperlink" xfId="42" builtinId="9" hidden="1"/>
    <cellStyle name="Followed Hyperlink" xfId="90" builtinId="9" hidden="1"/>
    <cellStyle name="Followed Hyperlink" xfId="106" builtinId="9" hidden="1"/>
    <cellStyle name="Followed Hyperlink" xfId="122" builtinId="9" hidden="1"/>
    <cellStyle name="Followed Hyperlink" xfId="138" builtinId="9" hidden="1"/>
    <cellStyle name="Followed Hyperlink" xfId="154" builtinId="9" hidden="1"/>
    <cellStyle name="Followed Hyperlink" xfId="170" builtinId="9" hidden="1"/>
    <cellStyle name="Followed Hyperlink" xfId="186" builtinId="9" hidden="1"/>
    <cellStyle name="Followed Hyperlink" xfId="198" builtinId="9" hidden="1"/>
    <cellStyle name="Followed Hyperlink" xfId="192" builtinId="9" hidden="1"/>
    <cellStyle name="Followed Hyperlink" xfId="188" builtinId="9" hidden="1"/>
    <cellStyle name="Followed Hyperlink" xfId="182" builtinId="9" hidden="1"/>
    <cellStyle name="Followed Hyperlink" xfId="176" builtinId="9" hidden="1"/>
    <cellStyle name="Followed Hyperlink" xfId="120" builtinId="9" hidden="1"/>
    <cellStyle name="Followed Hyperlink" xfId="124" builtinId="9" hidden="1"/>
    <cellStyle name="Followed Hyperlink" xfId="126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42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58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4" builtinId="9" hidden="1"/>
    <cellStyle name="Followed Hyperlink" xfId="172" builtinId="9" hidden="1"/>
    <cellStyle name="Followed Hyperlink" xfId="160" builtinId="9" hidden="1"/>
    <cellStyle name="Followed Hyperlink" xfId="150" builtinId="9" hidden="1"/>
    <cellStyle name="Followed Hyperlink" xfId="140" builtinId="9" hidden="1"/>
    <cellStyle name="Followed Hyperlink" xfId="128" builtinId="9" hidden="1"/>
    <cellStyle name="Followed Hyperlink" xfId="118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6" builtinId="9" hidden="1"/>
    <cellStyle name="Followed Hyperlink" xfId="108" builtinId="9" hidden="1"/>
    <cellStyle name="Followed Hyperlink" xfId="96" builtinId="9" hidden="1"/>
    <cellStyle name="Followed Hyperlink" xfId="100" builtinId="9" hidden="1"/>
    <cellStyle name="Followed Hyperlink" xfId="94" builtinId="9" hidden="1"/>
    <cellStyle name="Followed Hyperlink" xfId="92" builtinId="9" hidden="1"/>
    <cellStyle name="Hyperlink" xfId="145" builtinId="8" hidden="1"/>
    <cellStyle name="Hyperlink" xfId="141" builtinId="8" hidden="1"/>
    <cellStyle name="Hyperlink" xfId="137" builtinId="8" hidden="1"/>
    <cellStyle name="Hyperlink" xfId="129" builtinId="8" hidden="1"/>
    <cellStyle name="Hyperlink" xfId="125" builtinId="8" hidden="1"/>
    <cellStyle name="Hyperlink" xfId="121" builtinId="8" hidden="1"/>
    <cellStyle name="Hyperlink" xfId="113" builtinId="8" hidden="1"/>
    <cellStyle name="Hyperlink" xfId="109" builtinId="8" hidden="1"/>
    <cellStyle name="Hyperlink" xfId="105" builtinId="8" hidden="1"/>
    <cellStyle name="Hyperlink" xfId="97" builtinId="8" hidden="1"/>
    <cellStyle name="Hyperlink" xfId="93" builtinId="8" hidden="1"/>
    <cellStyle name="Hyperlink" xfId="89" builtinId="8" hidden="1"/>
    <cellStyle name="Hyperlink" xfId="81" builtinId="8" hidden="1"/>
    <cellStyle name="Hyperlink" xfId="77" builtinId="8" hidden="1"/>
    <cellStyle name="Hyperlink" xfId="73" builtinId="8" hidden="1"/>
    <cellStyle name="Hyperlink" xfId="65" builtinId="8" hidden="1"/>
    <cellStyle name="Hyperlink" xfId="23" builtinId="8" hidden="1"/>
    <cellStyle name="Hyperlink" xfId="25" builtinId="8" hidden="1"/>
    <cellStyle name="Hyperlink" xfId="31" builtinId="8" hidden="1"/>
    <cellStyle name="Hyperlink" xfId="33" builtinId="8" hidden="1"/>
    <cellStyle name="Hyperlink" xfId="35" builtinId="8" hidden="1"/>
    <cellStyle name="Hyperlink" xfId="41" builtinId="8" hidden="1"/>
    <cellStyle name="Hyperlink" xfId="43" builtinId="8" hidden="1"/>
    <cellStyle name="Hyperlink" xfId="47" builtinId="8" hidden="1"/>
    <cellStyle name="Hyperlink" xfId="51" builtinId="8" hidden="1"/>
    <cellStyle name="Hyperlink" xfId="55" builtinId="8" hidden="1"/>
    <cellStyle name="Hyperlink" xfId="57" builtinId="8" hidden="1"/>
    <cellStyle name="Hyperlink" xfId="63" builtinId="8" hidden="1"/>
    <cellStyle name="Hyperlink" xfId="61" builtinId="8" hidden="1"/>
    <cellStyle name="Hyperlink" xfId="53" builtinId="8" hidden="1"/>
    <cellStyle name="Hyperlink" xfId="37" builtinId="8" hidden="1"/>
    <cellStyle name="Hyperlink" xfId="29" builtinId="8" hidden="1"/>
    <cellStyle name="Hyperlink" xfId="21" builtinId="8" hidden="1"/>
    <cellStyle name="Hyperlink" xfId="11" builtinId="8" hidden="1"/>
    <cellStyle name="Hyperlink" xfId="15" builtinId="8" hidden="1"/>
    <cellStyle name="Hyperlink" xfId="17" builtinId="8" hidden="1"/>
    <cellStyle name="Hyperlink" xfId="13" builtinId="8" hidden="1"/>
    <cellStyle name="Hyperlink" xfId="5" builtinId="8" hidden="1"/>
    <cellStyle name="Hyperlink" xfId="7" builtinId="8" hidden="1"/>
    <cellStyle name="Hyperlink" xfId="1" builtinId="8" hidden="1"/>
    <cellStyle name="Hyperlink" xfId="3" builtinId="8" hidden="1"/>
    <cellStyle name="Hyperlink" xfId="19" builtinId="8" hidden="1"/>
    <cellStyle name="Hyperlink" xfId="9" builtinId="8" hidden="1"/>
    <cellStyle name="Hyperlink" xfId="45" builtinId="8" hidden="1"/>
    <cellStyle name="Hyperlink" xfId="59" builtinId="8" hidden="1"/>
    <cellStyle name="Hyperlink" xfId="49" builtinId="8" hidden="1"/>
    <cellStyle name="Hyperlink" xfId="39" builtinId="8" hidden="1"/>
    <cellStyle name="Hyperlink" xfId="27" builtinId="8" hidden="1"/>
    <cellStyle name="Hyperlink" xfId="69" builtinId="8" hidden="1"/>
    <cellStyle name="Hyperlink" xfId="85" builtinId="8" hidden="1"/>
    <cellStyle name="Hyperlink" xfId="101" builtinId="8" hidden="1"/>
    <cellStyle name="Hyperlink" xfId="117" builtinId="8" hidden="1"/>
    <cellStyle name="Hyperlink" xfId="133" builtinId="8" hidden="1"/>
    <cellStyle name="Hyperlink" xfId="149" builtinId="8" hidden="1"/>
    <cellStyle name="Hyperlink" xfId="143" builtinId="8" hidden="1"/>
    <cellStyle name="Hyperlink" xfId="147" builtinId="8" hidden="1"/>
    <cellStyle name="Hyperlink" xfId="155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5" builtinId="8" hidden="1"/>
    <cellStyle name="Hyperlink" xfId="179" builtinId="8" hidden="1"/>
    <cellStyle name="Hyperlink" xfId="187" builtinId="8" hidden="1"/>
    <cellStyle name="Hyperlink" xfId="191" builtinId="8" hidden="1"/>
    <cellStyle name="Hyperlink" xfId="195" builtinId="8" hidden="1"/>
    <cellStyle name="Hyperlink" xfId="197" builtinId="8" hidden="1"/>
    <cellStyle name="Hyperlink" xfId="193" builtinId="8" hidden="1"/>
    <cellStyle name="Hyperlink" xfId="189" builtinId="8" hidden="1"/>
    <cellStyle name="Hyperlink" xfId="185" builtinId="8" hidden="1"/>
    <cellStyle name="Hyperlink" xfId="177" builtinId="8" hidden="1"/>
    <cellStyle name="Hyperlink" xfId="173" builtinId="8" hidden="1"/>
    <cellStyle name="Hyperlink" xfId="169" builtinId="8" hidden="1"/>
    <cellStyle name="Hyperlink" xfId="165" builtinId="8" hidden="1"/>
    <cellStyle name="Hyperlink" xfId="161" builtinId="8" hidden="1"/>
    <cellStyle name="Hyperlink" xfId="157" builtinId="8" hidden="1"/>
    <cellStyle name="Hyperlink" xfId="153" builtinId="8" hidden="1"/>
    <cellStyle name="Hyperlink" xfId="181" builtinId="8" hidden="1"/>
    <cellStyle name="Hyperlink" xfId="183" builtinId="8" hidden="1"/>
    <cellStyle name="Hyperlink" xfId="151" builtinId="8" hidden="1"/>
    <cellStyle name="Hyperlink" xfId="103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3" builtinId="8" hidden="1"/>
    <cellStyle name="Hyperlink" xfId="127" builtinId="8" hidden="1"/>
    <cellStyle name="Hyperlink" xfId="131" builtinId="8" hidden="1"/>
    <cellStyle name="Hyperlink" xfId="135" builtinId="8" hidden="1"/>
    <cellStyle name="Hyperlink" xfId="139" builtinId="8" hidden="1"/>
    <cellStyle name="Hyperlink" xfId="83" builtinId="8" hidden="1"/>
    <cellStyle name="Hyperlink" xfId="87" builtinId="8" hidden="1"/>
    <cellStyle name="Hyperlink" xfId="91" builtinId="8" hidden="1"/>
    <cellStyle name="Hyperlink" xfId="95" builtinId="8" hidden="1"/>
    <cellStyle name="Hyperlink" xfId="99" builtinId="8" hidden="1"/>
    <cellStyle name="Hyperlink" xfId="75" builtinId="8" hidden="1"/>
    <cellStyle name="Hyperlink" xfId="79" builtinId="8" hidden="1"/>
    <cellStyle name="Hyperlink" xfId="71" builtinId="8" hidden="1"/>
    <cellStyle name="Hyperlink" xfId="67" builtinId="8" hidden="1"/>
    <cellStyle name="Hyperlink" xfId="201" builtinId="8"/>
    <cellStyle name="Input" xfId="199" builtinId="20"/>
    <cellStyle name="Lien hypertexte 2" xfId="204" xr:uid="{00000000-0005-0000-0000-000067000000}"/>
    <cellStyle name="Lien hypertexte 3" xfId="206" xr:uid="{00000000-0005-0000-0000-000068000000}"/>
    <cellStyle name="Neutral" xfId="202" builtinId="28"/>
    <cellStyle name="Normal" xfId="0" builtinId="0"/>
    <cellStyle name="Normal 2" xfId="205" xr:uid="{00000000-0005-0000-0000-0000CE000000}"/>
    <cellStyle name="Note" xfId="200" builtinId="10"/>
    <cellStyle name="Warning Text" xfId="207" builtinId="11"/>
  </cellStyles>
  <dxfs count="51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Medium4"/>
  <colors>
    <mruColors>
      <color rgb="FFFFFFCC"/>
      <color rgb="FF93C90E"/>
      <color rgb="FFEAAA00"/>
      <color rgb="FFCCE821"/>
      <color rgb="FF9CBC5C"/>
      <color rgb="FFE6E6E6"/>
      <color rgb="FFFFFF99"/>
      <color rgb="FFB7CE88"/>
      <color rgb="FF005EB8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D7-41ED-AF89-1AF0280C5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D7-41ED-AF89-1AF0280C5900}"/>
              </c:ext>
            </c:extLst>
          </c:dPt>
          <c:cat>
            <c:numLit>
              <c:formatCode>General</c:formatCode>
              <c:ptCount val="2"/>
            </c:num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4-FED7-41ED-AF89-1AF0280C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BE-4AD8-8F30-9F0336556A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BE-4AD8-8F30-9F0336556A46}"/>
              </c:ext>
            </c:extLst>
          </c:dPt>
          <c:cat>
            <c:numLit>
              <c:formatCode>General</c:formatCode>
              <c:ptCount val="2"/>
            </c:num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4-23BE-4AD8-8F30-9F033655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D6-4A70-90DB-9CDF52CD1F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D6-4A70-90DB-9CDF52CD1FC5}"/>
              </c:ext>
            </c:extLst>
          </c:dPt>
          <c:cat>
            <c:numLit>
              <c:formatCode>General</c:formatCode>
              <c:ptCount val="2"/>
            </c:num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4-8ED6-4A70-90DB-9CDF52CD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1"/>
              </a:solidFill>
            </a:ln>
          </c:spPr>
          <c:explosion val="6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AB-4099-B466-A5B4BD7E8C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AB-4099-B466-A5B4BD7E8C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BILAN_DR!$P$164:$Q$164</c:f>
              <c:numCache>
                <c:formatCode>General</c:formatCode>
                <c:ptCount val="2"/>
                <c:pt idx="0">
                  <c:v>728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B-4099-B466-A5B4BD7E8C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20-43D0-8941-CB6BEA1B2E39}"/>
              </c:ext>
            </c:extLst>
          </c:dPt>
          <c:dPt>
            <c:idx val="1"/>
            <c:bubble3D val="0"/>
            <c:explosion val="9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20-43D0-8941-CB6BEA1B2E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[1]BILAN_DR!$P$151:$Q$151</c:f>
              <c:numCache>
                <c:formatCode>General</c:formatCode>
                <c:ptCount val="2"/>
                <c:pt idx="0">
                  <c:v>483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0-43D0-8941-CB6BEA1B2E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29616"/>
        <c:axId val="210830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DB1C-4DD8-A465-2B41D4D68AD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DB1C-4DD8-A465-2B41D4D68AD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DB1C-4DD8-A465-2B41D4D68AD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DB1C-4DD8-A465-2B41D4D68AD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DB1C-4DD8-A465-2B41D4D68AD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5-DB1C-4DD8-A465-2B41D4D68AD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6-DB1C-4DD8-A465-2B41D4D68AD9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7-DB1C-4DD8-A465-2B41D4D68AD9}"/>
                  </c:ext>
                </c:extLst>
              </c15:ser>
            </c15:filteredBarSeries>
          </c:ext>
        </c:extLst>
      </c:barChart>
      <c:catAx>
        <c:axId val="210829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10830008"/>
        <c:crosses val="autoZero"/>
        <c:auto val="1"/>
        <c:lblAlgn val="ctr"/>
        <c:lblOffset val="100"/>
        <c:noMultiLvlLbl val="0"/>
      </c:catAx>
      <c:valAx>
        <c:axId val="210830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210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87103152552064E-2"/>
          <c:y val="0.9230480101651225"/>
          <c:w val="0.88433872950715686"/>
          <c:h val="5.676796556955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</a:t>
            </a:r>
            <a:r>
              <a:rPr lang="fr-FR" baseline="0"/>
              <a:t>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BILAN_LANDES!$C$127:$C$134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BILAN_LANDES!$D$127:$D$134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24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B-48B8-A255-DED1BDE215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BILAN_LANDES!$C$127:$C$134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BILAN_LANDES!$E$127:$E$134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B-48B8-A255-DED1BDE2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30792"/>
        <c:axId val="210831968"/>
      </c:barChart>
      <c:catAx>
        <c:axId val="21083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1968"/>
        <c:crosses val="autoZero"/>
        <c:auto val="1"/>
        <c:lblAlgn val="ctr"/>
        <c:lblOffset val="100"/>
        <c:noMultiLvlLbl val="0"/>
      </c:catAx>
      <c:valAx>
        <c:axId val="2108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0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BILAN_LANDES!$C$127:$C$134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BILAN_LANDES!$G$127:$G$134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  <c:pt idx="4">
                  <c:v>12</c:v>
                </c:pt>
                <c:pt idx="5">
                  <c:v>13</c:v>
                </c:pt>
                <c:pt idx="6">
                  <c:v>2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2-490D-89E2-578FC06946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BILAN_LANDES!$C$127:$C$134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BILAN_LANDES!$H$127:$H$134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2-490D-89E2-578FC069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31576"/>
        <c:axId val="210832360"/>
      </c:barChart>
      <c:catAx>
        <c:axId val="21083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2360"/>
        <c:crosses val="autoZero"/>
        <c:auto val="1"/>
        <c:lblAlgn val="ctr"/>
        <c:lblOffset val="100"/>
        <c:noMultiLvlLbl val="0"/>
      </c:catAx>
      <c:valAx>
        <c:axId val="2108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BILAN_LANDES!$C$127:$C$134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BILAN_LANDES!$J$127:$J$134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E-4044-8DF1-37BB20DBDB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BILAN_LANDES!$C$127:$C$134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BILAN_LANDES!$K$127:$K$134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E-4044-8DF1-37BB20DB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143808"/>
        <c:axId val="211144200"/>
      </c:barChart>
      <c:catAx>
        <c:axId val="2111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200"/>
        <c:crosses val="autoZero"/>
        <c:auto val="1"/>
        <c:lblAlgn val="ctr"/>
        <c:lblOffset val="100"/>
        <c:noMultiLvlLbl val="0"/>
      </c:catAx>
      <c:valAx>
        <c:axId val="21114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144592"/>
        <c:axId val="21114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06FE-4824-93D0-79BC48F2306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06FE-4824-93D0-79BC48F23066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06FE-4824-93D0-79BC48F2306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06FE-4824-93D0-79BC48F2306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06FE-4824-93D0-79BC48F2306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5-06FE-4824-93D0-79BC48F23066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6-06FE-4824-93D0-79BC48F23066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7-06FE-4824-93D0-79BC48F23066}"/>
                  </c:ext>
                </c:extLst>
              </c15:ser>
            </c15:filteredBarSeries>
          </c:ext>
        </c:extLst>
      </c:barChart>
      <c:catAx>
        <c:axId val="21114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11145376"/>
        <c:crosses val="autoZero"/>
        <c:auto val="1"/>
        <c:lblAlgn val="ctr"/>
        <c:lblOffset val="100"/>
        <c:noMultiLvlLbl val="0"/>
      </c:catAx>
      <c:valAx>
        <c:axId val="21114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2111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87103152552064E-2"/>
          <c:y val="0.9230480101651225"/>
          <c:w val="0.88433872950715686"/>
          <c:h val="5.676796556955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146160"/>
        <c:axId val="21114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CF0A-4922-BA5D-1C58570607A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CF0A-4922-BA5D-1C58570607A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CF0A-4922-BA5D-1C58570607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CF0A-4922-BA5D-1C58570607A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CF0A-4922-BA5D-1C58570607A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5-CF0A-4922-BA5D-1C58570607A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6-CF0A-4922-BA5D-1C58570607A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 xmlns:c16="http://schemas.microsoft.com/office/drawing/2014/chart">
                            <c:ext uri="{02D57815-91ED-43cb-92C2-25804820EDAC}">
                              <c15:formulaRef>
                                <c15:sqref>BILAN_LANDES!#REF!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7-CF0A-4922-BA5D-1C58570607A0}"/>
                  </c:ext>
                </c:extLst>
              </c15:ser>
            </c15:filteredBarSeries>
          </c:ext>
        </c:extLst>
      </c:barChart>
      <c:catAx>
        <c:axId val="211146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11142632"/>
        <c:crosses val="autoZero"/>
        <c:auto val="1"/>
        <c:lblAlgn val="ctr"/>
        <c:lblOffset val="100"/>
        <c:noMultiLvlLbl val="0"/>
      </c:catAx>
      <c:valAx>
        <c:axId val="211142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2111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87103152552064E-2"/>
          <c:y val="0.9230480101651225"/>
          <c:w val="0.88433872950715686"/>
          <c:h val="5.676796556955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6813217038231"/>
          <c:y val="0.90513327452751868"/>
          <c:w val="0.44955567022039128"/>
          <c:h val="9.0851931435268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BILAN_LANDES!$C$127:$C$134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BILAN_LANDES!$P$127:$P$134</c:f>
              <c:numCache>
                <c:formatCode>General</c:formatCode>
                <c:ptCount val="8"/>
                <c:pt idx="0">
                  <c:v>26</c:v>
                </c:pt>
                <c:pt idx="1">
                  <c:v>6</c:v>
                </c:pt>
                <c:pt idx="2">
                  <c:v>17</c:v>
                </c:pt>
                <c:pt idx="3">
                  <c:v>11</c:v>
                </c:pt>
                <c:pt idx="4">
                  <c:v>88</c:v>
                </c:pt>
                <c:pt idx="5">
                  <c:v>34</c:v>
                </c:pt>
                <c:pt idx="6">
                  <c:v>15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4B1F-B5E0-51E3DC0FE4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100296"/>
        <c:axId val="2110987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BILAN_LANDES!$C$127:$C$134</c15:sqref>
                        </c15:formulaRef>
                      </c:ext>
                    </c:extLst>
                    <c:strCache>
                      <c:ptCount val="8"/>
                      <c:pt idx="0">
                        <c:v>Partenariat</c:v>
                      </c:pt>
                      <c:pt idx="1">
                        <c:v>Sécurité</c:v>
                      </c:pt>
                      <c:pt idx="2">
                        <c:v>Transition énergétique</c:v>
                      </c:pt>
                      <c:pt idx="3">
                        <c:v>RH</c:v>
                      </c:pt>
                      <c:pt idx="4">
                        <c:v>Crise</c:v>
                      </c:pt>
                      <c:pt idx="5">
                        <c:v>Réseau</c:v>
                      </c:pt>
                      <c:pt idx="6">
                        <c:v>Linky/Smartgrids</c:v>
                      </c:pt>
                      <c:pt idx="7">
                        <c:v>Environnement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BILAN_LANDES!#REF!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23-4B1F-B5E0-51E3DC0FE47D}"/>
                  </c:ext>
                </c:extLst>
              </c15:ser>
            </c15:filteredBarSeries>
          </c:ext>
        </c:extLst>
      </c:barChart>
      <c:catAx>
        <c:axId val="211100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728"/>
        <c:crosses val="autoZero"/>
        <c:auto val="1"/>
        <c:lblAlgn val="ctr"/>
        <c:lblOffset val="100"/>
        <c:noMultiLvlLbl val="0"/>
      </c:catAx>
      <c:valAx>
        <c:axId val="211098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10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BILAN_LANDES!$C$127:$C$134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BILAN_LANDES!$M$127:$M$134</c:f>
              <c:numCache>
                <c:formatCode>General</c:formatCode>
                <c:ptCount val="8"/>
                <c:pt idx="0">
                  <c:v>16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37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212-BCB5-1CCEFE0D8E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BILAN_LANDES!$C$127:$C$134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BILAN_LANDES!$N$127:$N$134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1-4212-BCB5-1CCEFE0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099120"/>
        <c:axId val="211099512"/>
      </c:barChart>
      <c:catAx>
        <c:axId val="2110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9512"/>
        <c:crosses val="autoZero"/>
        <c:auto val="1"/>
        <c:lblAlgn val="ctr"/>
        <c:lblOffset val="100"/>
        <c:noMultiLvlLbl val="0"/>
      </c:catAx>
      <c:valAx>
        <c:axId val="2110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BILAN_HP!$D$127:$D$134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34</c:v>
                </c:pt>
                <c:pt idx="5">
                  <c:v>18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F-4DD5-B015-8F575120DE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BILAN_HP!$E$127:$E$134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F-4DD5-B015-8F575120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01080"/>
        <c:axId val="211097552"/>
      </c:barChart>
      <c:catAx>
        <c:axId val="21110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7552"/>
        <c:crosses val="autoZero"/>
        <c:auto val="1"/>
        <c:lblAlgn val="ctr"/>
        <c:lblOffset val="100"/>
        <c:noMultiLvlLbl val="0"/>
      </c:catAx>
      <c:valAx>
        <c:axId val="2110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</a:t>
            </a:r>
            <a:r>
              <a:rPr lang="fr-FR" baseline="0"/>
              <a:t> 2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BILAN_HP!$G$127:$G$134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5</c:v>
                </c:pt>
                <c:pt idx="5">
                  <c:v>14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8-42D6-92FF-BF7A163641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BILAN_HP!$H$127:$H$134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8-42D6-92FF-BF7A1636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99904"/>
        <c:axId val="211422664"/>
      </c:barChart>
      <c:catAx>
        <c:axId val="211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2664"/>
        <c:crosses val="autoZero"/>
        <c:auto val="1"/>
        <c:lblAlgn val="ctr"/>
        <c:lblOffset val="100"/>
        <c:noMultiLvlLbl val="0"/>
      </c:catAx>
      <c:valAx>
        <c:axId val="2114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BILAN_HP!$J$127:$J$134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2-49D9-AB65-D46C86E3F7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BILAN_HP!$K$127:$K$134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2-49D9-AB65-D46C86E3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25800"/>
        <c:axId val="211424624"/>
      </c:barChart>
      <c:catAx>
        <c:axId val="21142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4624"/>
        <c:crosses val="autoZero"/>
        <c:auto val="1"/>
        <c:lblAlgn val="ctr"/>
        <c:lblOffset val="100"/>
        <c:noMultiLvlLbl val="0"/>
      </c:catAx>
      <c:valAx>
        <c:axId val="2114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BILAN_HP!$P$127:$P$134</c:f>
              <c:numCache>
                <c:formatCode>General</c:formatCode>
                <c:ptCount val="8"/>
                <c:pt idx="0">
                  <c:v>55</c:v>
                </c:pt>
                <c:pt idx="1">
                  <c:v>5</c:v>
                </c:pt>
                <c:pt idx="2">
                  <c:v>15</c:v>
                </c:pt>
                <c:pt idx="3">
                  <c:v>44</c:v>
                </c:pt>
                <c:pt idx="4">
                  <c:v>48</c:v>
                </c:pt>
                <c:pt idx="5">
                  <c:v>71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C-4E34-8F6B-A30741EFAE00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CFE-4771-8B40-036BBF69CA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BILAN_HP!$Q$127:$Q$134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11</c:v>
                </c:pt>
                <c:pt idx="5">
                  <c:v>1</c:v>
                </c:pt>
                <c:pt idx="6">
                  <c:v>17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C-4E34-8F6B-A30741EFAE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424232"/>
        <c:axId val="211425016"/>
      </c:barChart>
      <c:catAx>
        <c:axId val="21142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5016"/>
        <c:crosses val="autoZero"/>
        <c:auto val="1"/>
        <c:lblAlgn val="ctr"/>
        <c:lblOffset val="100"/>
        <c:noMultiLvlLbl val="0"/>
      </c:catAx>
      <c:valAx>
        <c:axId val="211425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42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BILAN_HP!$M$127:$M$134</c:f>
              <c:numCache>
                <c:formatCode>General</c:formatCode>
                <c:ptCount val="8"/>
                <c:pt idx="0">
                  <c:v>44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30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F-4C8C-9473-B60BF8F865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BILAN_HP!$C$127:$C$134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BILAN_HP!$N$127:$N$134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F-4C8C-9473-B60BF8F8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25408"/>
        <c:axId val="211422272"/>
      </c:barChart>
      <c:catAx>
        <c:axId val="2114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2272"/>
        <c:crosses val="autoZero"/>
        <c:auto val="1"/>
        <c:lblAlgn val="ctr"/>
        <c:lblOffset val="100"/>
        <c:noMultiLvlLbl val="0"/>
      </c:catAx>
      <c:valAx>
        <c:axId val="2114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BILAN_PA!$P$127:$P$134</c:f>
              <c:numCache>
                <c:formatCode>General</c:formatCode>
                <c:ptCount val="8"/>
                <c:pt idx="0">
                  <c:v>16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128</c:v>
                </c:pt>
                <c:pt idx="5">
                  <c:v>43</c:v>
                </c:pt>
                <c:pt idx="6">
                  <c:v>20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B-4D56-AA62-74F959A8F907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7"/>
              <c:layout>
                <c:manualLayout>
                  <c:x val="2.1860252398128331E-3"/>
                  <c:y val="-6.338916404666557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867528763875024E-2"/>
                      <c:h val="2.847770672978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C43-44C2-BE6A-1E92E44E4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BILAN_PA!$Q$127:$Q$134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B-4D56-AA62-74F959A8F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243496"/>
        <c:axId val="212245064"/>
      </c:barChart>
      <c:catAx>
        <c:axId val="21224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064"/>
        <c:crosses val="autoZero"/>
        <c:auto val="1"/>
        <c:lblAlgn val="ctr"/>
        <c:lblOffset val="100"/>
        <c:noMultiLvlLbl val="0"/>
      </c:catAx>
      <c:valAx>
        <c:axId val="212245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24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BILAN_PA!$D$127:$D$134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0-4E31-91EA-CAFADC6B73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BILAN_PA!$E$127:$E$134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0-4E31-91EA-CAFADC6B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3888"/>
        <c:axId val="212243104"/>
      </c:barChart>
      <c:catAx>
        <c:axId val="2122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3104"/>
        <c:crosses val="autoZero"/>
        <c:auto val="1"/>
        <c:lblAlgn val="ctr"/>
        <c:lblOffset val="100"/>
        <c:noMultiLvlLbl val="0"/>
      </c:catAx>
      <c:valAx>
        <c:axId val="2122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BILAN_PA!$G$127:$G$134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8</c:v>
                </c:pt>
                <c:pt idx="5">
                  <c:v>13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9-43DB-A4A2-1FB7C386E4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BILAN_PA!$H$127:$H$134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9-43DB-A4A2-1FB7C386E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4672"/>
        <c:axId val="212242712"/>
      </c:barChart>
      <c:catAx>
        <c:axId val="2122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2712"/>
        <c:crosses val="autoZero"/>
        <c:auto val="1"/>
        <c:lblAlgn val="ctr"/>
        <c:lblOffset val="100"/>
        <c:noMultiLvlLbl val="0"/>
      </c:catAx>
      <c:valAx>
        <c:axId val="212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BF-487D-A457-D5FC68BF8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BF-487D-A457-D5FC68BF8FDE}"/>
              </c:ext>
            </c:extLst>
          </c:dPt>
          <c:cat>
            <c:numRef>
              <c:f>BILAN_DR!$C$68:$C$69</c:f>
              <c:numCache>
                <c:formatCode>General</c:formatCode>
                <c:ptCount val="2"/>
              </c:numCache>
            </c:numRef>
          </c:cat>
          <c:val>
            <c:numRef>
              <c:f>BILAN_DR!$M$68:$M$69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2BF-487D-A457-D5FC68BF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BILAN_PA!$J$127:$J$134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13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8-452F-B288-5A58F1E011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BILAN_PA!$K$127:$K$134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8-452F-B288-5A58F1E01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48880"/>
        <c:axId val="210749272"/>
      </c:barChart>
      <c:catAx>
        <c:axId val="2107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9272"/>
        <c:crosses val="autoZero"/>
        <c:auto val="1"/>
        <c:lblAlgn val="ctr"/>
        <c:lblOffset val="100"/>
        <c:noMultiLvlLbl val="0"/>
      </c:catAx>
      <c:valAx>
        <c:axId val="2107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BILAN_PA!$M$127:$M$134</c:f>
              <c:numCache>
                <c:formatCode>General</c:formatCode>
                <c:ptCount val="8"/>
                <c:pt idx="0">
                  <c:v>9</c:v>
                </c:pt>
                <c:pt idx="1">
                  <c:v>0</c:v>
                </c:pt>
                <c:pt idx="2">
                  <c:v>23</c:v>
                </c:pt>
                <c:pt idx="3">
                  <c:v>6</c:v>
                </c:pt>
                <c:pt idx="4">
                  <c:v>57</c:v>
                </c:pt>
                <c:pt idx="5">
                  <c:v>16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CDA-AA90-8B20A1D62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BILAN_PA!$C$127:$C$134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BILAN_PA!$N$127:$N$134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8-4CDA-AA90-8B20A1D6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50840"/>
        <c:axId val="210751232"/>
      </c:barChart>
      <c:catAx>
        <c:axId val="21075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1232"/>
        <c:crosses val="autoZero"/>
        <c:auto val="1"/>
        <c:lblAlgn val="ctr"/>
        <c:lblOffset val="100"/>
        <c:noMultiLvlLbl val="0"/>
      </c:catAx>
      <c:valAx>
        <c:axId val="2107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BILAN_DR!$P$156:$P$163</c:f>
              <c:numCache>
                <c:formatCode>General</c:formatCode>
                <c:ptCount val="8"/>
                <c:pt idx="0">
                  <c:v>97</c:v>
                </c:pt>
                <c:pt idx="1">
                  <c:v>11</c:v>
                </c:pt>
                <c:pt idx="2">
                  <c:v>62</c:v>
                </c:pt>
                <c:pt idx="3">
                  <c:v>85</c:v>
                </c:pt>
                <c:pt idx="4">
                  <c:v>264</c:v>
                </c:pt>
                <c:pt idx="5">
                  <c:v>148</c:v>
                </c:pt>
                <c:pt idx="6">
                  <c:v>45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1-451A-87CA-8C895C408DFB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BILAN_DR!$Q$156:$Q$163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13</c:v>
                </c:pt>
                <c:pt idx="5">
                  <c:v>3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1-451A-87CA-8C895C408D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152792"/>
        <c:axId val="210152008"/>
      </c:barChart>
      <c:catAx>
        <c:axId val="21015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2008"/>
        <c:crosses val="autoZero"/>
        <c:auto val="1"/>
        <c:lblAlgn val="ctr"/>
        <c:lblOffset val="100"/>
        <c:noMultiLvlLbl val="0"/>
      </c:catAx>
      <c:valAx>
        <c:axId val="210152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15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BILAN_DR!$D$156:$D$163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3</c:v>
                </c:pt>
                <c:pt idx="3">
                  <c:v>16</c:v>
                </c:pt>
                <c:pt idx="4">
                  <c:v>97</c:v>
                </c:pt>
                <c:pt idx="5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C1B-B8CF-9C01D47ED3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BILAN_DR!$E$156:$E$163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1-4C1B-B8CF-9C01D47E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22872"/>
        <c:axId val="209223264"/>
      </c:barChart>
      <c:catAx>
        <c:axId val="20922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3264"/>
        <c:crosses val="autoZero"/>
        <c:auto val="1"/>
        <c:lblAlgn val="ctr"/>
        <c:lblOffset val="100"/>
        <c:noMultiLvlLbl val="0"/>
      </c:catAx>
      <c:valAx>
        <c:axId val="209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BILAN_DR!$G$156:$G$163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48</c:v>
                </c:pt>
                <c:pt idx="4">
                  <c:v>25</c:v>
                </c:pt>
                <c:pt idx="5">
                  <c:v>40</c:v>
                </c:pt>
                <c:pt idx="6">
                  <c:v>6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B-46E7-A861-6B5AC13122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BILAN_DR!$H$156:$H$163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B-46E7-A861-6B5AC131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23656"/>
        <c:axId val="209225616"/>
      </c:barChart>
      <c:catAx>
        <c:axId val="20922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5616"/>
        <c:crosses val="autoZero"/>
        <c:auto val="1"/>
        <c:lblAlgn val="ctr"/>
        <c:lblOffset val="100"/>
        <c:noMultiLvlLbl val="0"/>
      </c:catAx>
      <c:valAx>
        <c:axId val="2092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</a:t>
            </a:r>
            <a:r>
              <a:rPr lang="fr-FR" baseline="0"/>
              <a:t> 3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BILAN_DR!$J$156:$J$163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25</c:v>
                </c:pt>
                <c:pt idx="3">
                  <c:v>4</c:v>
                </c:pt>
                <c:pt idx="4">
                  <c:v>39</c:v>
                </c:pt>
                <c:pt idx="5">
                  <c:v>26</c:v>
                </c:pt>
                <c:pt idx="6">
                  <c:v>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A-4194-97A0-553AF30A95C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BILAN_DR!$K$156:$K$163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A-4194-97A0-553AF30A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26008"/>
        <c:axId val="209226400"/>
      </c:barChart>
      <c:catAx>
        <c:axId val="20922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6400"/>
        <c:crosses val="autoZero"/>
        <c:auto val="1"/>
        <c:lblAlgn val="ctr"/>
        <c:lblOffset val="100"/>
        <c:noMultiLvlLbl val="0"/>
      </c:catAx>
      <c:valAx>
        <c:axId val="2092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TRIMESTRE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BILAN_DR!$M$156:$M$163</c:f>
              <c:numCache>
                <c:formatCode>General</c:formatCode>
                <c:ptCount val="8"/>
                <c:pt idx="0">
                  <c:v>69</c:v>
                </c:pt>
                <c:pt idx="1">
                  <c:v>4</c:v>
                </c:pt>
                <c:pt idx="2">
                  <c:v>33</c:v>
                </c:pt>
                <c:pt idx="3">
                  <c:v>17</c:v>
                </c:pt>
                <c:pt idx="4">
                  <c:v>103</c:v>
                </c:pt>
                <c:pt idx="5">
                  <c:v>56</c:v>
                </c:pt>
                <c:pt idx="6">
                  <c:v>14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A-4D7E-BBDE-8A2045DF51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BILAN_DR!$C$156:$C$163</c:f>
              <c:strCache>
                <c:ptCount val="8"/>
                <c:pt idx="0">
                  <c:v>Partenariat</c:v>
                </c:pt>
                <c:pt idx="1">
                  <c:v>Sécurité</c:v>
                </c:pt>
                <c:pt idx="2">
                  <c:v>Transition énergétique</c:v>
                </c:pt>
                <c:pt idx="3">
                  <c:v>RH</c:v>
                </c:pt>
                <c:pt idx="4">
                  <c:v>Crise</c:v>
                </c:pt>
                <c:pt idx="5">
                  <c:v>Réseau</c:v>
                </c:pt>
                <c:pt idx="6">
                  <c:v>Linky/Smartgrids</c:v>
                </c:pt>
                <c:pt idx="7">
                  <c:v>Environnement</c:v>
                </c:pt>
              </c:strCache>
            </c:strRef>
          </c:cat>
          <c:val>
            <c:numRef>
              <c:f>BILAN_DR!$N$156:$N$163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A-4D7E-BBDE-8A2045DF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24440"/>
        <c:axId val="210185504"/>
      </c:barChart>
      <c:catAx>
        <c:axId val="20922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5504"/>
        <c:crosses val="autoZero"/>
        <c:auto val="1"/>
        <c:lblAlgn val="ctr"/>
        <c:lblOffset val="100"/>
        <c:noMultiLvlLbl val="0"/>
      </c:catAx>
      <c:valAx>
        <c:axId val="2101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537883</xdr:colOff>
      <xdr:row>71</xdr:row>
      <xdr:rowOff>190500</xdr:rowOff>
    </xdr:from>
    <xdr:to>
      <xdr:col>6</xdr:col>
      <xdr:colOff>22412</xdr:colOff>
      <xdr:row>134</xdr:row>
      <xdr:rowOff>178173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571499</xdr:colOff>
      <xdr:row>74</xdr:row>
      <xdr:rowOff>56030</xdr:rowOff>
    </xdr:from>
    <xdr:to>
      <xdr:col>10</xdr:col>
      <xdr:colOff>392205</xdr:colOff>
      <xdr:row>134</xdr:row>
      <xdr:rowOff>648821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403412</xdr:colOff>
      <xdr:row>74</xdr:row>
      <xdr:rowOff>145676</xdr:rowOff>
    </xdr:from>
    <xdr:to>
      <xdr:col>13</xdr:col>
      <xdr:colOff>649941</xdr:colOff>
      <xdr:row>134</xdr:row>
      <xdr:rowOff>738467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750794</xdr:colOff>
      <xdr:row>66</xdr:row>
      <xdr:rowOff>179294</xdr:rowOff>
    </xdr:from>
    <xdr:to>
      <xdr:col>13</xdr:col>
      <xdr:colOff>627530</xdr:colOff>
      <xdr:row>79</xdr:row>
      <xdr:rowOff>178174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416718</xdr:colOff>
      <xdr:row>65</xdr:row>
      <xdr:rowOff>154781</xdr:rowOff>
    </xdr:from>
    <xdr:to>
      <xdr:col>13</xdr:col>
      <xdr:colOff>190500</xdr:colOff>
      <xdr:row>84</xdr:row>
      <xdr:rowOff>95251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398859</xdr:colOff>
      <xdr:row>89</xdr:row>
      <xdr:rowOff>107157</xdr:rowOff>
    </xdr:from>
    <xdr:to>
      <xdr:col>6</xdr:col>
      <xdr:colOff>285749</xdr:colOff>
      <xdr:row>108</xdr:row>
      <xdr:rowOff>11906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631031</xdr:colOff>
      <xdr:row>89</xdr:row>
      <xdr:rowOff>110728</xdr:rowOff>
    </xdr:from>
    <xdr:to>
      <xdr:col>13</xdr:col>
      <xdr:colOff>160734</xdr:colOff>
      <xdr:row>107</xdr:row>
      <xdr:rowOff>166687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392906</xdr:colOff>
      <xdr:row>110</xdr:row>
      <xdr:rowOff>154781</xdr:rowOff>
    </xdr:from>
    <xdr:to>
      <xdr:col>6</xdr:col>
      <xdr:colOff>321468</xdr:colOff>
      <xdr:row>129</xdr:row>
      <xdr:rowOff>71437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619123</xdr:colOff>
      <xdr:row>110</xdr:row>
      <xdr:rowOff>170260</xdr:rowOff>
    </xdr:from>
    <xdr:to>
      <xdr:col>13</xdr:col>
      <xdr:colOff>250030</xdr:colOff>
      <xdr:row>129</xdr:row>
      <xdr:rowOff>59531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537883</xdr:colOff>
      <xdr:row>71</xdr:row>
      <xdr:rowOff>190500</xdr:rowOff>
    </xdr:from>
    <xdr:to>
      <xdr:col>6</xdr:col>
      <xdr:colOff>22412</xdr:colOff>
      <xdr:row>134</xdr:row>
      <xdr:rowOff>178173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571499</xdr:colOff>
      <xdr:row>74</xdr:row>
      <xdr:rowOff>56030</xdr:rowOff>
    </xdr:from>
    <xdr:to>
      <xdr:col>10</xdr:col>
      <xdr:colOff>392205</xdr:colOff>
      <xdr:row>134</xdr:row>
      <xdr:rowOff>648821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403412</xdr:colOff>
      <xdr:row>74</xdr:row>
      <xdr:rowOff>145676</xdr:rowOff>
    </xdr:from>
    <xdr:to>
      <xdr:col>13</xdr:col>
      <xdr:colOff>649941</xdr:colOff>
      <xdr:row>134</xdr:row>
      <xdr:rowOff>738467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750794</xdr:colOff>
      <xdr:row>66</xdr:row>
      <xdr:rowOff>179294</xdr:rowOff>
    </xdr:from>
    <xdr:to>
      <xdr:col>13</xdr:col>
      <xdr:colOff>627530</xdr:colOff>
      <xdr:row>79</xdr:row>
      <xdr:rowOff>178174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537883</xdr:colOff>
      <xdr:row>71</xdr:row>
      <xdr:rowOff>190500</xdr:rowOff>
    </xdr:from>
    <xdr:to>
      <xdr:col>6</xdr:col>
      <xdr:colOff>22412</xdr:colOff>
      <xdr:row>134</xdr:row>
      <xdr:rowOff>178173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571499</xdr:colOff>
      <xdr:row>74</xdr:row>
      <xdr:rowOff>56030</xdr:rowOff>
    </xdr:from>
    <xdr:to>
      <xdr:col>10</xdr:col>
      <xdr:colOff>392205</xdr:colOff>
      <xdr:row>134</xdr:row>
      <xdr:rowOff>648821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403412</xdr:colOff>
      <xdr:row>74</xdr:row>
      <xdr:rowOff>145676</xdr:rowOff>
    </xdr:from>
    <xdr:to>
      <xdr:col>13</xdr:col>
      <xdr:colOff>649941</xdr:colOff>
      <xdr:row>134</xdr:row>
      <xdr:rowOff>738467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750794</xdr:colOff>
      <xdr:row>66</xdr:row>
      <xdr:rowOff>179294</xdr:rowOff>
    </xdr:from>
    <xdr:to>
      <xdr:col>13</xdr:col>
      <xdr:colOff>627530</xdr:colOff>
      <xdr:row>79</xdr:row>
      <xdr:rowOff>178174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537883</xdr:colOff>
      <xdr:row>71</xdr:row>
      <xdr:rowOff>190500</xdr:rowOff>
    </xdr:from>
    <xdr:to>
      <xdr:col>6</xdr:col>
      <xdr:colOff>22412</xdr:colOff>
      <xdr:row>134</xdr:row>
      <xdr:rowOff>178173</xdr:rowOff>
    </xdr:to>
    <xdr:graphicFrame macro="">
      <xdr:nvGraphicFramePr>
        <xdr:cNvPr id="43" name="Graphiqu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571499</xdr:colOff>
      <xdr:row>74</xdr:row>
      <xdr:rowOff>56030</xdr:rowOff>
    </xdr:from>
    <xdr:to>
      <xdr:col>10</xdr:col>
      <xdr:colOff>392205</xdr:colOff>
      <xdr:row>134</xdr:row>
      <xdr:rowOff>648821</xdr:rowOff>
    </xdr:to>
    <xdr:graphicFrame macro="">
      <xdr:nvGraphicFramePr>
        <xdr:cNvPr id="44" name="Graphiqu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403412</xdr:colOff>
      <xdr:row>74</xdr:row>
      <xdr:rowOff>145676</xdr:rowOff>
    </xdr:from>
    <xdr:to>
      <xdr:col>13</xdr:col>
      <xdr:colOff>649941</xdr:colOff>
      <xdr:row>134</xdr:row>
      <xdr:rowOff>738467</xdr:rowOff>
    </xdr:to>
    <xdr:graphicFrame macro="">
      <xdr:nvGraphicFramePr>
        <xdr:cNvPr id="45" name="Graphiqu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750794</xdr:colOff>
      <xdr:row>66</xdr:row>
      <xdr:rowOff>179294</xdr:rowOff>
    </xdr:from>
    <xdr:to>
      <xdr:col>13</xdr:col>
      <xdr:colOff>627530</xdr:colOff>
      <xdr:row>79</xdr:row>
      <xdr:rowOff>178174</xdr:rowOff>
    </xdr:to>
    <xdr:graphicFrame macro="">
      <xdr:nvGraphicFramePr>
        <xdr:cNvPr id="46" name="Graphiqu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1647030</xdr:colOff>
      <xdr:row>46</xdr:row>
      <xdr:rowOff>176211</xdr:rowOff>
    </xdr:from>
    <xdr:to>
      <xdr:col>9</xdr:col>
      <xdr:colOff>631031</xdr:colOff>
      <xdr:row>56</xdr:row>
      <xdr:rowOff>142874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178593</xdr:colOff>
      <xdr:row>50</xdr:row>
      <xdr:rowOff>190500</xdr:rowOff>
    </xdr:from>
    <xdr:to>
      <xdr:col>3</xdr:col>
      <xdr:colOff>763633</xdr:colOff>
      <xdr:row>55</xdr:row>
      <xdr:rowOff>245285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184896</xdr:colOff>
      <xdr:row>45</xdr:row>
      <xdr:rowOff>112059</xdr:rowOff>
    </xdr:from>
    <xdr:to>
      <xdr:col>11</xdr:col>
      <xdr:colOff>515470</xdr:colOff>
      <xdr:row>60</xdr:row>
      <xdr:rowOff>33618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404814</xdr:colOff>
      <xdr:row>64</xdr:row>
      <xdr:rowOff>83345</xdr:rowOff>
    </xdr:from>
    <xdr:to>
      <xdr:col>6</xdr:col>
      <xdr:colOff>464343</xdr:colOff>
      <xdr:row>82</xdr:row>
      <xdr:rowOff>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845342</xdr:colOff>
      <xdr:row>64</xdr:row>
      <xdr:rowOff>86913</xdr:rowOff>
    </xdr:from>
    <xdr:to>
      <xdr:col>12</xdr:col>
      <xdr:colOff>642936</xdr:colOff>
      <xdr:row>81</xdr:row>
      <xdr:rowOff>166686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428624</xdr:colOff>
      <xdr:row>83</xdr:row>
      <xdr:rowOff>110727</xdr:rowOff>
    </xdr:from>
    <xdr:to>
      <xdr:col>6</xdr:col>
      <xdr:colOff>440531</xdr:colOff>
      <xdr:row>101</xdr:row>
      <xdr:rowOff>11906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184896</xdr:colOff>
      <xdr:row>45</xdr:row>
      <xdr:rowOff>112059</xdr:rowOff>
    </xdr:from>
    <xdr:to>
      <xdr:col>13</xdr:col>
      <xdr:colOff>515470</xdr:colOff>
      <xdr:row>60</xdr:row>
      <xdr:rowOff>33618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149177</xdr:colOff>
      <xdr:row>45</xdr:row>
      <xdr:rowOff>112059</xdr:rowOff>
    </xdr:from>
    <xdr:to>
      <xdr:col>13</xdr:col>
      <xdr:colOff>479751</xdr:colOff>
      <xdr:row>60</xdr:row>
      <xdr:rowOff>33618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488157</xdr:colOff>
      <xdr:row>44</xdr:row>
      <xdr:rowOff>107156</xdr:rowOff>
    </xdr:from>
    <xdr:to>
      <xdr:col>12</xdr:col>
      <xdr:colOff>642936</xdr:colOff>
      <xdr:row>60</xdr:row>
      <xdr:rowOff>154782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952500</xdr:colOff>
      <xdr:row>83</xdr:row>
      <xdr:rowOff>108857</xdr:rowOff>
    </xdr:from>
    <xdr:to>
      <xdr:col>13</xdr:col>
      <xdr:colOff>379299</xdr:colOff>
      <xdr:row>101</xdr:row>
      <xdr:rowOff>10036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465043</xdr:colOff>
      <xdr:row>66</xdr:row>
      <xdr:rowOff>56030</xdr:rowOff>
    </xdr:from>
    <xdr:to>
      <xdr:col>6</xdr:col>
      <xdr:colOff>571500</xdr:colOff>
      <xdr:row>84</xdr:row>
      <xdr:rowOff>123264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818029</xdr:colOff>
      <xdr:row>66</xdr:row>
      <xdr:rowOff>45943</xdr:rowOff>
    </xdr:from>
    <xdr:to>
      <xdr:col>13</xdr:col>
      <xdr:colOff>106456</xdr:colOff>
      <xdr:row>84</xdr:row>
      <xdr:rowOff>78440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448235</xdr:colOff>
      <xdr:row>86</xdr:row>
      <xdr:rowOff>22411</xdr:rowOff>
    </xdr:from>
    <xdr:to>
      <xdr:col>6</xdr:col>
      <xdr:colOff>571501</xdr:colOff>
      <xdr:row>104</xdr:row>
      <xdr:rowOff>33616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13607</xdr:colOff>
      <xdr:row>44</xdr:row>
      <xdr:rowOff>145595</xdr:rowOff>
    </xdr:from>
    <xdr:to>
      <xdr:col>13</xdr:col>
      <xdr:colOff>54428</xdr:colOff>
      <xdr:row>63</xdr:row>
      <xdr:rowOff>13607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816430</xdr:colOff>
      <xdr:row>86</xdr:row>
      <xdr:rowOff>36738</xdr:rowOff>
    </xdr:from>
    <xdr:to>
      <xdr:col>13</xdr:col>
      <xdr:colOff>149678</xdr:colOff>
      <xdr:row>104</xdr:row>
      <xdr:rowOff>40822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462643</xdr:colOff>
      <xdr:row>44</xdr:row>
      <xdr:rowOff>142875</xdr:rowOff>
    </xdr:from>
    <xdr:to>
      <xdr:col>13</xdr:col>
      <xdr:colOff>54428</xdr:colOff>
      <xdr:row>64</xdr:row>
      <xdr:rowOff>166688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440530</xdr:colOff>
      <xdr:row>68</xdr:row>
      <xdr:rowOff>39289</xdr:rowOff>
    </xdr:from>
    <xdr:to>
      <xdr:col>6</xdr:col>
      <xdr:colOff>380998</xdr:colOff>
      <xdr:row>85</xdr:row>
      <xdr:rowOff>119061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690562</xdr:colOff>
      <xdr:row>68</xdr:row>
      <xdr:rowOff>27382</xdr:rowOff>
    </xdr:from>
    <xdr:to>
      <xdr:col>13</xdr:col>
      <xdr:colOff>232171</xdr:colOff>
      <xdr:row>85</xdr:row>
      <xdr:rowOff>95248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86</xdr:row>
      <xdr:rowOff>190499</xdr:rowOff>
    </xdr:from>
    <xdr:to>
      <xdr:col>6</xdr:col>
      <xdr:colOff>392905</xdr:colOff>
      <xdr:row>104</xdr:row>
      <xdr:rowOff>107156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707572</xdr:colOff>
      <xdr:row>86</xdr:row>
      <xdr:rowOff>172809</xdr:rowOff>
    </xdr:from>
    <xdr:to>
      <xdr:col>13</xdr:col>
      <xdr:colOff>258536</xdr:colOff>
      <xdr:row>104</xdr:row>
      <xdr:rowOff>68035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scope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_DR"/>
      <sheetName val="BILAN_LANDES"/>
      <sheetName val="BILAN_PA"/>
      <sheetName val="BILAN_HP"/>
      <sheetName val="Janv"/>
      <sheetName val="Fev"/>
      <sheetName val="Mars"/>
      <sheetName val="Avr"/>
      <sheetName val="Mai"/>
      <sheetName val="Juin"/>
      <sheetName val="Juill"/>
      <sheetName val="Aout"/>
      <sheetName val="Sept"/>
      <sheetName val="Oct"/>
      <sheetName val="Nov"/>
      <sheetName val="Dec"/>
    </sheetNames>
    <sheetDataSet>
      <sheetData sheetId="0">
        <row r="25">
          <cell r="E25">
            <v>17</v>
          </cell>
        </row>
        <row r="151">
          <cell r="P151">
            <v>483</v>
          </cell>
          <cell r="Q151">
            <v>151</v>
          </cell>
        </row>
      </sheetData>
      <sheetData sheetId="1">
        <row r="25">
          <cell r="E25">
            <v>7</v>
          </cell>
          <cell r="F25">
            <v>15</v>
          </cell>
          <cell r="G25">
            <v>34</v>
          </cell>
          <cell r="H25">
            <v>29</v>
          </cell>
          <cell r="I25">
            <v>4</v>
          </cell>
          <cell r="J25">
            <v>20</v>
          </cell>
          <cell r="K25">
            <v>10</v>
          </cell>
          <cell r="L25">
            <v>3</v>
          </cell>
          <cell r="M25">
            <v>0</v>
          </cell>
        </row>
        <row r="26">
          <cell r="E26">
            <v>9</v>
          </cell>
          <cell r="F26">
            <v>22</v>
          </cell>
          <cell r="G26">
            <v>53</v>
          </cell>
          <cell r="H26">
            <v>43</v>
          </cell>
          <cell r="I26">
            <v>7</v>
          </cell>
          <cell r="J26">
            <v>32</v>
          </cell>
          <cell r="K26">
            <v>13</v>
          </cell>
          <cell r="L26">
            <v>6</v>
          </cell>
          <cell r="M26">
            <v>2</v>
          </cell>
        </row>
        <row r="27">
          <cell r="E27">
            <v>6</v>
          </cell>
          <cell r="F27">
            <v>13</v>
          </cell>
          <cell r="G27">
            <v>21</v>
          </cell>
          <cell r="H27">
            <v>19</v>
          </cell>
          <cell r="I27">
            <v>0</v>
          </cell>
          <cell r="J27">
            <v>8</v>
          </cell>
          <cell r="K27">
            <v>13</v>
          </cell>
          <cell r="L27">
            <v>0</v>
          </cell>
          <cell r="M27">
            <v>0</v>
          </cell>
        </row>
        <row r="28">
          <cell r="E28">
            <v>10</v>
          </cell>
          <cell r="F28">
            <v>21</v>
          </cell>
          <cell r="G28">
            <v>22</v>
          </cell>
          <cell r="H28">
            <v>22</v>
          </cell>
          <cell r="I28">
            <v>0</v>
          </cell>
          <cell r="J28">
            <v>9</v>
          </cell>
          <cell r="K28">
            <v>13</v>
          </cell>
          <cell r="L28">
            <v>0</v>
          </cell>
          <cell r="M28">
            <v>0</v>
          </cell>
        </row>
      </sheetData>
      <sheetData sheetId="2">
        <row r="25">
          <cell r="E25">
            <v>5</v>
          </cell>
          <cell r="F25">
            <v>9</v>
          </cell>
          <cell r="G25">
            <v>60</v>
          </cell>
          <cell r="H25">
            <v>41</v>
          </cell>
          <cell r="I25">
            <v>19</v>
          </cell>
          <cell r="J25">
            <v>41</v>
          </cell>
          <cell r="K25">
            <v>17</v>
          </cell>
          <cell r="L25">
            <v>2</v>
          </cell>
          <cell r="M25">
            <v>0</v>
          </cell>
        </row>
        <row r="26">
          <cell r="E26">
            <v>11</v>
          </cell>
          <cell r="F26">
            <v>25</v>
          </cell>
          <cell r="G26">
            <v>107</v>
          </cell>
          <cell r="H26">
            <v>69</v>
          </cell>
          <cell r="I26">
            <v>37</v>
          </cell>
          <cell r="J26">
            <v>61</v>
          </cell>
          <cell r="K26">
            <v>29</v>
          </cell>
          <cell r="L26">
            <v>15</v>
          </cell>
          <cell r="M26">
            <v>2</v>
          </cell>
        </row>
        <row r="27">
          <cell r="E27">
            <v>11</v>
          </cell>
          <cell r="F27">
            <v>22</v>
          </cell>
          <cell r="G27">
            <v>68</v>
          </cell>
          <cell r="H27">
            <v>53</v>
          </cell>
          <cell r="I27">
            <v>15</v>
          </cell>
          <cell r="J27">
            <v>42</v>
          </cell>
          <cell r="K27">
            <v>17</v>
          </cell>
          <cell r="L27">
            <v>8</v>
          </cell>
          <cell r="M27">
            <v>1</v>
          </cell>
        </row>
        <row r="28">
          <cell r="E28">
            <v>7</v>
          </cell>
          <cell r="F28">
            <v>17</v>
          </cell>
          <cell r="G28">
            <v>45</v>
          </cell>
          <cell r="H28">
            <v>30</v>
          </cell>
          <cell r="I28">
            <v>15</v>
          </cell>
          <cell r="J28">
            <v>34</v>
          </cell>
          <cell r="K28">
            <v>6</v>
          </cell>
          <cell r="L28">
            <v>4</v>
          </cell>
          <cell r="M28">
            <v>0</v>
          </cell>
        </row>
      </sheetData>
      <sheetData sheetId="3">
        <row r="25">
          <cell r="E25">
            <v>5</v>
          </cell>
          <cell r="F25">
            <v>21</v>
          </cell>
          <cell r="G25">
            <v>53</v>
          </cell>
          <cell r="H25">
            <v>44</v>
          </cell>
          <cell r="I25">
            <v>9</v>
          </cell>
          <cell r="J25">
            <v>40</v>
          </cell>
          <cell r="K25">
            <v>12</v>
          </cell>
          <cell r="L25">
            <v>1</v>
          </cell>
          <cell r="M25">
            <v>0</v>
          </cell>
        </row>
        <row r="26">
          <cell r="E26">
            <v>10</v>
          </cell>
          <cell r="F26">
            <v>39</v>
          </cell>
          <cell r="G26">
            <v>87</v>
          </cell>
          <cell r="H26">
            <v>55</v>
          </cell>
          <cell r="I26">
            <v>30</v>
          </cell>
          <cell r="J26">
            <v>53</v>
          </cell>
          <cell r="K26">
            <v>30</v>
          </cell>
          <cell r="L26">
            <v>4</v>
          </cell>
          <cell r="M26">
            <v>0</v>
          </cell>
        </row>
        <row r="27">
          <cell r="E27">
            <v>8</v>
          </cell>
          <cell r="F27">
            <v>30</v>
          </cell>
          <cell r="G27">
            <v>55</v>
          </cell>
          <cell r="H27">
            <v>46</v>
          </cell>
          <cell r="I27">
            <v>9</v>
          </cell>
          <cell r="J27">
            <v>40</v>
          </cell>
          <cell r="K27">
            <v>15</v>
          </cell>
          <cell r="L27">
            <v>0</v>
          </cell>
          <cell r="M27">
            <v>0</v>
          </cell>
        </row>
        <row r="28">
          <cell r="E28">
            <v>8</v>
          </cell>
          <cell r="F28">
            <v>22</v>
          </cell>
          <cell r="G28">
            <v>38</v>
          </cell>
          <cell r="H28">
            <v>32</v>
          </cell>
          <cell r="I28">
            <v>6</v>
          </cell>
          <cell r="J28">
            <v>33</v>
          </cell>
          <cell r="K28">
            <v>4</v>
          </cell>
          <cell r="L28">
            <v>0</v>
          </cell>
          <cell r="M2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vinet.com/similaires/landes-nbsp-cigogneaux-bagu-eacute-s-saut-nid/55183159" TargetMode="External"/><Relationship Id="rId21" Type="http://schemas.openxmlformats.org/officeDocument/2006/relationships/hyperlink" Target="https://www.sudouest.fr/2020/06/11/tarnos-40-un-automobiliste-termine-sa-course-dans-un-poste-electrique-7556292-3566.php" TargetMode="External"/><Relationship Id="rId42" Type="http://schemas.openxmlformats.org/officeDocument/2006/relationships/hyperlink" Target="file:///\\Ntkd0\co\ZE0SF000\ENEDIS_COMMUNICATION_PYRENEES_LANDES\Relations%20presses\Mediascope%20-%20kantarmedia\Articles%20presse\2020\JUIN\2020-06-18%20-%20La%20r&#233;publique%20des%20pyr&#233;n&#233;es%20-%20les%20f&#234;tes%20de%20la%20Saint-Jean%20annul&#233;s.pdf" TargetMode="External"/><Relationship Id="rId47" Type="http://schemas.openxmlformats.org/officeDocument/2006/relationships/hyperlink" Target="http://www.tarbes-infos.com/spip.php?article27486" TargetMode="External"/><Relationship Id="rId63" Type="http://schemas.openxmlformats.org/officeDocument/2006/relationships/hyperlink" Target="file:///\\Ntkd0\co\ZE0SF000\ENEDIS_COMMUNICATION_PYRENEES_LANDES\Relations%20presses\Mediascope%20-%20kantarmedia\Articles%20presse\2020\JUIN\2020-06-26%20-%20Courrier%20fran&#231;ais%20des%20landes%20-%20coupure%20.pdf" TargetMode="External"/><Relationship Id="rId68" Type="http://schemas.openxmlformats.org/officeDocument/2006/relationships/hyperlink" Target="https://www.mediabask.eus/eu/info_mbsk/20200626/enedis-recrute-27-apprentis" TargetMode="External"/><Relationship Id="rId84" Type="http://schemas.openxmlformats.org/officeDocument/2006/relationships/hyperlink" Target="file:///\\Ntkd0\co\ZE0SF000\ENEDIS_COMMUNICATION_PYRENEES_LANDES\Relations%20presses\Mediascope%20-%20kantarmedia\Articles%20presse\2020\JUIN\2020-06-12%20-%20France%20Bleu%20Gascogne%20-%201500%20foyers%20priv&#233;s%20d'&#233;lectricit&#233;%20&#224;%20Tarnos.pdf" TargetMode="External"/><Relationship Id="rId16" Type="http://schemas.openxmlformats.org/officeDocument/2006/relationships/hyperlink" Target="https://france3-regions.francetvinfo.fr/nouvelle-aquitaine/landes/landes-deux-bebes-famille-cigognes-installee-yzosse-ont-ete-bagues-1837040.html" TargetMode="External"/><Relationship Id="rId11" Type="http://schemas.openxmlformats.org/officeDocument/2006/relationships/hyperlink" Target="file:///\\Ntkd0\co\ZE0SF000\ENEDIS_COMMUNICATION_PYRENEES_LANDES\Relations%20presses\Mediascope%20-%20kantarmedia\Articles%20presse\2020\JUIN\2020-06-03%20-%20La%20republique%20des%20pyr&#233;n&#233;es%20-%20L'action%20collective%20des%20243%20anti%20linky%20.pdf" TargetMode="External"/><Relationship Id="rId32" Type="http://schemas.openxmlformats.org/officeDocument/2006/relationships/hyperlink" Target="file:///\\Ntkd0\co\ZE0SF000\ENEDIS_COMMUNICATION_PYRENEES_LANDES\Relations%20presses\Mediascope%20-%20kantarmedia\Articles%20presse\2020\JUIN\2020-06-15%20-%20La%20d&#233;p&#234;che%20-%20Sylvain%20Vidal%20nouveau%20d&#233;l&#233;gu&#233;%20r&#233;gional%20d'EDF%20Occitabnie%20.pdf" TargetMode="External"/><Relationship Id="rId37" Type="http://schemas.openxmlformats.org/officeDocument/2006/relationships/hyperlink" Target="file:///\\Ntkd0\co\ZE0SF000\ENEDIS_COMMUNICATION_PYRENEES_LANDES\Relations%20presses\Mediascope%20-%20kantarmedia\Articles%20presse\2020\JUIN\2020-06-18%20-%20La%20d&#233;p&#234;che%20-%20Sport%20et%20sant&#233;,%20un%20concept%20innovant.pdf" TargetMode="External"/><Relationship Id="rId53" Type="http://schemas.openxmlformats.org/officeDocument/2006/relationships/hyperlink" Target="https://www.ladepeche.fr/2020/06/24/en-quete-de-consensus,8946649.php" TargetMode="External"/><Relationship Id="rId58" Type="http://schemas.openxmlformats.org/officeDocument/2006/relationships/hyperlink" Target="file:///\\Ntkd0\co\ZE0SF000\ENEDIS_COMMUNICATION_PYRENEES_LANDES\Relations%20presses\Mediascope%20-%20kantarmedia\Articles%20presse\2020\JUIN\2020-06-30%20-%20La%20r&#233;publique%20des%20pyr&#233;n&#233;es%20-%20Saint-Faust%20Chantier.pdf" TargetMode="External"/><Relationship Id="rId74" Type="http://schemas.openxmlformats.org/officeDocument/2006/relationships/hyperlink" Target="file:///\\Ntkd0\co\ZE0SF000\ENEDIS_COMMUNICATION_PYRENEES_LANDES\Relations%20presses\Mediascope%20-%20kantarmedia\Articles%20presse\2020\JUIN\02-06-2020%20-%20France%20Bleu%20Gascogne%20-%20Dax.pdf" TargetMode="External"/><Relationship Id="rId79" Type="http://schemas.openxmlformats.org/officeDocument/2006/relationships/hyperlink" Target="file:///\\Ntkd0\co\ZE0SF000\ENEDIS_COMMUNICATION_PYRENEES_LANDES\Relations%20presses\Mediascope%20-%20kantarmedia\Articles%20presse\2020\JUIN\2020-06-03%20-%20FR3%20Aquitaine%20-%20Environnement%20des%20cigognes%20dans%20les%20Landes.pdf" TargetMode="External"/><Relationship Id="rId5" Type="http://schemas.openxmlformats.org/officeDocument/2006/relationships/hyperlink" Target="file:///\\Ntkd0\co\ZE0SF000\ENEDIS_COMMUNICATION_PYRENEES_LANDES\Relations%20presses\Mediascope%20-%20kantarmedia\Articles%20presse\2020\JUIN\2020-06-02%20-%20Sud%20Ouest%20-%20Linky%20un%20indic%20dans%20la%20maison.pdf" TargetMode="External"/><Relationship Id="rId19" Type="http://schemas.openxmlformats.org/officeDocument/2006/relationships/hyperlink" Target="https://www.sudouest.fr/2020/06/09/coupure-d-electricite-a-ychoux-et-parentis-40-jusqu-a-3-000-clients-touches-7550857-3583.php" TargetMode="External"/><Relationship Id="rId14" Type="http://schemas.openxmlformats.org/officeDocument/2006/relationships/hyperlink" Target="file:///\\Ntkd0\co\ZE0SF000\ENEDIS_COMMUNICATION_PYRENEES_LANDES\Relations%20presses\Mediascope%20-%20kantarmedia\Articles%20presse\2020\JUIN\2020-06-03%20-%20La%20nouvelle%20r&#233;publique%20des%20pyr&#233;n&#233;es%20-%20Linky%20hier%20&#224;%20Tarbes%20l'initiative%20de%20plus%20de%20200%20plaignants.pdf" TargetMode="External"/><Relationship Id="rId22" Type="http://schemas.openxmlformats.org/officeDocument/2006/relationships/hyperlink" Target="https://www.francebleu.fr/infos/faits-divers-justice/tarnos-une-voiture-percute-un-transformateur-electrique-jusqu-a-1500-foyers-sans-lumiere-1591867066" TargetMode="External"/><Relationship Id="rId27" Type="http://schemas.openxmlformats.org/officeDocument/2006/relationships/hyperlink" Target="file:///\\Ntkd0\co\ZE0SF000\ENEDIS_COMMUNICATION_PYRENEES_LANDES\Relations%20presses\Mediascope%20-%20kantarmedia\Articles%20presse\2020\JUIN\2020-06-03%20-%20La%20nouvelle%20r&#233;publique%20des%20pyr&#233;en&#233;es%20-%20Les%20opposants%20au%20compteur%20Linky%20au%20tribunal%20.pdf" TargetMode="External"/><Relationship Id="rId30" Type="http://schemas.openxmlformats.org/officeDocument/2006/relationships/hyperlink" Target="https://www.alvinet.com/similaires/tarnos-40-un-automobiliste-termine-sa-course-dans-un-poste-electrique/55226159" TargetMode="External"/><Relationship Id="rId35" Type="http://schemas.openxmlformats.org/officeDocument/2006/relationships/hyperlink" Target="https://www.lejournaldesentreprises.com/toulouse/breve/sylvain-vidal-nouveau-delegue-regional-dedf-en-occitanie-503439" TargetMode="External"/><Relationship Id="rId43" Type="http://schemas.openxmlformats.org/officeDocument/2006/relationships/hyperlink" Target="https://landesinfo.net/06/09/a-ychoux-et-parentis-une-coupure-delectricite-environ-3000-clients-touches/3098" TargetMode="External"/><Relationship Id="rId48" Type="http://schemas.openxmlformats.org/officeDocument/2006/relationships/hyperlink" Target="file:///\\Ntkd0\co\ZE0SF000\ENEDIS_COMMUNICATION_PYRENEES_LANDES\Relations%20presses\Mediascope%20-%20kantarmedia\Articles%20presse\2020\JUIN\2020-06-24%20-%20Sud%20Ouest%20B&#233;arn%20-%2027%20alternants%20recherch&#233;s%20chez%20Enedis%20.pdf" TargetMode="External"/><Relationship Id="rId56" Type="http://schemas.openxmlformats.org/officeDocument/2006/relationships/hyperlink" Target="file:///\\Ntkd0\co\ZE0SF000\ENEDIS_COMMUNICATION_PYRENEES_LANDES\Relations%20presses\Mediascope%20-%20kantarmedia\Articles%20presse\2020\JUIN\2020-06-30%20-%20La%20depeche%20-%20Des%20travaux%20d&#8217;Enedis%20sur%20le%20r&#233;seau%20entra&#238;neront%20des%20coupures%20d&#8217;&#233;lectricit&#233;%20jeudi%2023%20juillet,.pdf" TargetMode="External"/><Relationship Id="rId64" Type="http://schemas.openxmlformats.org/officeDocument/2006/relationships/hyperlink" Target="file:///\\Ntkd0\co\ZE0SF000\ENEDIS_COMMUNICATION_PYRENEES_LANDES\Relations%20presses\Mediascope%20-%20kantarmedia\Articles%20presse\2020\JUIN\2020-06-26%20-%20La%20d&#233;p&#234;che%20-%20La%20foudre%20s&#8217;abat%20sur%20une%20maison%20&#224;%20Ast&#233;.pdf" TargetMode="External"/><Relationship Id="rId69" Type="http://schemas.openxmlformats.org/officeDocument/2006/relationships/hyperlink" Target="https://www.mediabask.eus/eu/info_mbsk/20200626/enedis-recrute-27-apprentis" TargetMode="External"/><Relationship Id="rId77" Type="http://schemas.openxmlformats.org/officeDocument/2006/relationships/hyperlink" Target="file:///\\Ntkd0\co\ZE0SF000\ENEDIS_COMMUNICATION_PYRENEES_LANDES\Relations%20presses\Mediascope%20-%20kantarmedia\Articles%20presse\2020\JUIN\2020-06-04%20-%20La%20semaine%20des%20pyr&#233;n&#233;es%20-%20Enedis%20investit.pdf" TargetMode="External"/><Relationship Id="rId8" Type="http://schemas.openxmlformats.org/officeDocument/2006/relationships/hyperlink" Target="file:///\\Ntkd0\co\ZE0SF000\ENEDIS_COMMUNICATION_PYRENEES_LANDES\Relations%20presses\Mediascope%20-%20kantarmedia\Articles%20presse\2020\JUIN\2020-06-04-%20Le%20Petit%20Journal%20-%20ARAGNOUET.%20Vall&#233;e%20d'Aure%20%20Enedis%20fait%20disparaitre%202%20km%20de%20lignes.pdf" TargetMode="External"/><Relationship Id="rId51" Type="http://schemas.openxmlformats.org/officeDocument/2006/relationships/hyperlink" Target="file:///\\Ntkd0\co\ZE0SF000\ENEDIS_COMMUNICATION_PYRENEES_LANDES\Relations%20presses\Mediascope%20-%20kantarmedia\Articles%20presse\2020\JUIN\2020-06-23%20-%20La%20r&#233;publique%20des%20pyr&#233;n&#233;es%20-%20Enedis%20recrute%2027%20alternants%20.pdf" TargetMode="External"/><Relationship Id="rId72" Type="http://schemas.openxmlformats.org/officeDocument/2006/relationships/hyperlink" Target="file:///\\Ntkd0\co\ZE0SF000\ENEDIS_COMMUNICATION_PYRENEES_LANDES\Relations%20presses\Mediascope%20-%20kantarmedia\Articles%20presse\2020\JUIN\2020-06-27-%20La%20d&#233;p&#234;che-%20Foudre,%20gr&#234;le%20et%20pluies%20%20la%20temp&#234;te%20a%20laiss&#233;%20des%20traces.pdf" TargetMode="External"/><Relationship Id="rId80" Type="http://schemas.openxmlformats.org/officeDocument/2006/relationships/hyperlink" Target="file:///\\Ntkd0\co\ZE0SF000\ENEDIS_COMMUNICATION_PYRENEES_LANDES\Relations%20presses\Mediascope%20-%20kantarmedia\Articles%20presse\2020\JUIN\2020-06-09%20-%20France%20Bleu%20Gascogne%20-%20Parentis%20foyers%20priv&#233;s%20de%20courant.pdf" TargetMode="External"/><Relationship Id="rId85" Type="http://schemas.openxmlformats.org/officeDocument/2006/relationships/hyperlink" Target="file:///\\Ntkd0\co\ZE0SF000\ENEDIS_COMMUNICATION_PYRENEES_LANDES\Relations%20presses\Mediascope%20-%20kantarmedia\Articles%20presse\2020\JUIN\2020-06-23%20-%20France%20Bleu%20B&#233;arn%20-27%20offres%20d'emploi%20en%20alternance%20pourvus.pdf" TargetMode="External"/><Relationship Id="rId3" Type="http://schemas.openxmlformats.org/officeDocument/2006/relationships/hyperlink" Target="file:///\\Ntkd0\co\ZE0SF000\ENEDIS_COMMUNICATION_PYRENEES_LANDES\Relations%20presses\CP-DP%20DR%20PyL\65\Reseau\2020-06%20Enfouissement%20Luz%20-%20Grsut\2020-05CP%20enfouissement%20Vall&#233;e%20de%20Luz.pdf" TargetMode="External"/><Relationship Id="rId12" Type="http://schemas.openxmlformats.org/officeDocument/2006/relationships/hyperlink" Target="https://www.ladepeche.fr/2020/06/03/les-anti-linky-au-tribunal,8915033.php" TargetMode="External"/><Relationship Id="rId17" Type="http://schemas.openxmlformats.org/officeDocument/2006/relationships/hyperlink" Target="https://www.lechasseurfrancais.com/nature/landes-chasseurs-enedis-sauvent-couple-de-cigognes-permettent-a-2-cigogneaux-de-voir-jour-59663.html?fbclid=IwAR0hwQUATCZeRLNSOrnS3P7-usZTrlttqMzcZYqPru14Hw3wZvCB7umt7Ik" TargetMode="External"/><Relationship Id="rId25" Type="http://schemas.openxmlformats.org/officeDocument/2006/relationships/hyperlink" Target="https://flipboard.com/article/landes-des-cigogneaux-bagu-s-au-saut-du-nid/f-de79e2177a%2Fsudouest.fr" TargetMode="External"/><Relationship Id="rId33" Type="http://schemas.openxmlformats.org/officeDocument/2006/relationships/hyperlink" Target="https://www.ladepeche.fr/2020/06/15/sylvain-vidal-nouveau-delegue-regional-dedf-occitnaie,8933289.php" TargetMode="External"/><Relationship Id="rId38" Type="http://schemas.openxmlformats.org/officeDocument/2006/relationships/hyperlink" Target="https://www.ladepeche.fr/2020/06/18/sport-et-sante-un-concept-innovant,8937758.php" TargetMode="External"/><Relationship Id="rId46" Type="http://schemas.openxmlformats.org/officeDocument/2006/relationships/hyperlink" Target="http://ensemble19syndicat.centerblog.net/30084-27-alternants-recherches-chez-enedis" TargetMode="External"/><Relationship Id="rId59" Type="http://schemas.openxmlformats.org/officeDocument/2006/relationships/hyperlink" Target="file:///\\Ntkd0\co\ZE0SF000\ENEDIS_COMMUNICATION_PYRENEES_LANDES\Relations%20presses\Mediascope%20-%20kantarmedia\Articles%20presse\2020\JUIN\2020-06-30-%20L'&#233;clair%20-%20PANNES%20DE%20COURANT%20DANS%20L&#8217;AGGLO%20%20PLUS%20DE%2025%20000%20CLIENTS%20TOUCH&#233;S.pdf" TargetMode="External"/><Relationship Id="rId67" Type="http://schemas.openxmlformats.org/officeDocument/2006/relationships/hyperlink" Target="https://www.ladepeche.fr/2020/06/26/la-foudre-sabat-sur-une-maison-a-aste,8950288.php" TargetMode="External"/><Relationship Id="rId20" Type="http://schemas.openxmlformats.org/officeDocument/2006/relationships/hyperlink" Target="file:///\\Ntkd0\co\ZE0SF000\ENEDIS_COMMUNICATION_PYRENEES_LANDES\Relations%20presses\Mediascope%20-%20kantarmedia\Articles%20presse\2020\JUIN\2020-06-10%20-%20Le%20petit%20journal%20-%20Enedis%20recrute%20des%20alternants%20pour%20la%20rentr&#233;e.pdf" TargetMode="External"/><Relationship Id="rId41" Type="http://schemas.openxmlformats.org/officeDocument/2006/relationships/hyperlink" Target="file:///\\Ntkd0\co\ZE0SF000\ENEDIS_COMMUNICATION_PYRENEES_LANDES\Relations%20presses\Mediascope%20-%20kantarmedia\Articles%20presse\2020\JUIN\2020-06-18%20-%20L'&#233;clair%20-%20Les%20f&#234;tes%20de%20la%20SAint-Jean%20annul&#233;s.pdf" TargetMode="External"/><Relationship Id="rId54" Type="http://schemas.openxmlformats.org/officeDocument/2006/relationships/hyperlink" Target="https://www.sudouest.fr/2020/06/29/agglo-de-pau-25-000-personnes-touchees-par-des-coupures-d-electricite-ce-lundi-7611063-4344.php" TargetMode="External"/><Relationship Id="rId62" Type="http://schemas.openxmlformats.org/officeDocument/2006/relationships/hyperlink" Target="https://www.sudouest.fr/2020/06/30/40-000-visieres-fabriquees-7612378-3960.php" TargetMode="External"/><Relationship Id="rId70" Type="http://schemas.openxmlformats.org/officeDocument/2006/relationships/hyperlink" Target="https://www.sudouest.fr/2020/06/27/la-renovation-du-fronton-est-lancee-7603028-4122.php" TargetMode="External"/><Relationship Id="rId75" Type="http://schemas.openxmlformats.org/officeDocument/2006/relationships/hyperlink" Target="file:///\\Ntkd0\co\ZE0SF000\ENEDIS_COMMUNICATION_PYRENEES_LANDES\Relations%20presses\Mediascope%20-%20kantarmedia\Articles%20presse\2020\JUIN\2020-06-08-%20Sud%20Ouest%20Landes%20-%20Bagu&#233;s%20au%20saut%20du%20nid%20-%20Copie.pdf" TargetMode="External"/><Relationship Id="rId83" Type="http://schemas.openxmlformats.org/officeDocument/2006/relationships/hyperlink" Target="file:///\\Ntkd0\co\ZE0SF000\ENEDIS_COMMUNICATION_PYRENEES_LANDES\Relations%20presses\Mediascope%20-%20kantarmedia\Articles%20presse\2020\JUIN\2020-06-11%20-%20France%20Bleu%20Gascogne%20-%20Un%20transformateur%20&#233;lectrique%20d&#233;truit%20&#224;%20Tarnos.pdf" TargetMode="External"/><Relationship Id="rId88" Type="http://schemas.openxmlformats.org/officeDocument/2006/relationships/printerSettings" Target="../printerSettings/printerSettings10.bin"/><Relationship Id="rId1" Type="http://schemas.openxmlformats.org/officeDocument/2006/relationships/hyperlink" Target="file:///\\Ntkd0\co\ZE0SF000\ENEDIS_COMMUNICATION_PYRENEES_LANDES\Gestion%20Ev&#233;nements%20climatiques_crise\Coronavirus-plan%20pand&#233;mie%20entreprise\PRA\PRA_EDL\2_juin_CP%20_Enedis_soutient%20la%20relance%20eco.docx" TargetMode="External"/><Relationship Id="rId6" Type="http://schemas.openxmlformats.org/officeDocument/2006/relationships/hyperlink" Target="http://www.benesse-maremne.fr/index.php/joomla/evenements/288-information-2" TargetMode="External"/><Relationship Id="rId15" Type="http://schemas.openxmlformats.org/officeDocument/2006/relationships/hyperlink" Target="https://www.haut-mauco.fr/Agenda-et-actualites/Les-actus-du-village/Deploiement-compteur-LINKY" TargetMode="External"/><Relationship Id="rId23" Type="http://schemas.openxmlformats.org/officeDocument/2006/relationships/hyperlink" Target="file:///\\Ntkd0\co\ZE0SF000\ENEDIS_COMMUNICATION_PYRENEES_LANDES\Relations%20presses\Mediascope%20-%20kantarmedia\Articles%20presse\2020\JUIN\2020-06-11%20-%20La%20semaine%20des%20pyr&#233;n&#233;es%20-%20Enedis%20recrute%20pour%20la%20rentr&#233;e%202020.pdf" TargetMode="External"/><Relationship Id="rId28" Type="http://schemas.openxmlformats.org/officeDocument/2006/relationships/hyperlink" Target="https://www.lasemainedespyrenees.fr/2020/06/03/bigorre-enedis-recrute-des-alternants-pour-la-rentree-2020/" TargetMode="External"/><Relationship Id="rId36" Type="http://schemas.openxmlformats.org/officeDocument/2006/relationships/hyperlink" Target="file:///\\Ntkd0\co\ZE0SF000\ENEDIS_COMMUNICATION_PYRENEES_LANDES\Relations%20presses\Mediascope%20-%20kantarmedia\Articles%20presse\2020\JUIN\2020-06-16%20-%20Flash%20Infos%20-%20Multi%20D&#233;partements.pdf" TargetMode="External"/><Relationship Id="rId49" Type="http://schemas.openxmlformats.org/officeDocument/2006/relationships/hyperlink" Target="https://www.maslacq.fr/a5857-21-06-enedis-27-postes-d-alternants.html" TargetMode="External"/><Relationship Id="rId57" Type="http://schemas.openxmlformats.org/officeDocument/2006/relationships/hyperlink" Target="file:///\\Ntkd0\co\ZE0SF000\ENEDIS_COMMUNICATION_PYRENEES_LANDES\Relations%20presses\Mediascope%20-%20kantarmedia\Articles%20presse\2020\JUIN\2020-06-30%20-%20L'&#233;clair%20-%20SAINT-FAUST%20Chantier%20de%20haut%20vol%20chemin%20de%20la%20Chapelle%20de%20Rousse.pdf" TargetMode="External"/><Relationship Id="rId10" Type="http://schemas.openxmlformats.org/officeDocument/2006/relationships/hyperlink" Target="file:///\\Ntkd0\co\ZE0SF000\ENEDIS_COMMUNICATION_PYRENEES_LANDES\Relations%20presses\Mediascope%20-%20kantarmedia\Articles%20presse\2020\JUIN\2020-06-03%20-%20L'&#233;clair%20des%20pyr&#233;n&#233;es%20-%20L'action%20collective%20des%20243%20anti%20linky%20.pdf" TargetMode="External"/><Relationship Id="rId31" Type="http://schemas.openxmlformats.org/officeDocument/2006/relationships/hyperlink" Target="file:///\\Ntkd0\co\ZE0SF000\ENEDIS_COMMUNICATION_PYRENEES_LANDES\Relations%20presses\Mediascope%20-%20kantarmedia\Articles%20presse\2020\JUIN\20-06-12%20-%20Sud%20Ouest%20Landes%20-%20Un%20automobiliste%20percute%20un%20poste%20&#233;l&#233;ctrique.pdf" TargetMode="External"/><Relationship Id="rId44" Type="http://schemas.openxmlformats.org/officeDocument/2006/relationships/hyperlink" Target="https://www.sudouest.fr/2020/06/20/landes-et-pyrenees-atlantiques-27-alternants-recherches-chez-enedis-7582234-3452.php" TargetMode="External"/><Relationship Id="rId52" Type="http://schemas.openxmlformats.org/officeDocument/2006/relationships/hyperlink" Target="file:///\\Ntkd0\co\ZE0SF000\ENEDIS_COMMUNICATION_PYRENEES_LANDES\Relations%20presses\Mediascope%20-%20kantarmedia\Articles%20presse\2020\JUIN\2020-06-24-%20Le%20Petit%20Journal%20-%20Enedis%20face%20&#224;%20243%20plaignants,%20la%20suite.pdf" TargetMode="External"/><Relationship Id="rId60" Type="http://schemas.openxmlformats.org/officeDocument/2006/relationships/hyperlink" Target="file:///\\Ntkd0\co\ZE0SF000\ENEDIS_COMMUNICATION_PYRENEES_LANDES\Relations%20presses\Mediascope%20-%20kantarmedia\Articles%20presse\2020\JUIN\2020-06-30-%20La%20r&#233;publique%20des%20pyr&#233;n&#233;es%20-%20panne%20de%20courant%20DANS%20L&#8217;AGGLO%20%20PLUS%20DE%2025%20000%20CLIENTS%20TOUCH&#233;S%20.pdf" TargetMode="External"/><Relationship Id="rId65" Type="http://schemas.openxmlformats.org/officeDocument/2006/relationships/hyperlink" Target="file:///\\Ntkd0\co\ZE0SF000\ENEDIS_COMMUNICATION_PYRENEES_LANDES\Relations%20presses\Mediascope%20-%20kantarmedia\Articles%20presse\2020\JUIN\2020-06-26-%20La%20nouvelle%20r&#233;publique%20des%20pyr&#233;n&#233;es%20-%20La%20foudre%20s'abat%20sur%20une%20maison.pdf" TargetMode="External"/><Relationship Id="rId73" Type="http://schemas.openxmlformats.org/officeDocument/2006/relationships/hyperlink" Target="file:///\\Ntkd0\co\ZE0SF000\ENEDIS_COMMUNICATION_PYRENEES_LANDES\Relations%20presses\Mediascope%20-%20kantarmedia\Articles%20presse\2020\JUIN\01-06-2020%20-%20France%20Bleu%20Pays%20Basque%20-%20L'accident%20d'une%20jeune%20parapentiste.pdf" TargetMode="External"/><Relationship Id="rId78" Type="http://schemas.openxmlformats.org/officeDocument/2006/relationships/hyperlink" Target="file:///\\Ntkd0\co\ZE0SF000\ENEDIS_COMMUNICATION_PYRENEES_LANDES\Relations%20presses\Mediascope%20-%20kantarmedia\Articles%20presse\2020\JUIN\2020-06-30%20-%20La%20nouvelle%20r&#233;publique%20des%20pyr&#233;ne&#233;es%20-%20Des%20travaux%20d&#8217;Enedis%20sur%20le%20r&#233;seau%20entra&#238;neront%20des%20coupures%20d&#8217;&#233;lectricit&#233;.pd" TargetMode="External"/><Relationship Id="rId81" Type="http://schemas.openxmlformats.org/officeDocument/2006/relationships/hyperlink" Target="file:///\\Ntkd0\co\ZE0SF000\ENEDIS_COMMUNICATION_PYRENEES_LANDES\Relations%20presses\Mediascope%20-%20kantarmedia\Articles%20presse\2020\JUIN\2020-06-10%20-%20France%20Bleu%20Gascogne%20-%20Br&#232;ve%20foyers%20priv&#233;s%20de%20courant%20&#224;%20Ychoux%20et%20Parentis.pdf" TargetMode="External"/><Relationship Id="rId86" Type="http://schemas.openxmlformats.org/officeDocument/2006/relationships/hyperlink" Target="http://www.argeles-infos.com/spip.php?article3171" TargetMode="External"/><Relationship Id="rId4" Type="http://schemas.openxmlformats.org/officeDocument/2006/relationships/hyperlink" Target="file:///\\Ntkd0\co\ZE0SF000\ENEDIS_COMMUNICATION_PYRENEES_LANDES\Relations%20presses\CP-DP%20DR%20PyL\64\CP%202020\TR%20Sollicitations%20presse%20suite%20coupures%2029%20juin.msg" TargetMode="External"/><Relationship Id="rId9" Type="http://schemas.openxmlformats.org/officeDocument/2006/relationships/hyperlink" Target="file:///\\Ntkd0\co\ZE0SF000\ENEDIS_COMMUNICATION_PYRENEES_LANDES\Relations%20presses\Mediascope%20-%20kantarmedia\Articles%20presse\2020\JUIN\2020-06-01-%20Le%20Petit%20Journal%20-%20Linky%20plaignants.pdf" TargetMode="External"/><Relationship Id="rId13" Type="http://schemas.openxmlformats.org/officeDocument/2006/relationships/hyperlink" Target="file:///\\Ntkd0\co\ZE0SF000\ENEDIS_COMMUNICATION_PYRENEES_LANDES\Relations%20presses\Mediascope%20-%20kantarmedia\Articles%20presse\2020\JUIN\2020-06-03%20-%20La%20d&#234;peche%20-%20Les%20anti%20Linky%20au%20tribunal%20.pdf" TargetMode="External"/><Relationship Id="rId18" Type="http://schemas.openxmlformats.org/officeDocument/2006/relationships/hyperlink" Target="https://www.sudouest.fr/2020/06/08/bagues-au-saut-du-nida-gousse-trois-cigogneaux-7546447-3376.php" TargetMode="External"/><Relationship Id="rId39" Type="http://schemas.openxmlformats.org/officeDocument/2006/relationships/hyperlink" Target="file:///\\Ntkd0\co\ZE0SF000\ENEDIS_COMMUNICATION_PYRENEES_LANDES\Relations%20presses\Mediascope%20-%20kantarmedia\Articles%20presse\2020\JUIN\2020-06-18%20-%20La%20nouvelle%20r&#233;publique%20des%20pyr&#233;ne&#233;s%20-%20Sport%20et%20sant&#233;%20%20un%20concept%20innovant.pdf" TargetMode="External"/><Relationship Id="rId34" Type="http://schemas.openxmlformats.org/officeDocument/2006/relationships/hyperlink" Target="file:///\\Ntkd0\co\ZE0SF000\ENEDIS_COMMUNICATION_PYRENEES_LANDES\Relations%20presses\Mediascope%20-%20kantarmedia\Articles%20presse\2020\JUIN\2020%20-%2006%20-%2012%20-%20Sylvain%20Vidal,%20nouveau%20d&#233;l&#233;gu&#233;%20r&#233;gional%20EDF%20en%20Occitanie%20.pdf" TargetMode="External"/><Relationship Id="rId50" Type="http://schemas.openxmlformats.org/officeDocument/2006/relationships/hyperlink" Target="file:///\\Ntkd0\co\ZE0SF000\ENEDIS_COMMUNICATION_PYRENEES_LANDES\Relations%20presses\Mediascope%20-%20kantarmedia\Articles%20presse\2020\JUIN\2020-06-20%20-%20L'&#233;clair%20-%20Enedis%20recrute%2027%20alternants.pdf" TargetMode="External"/><Relationship Id="rId55" Type="http://schemas.openxmlformats.org/officeDocument/2006/relationships/hyperlink" Target="https://www.larepubliquedespyrenees.fr/2020/06/29/agglo-de-pau-plus-de-25000-clients-touches-par-des-coupures-d-electricite,2712823.php" TargetMode="External"/><Relationship Id="rId76" Type="http://schemas.openxmlformats.org/officeDocument/2006/relationships/hyperlink" Target="file:///\\Ntkd0\co\ZE0SF000\ENEDIS_COMMUNICATION_PYRENEES_LANDES\Relations%20presses\Mediascope%20-%20kantarmedia\Articles%20presse\2020\JUIN\2020-06-08-%20Le%20sillon%20-%20Les%20baguages%20sont%20fait%20pour%20deux%20cigogneaux%20en%20partance%20pour%20l'Afrique.pdf" TargetMode="External"/><Relationship Id="rId7" Type="http://schemas.openxmlformats.org/officeDocument/2006/relationships/hyperlink" Target="file:///\\Ntkd0\co\ZE0SF000\ENEDIS_COMMUNICATION_PYRENEES_LANDES\Relations%20presses\Mediascope%20-%20kantarmedia\Articles%20presse\2020\JUIN\2020-06-04%20-%20Courrier%20fran&#231;ais%20-%20Travaux%20d&#8217;&#233;lagage.pdf" TargetMode="External"/><Relationship Id="rId71" Type="http://schemas.openxmlformats.org/officeDocument/2006/relationships/hyperlink" Target="https://www.ladepeche.fr/2020/06/27/trampoline-disparu-foudre-potager-abime-les-internautes-de-la-depeche-temoignent-sur-les-intemperies,8952406.php" TargetMode="External"/><Relationship Id="rId2" Type="http://schemas.openxmlformats.org/officeDocument/2006/relationships/hyperlink" Target="file:///\\Ntkd0\co\ZE0SF000\ENEDIS_COMMUNICATION_PYRENEES_LANDES\Relations%20presses\CP-DP%20DR%20PyL\transverse\RH\2020-05%20recrutements%20apprentis.pdf" TargetMode="External"/><Relationship Id="rId29" Type="http://schemas.openxmlformats.org/officeDocument/2006/relationships/hyperlink" Target="https://www.sudouest.fr/2020/06/11/tarnos-40-un-automobiliste-termine-sa-course-dans-un-poste-electrique-7556292-3566.php" TargetMode="External"/><Relationship Id="rId24" Type="http://schemas.openxmlformats.org/officeDocument/2006/relationships/hyperlink" Target="http://tarbes-infos.com/spip.php?article27339" TargetMode="External"/><Relationship Id="rId40" Type="http://schemas.openxmlformats.org/officeDocument/2006/relationships/hyperlink" Target="https://www.nrpyrenees.fr/2020/06/18/sport-et-sante-un-concept-innovant,8937433.php" TargetMode="External"/><Relationship Id="rId45" Type="http://schemas.openxmlformats.org/officeDocument/2006/relationships/hyperlink" Target="http://ensemble19syndicat.centerblog.net/30084-27-alternants-recherches-chez-enedis" TargetMode="External"/><Relationship Id="rId66" Type="http://schemas.openxmlformats.org/officeDocument/2006/relationships/hyperlink" Target="file:///\\Ntkd0\co\ZE0SF000\ENEDIS_COMMUNICATION_PYRENEES_LANDES\Relations%20presses\Mediascope%20-%20kantarmedia\Articles%20presse\2020\JUIN\2020-06-26-%20Sud%20Ouest%20Landes%20-%20des%20travaux%20d'eau%20us&#233;es.pdf" TargetMode="External"/><Relationship Id="rId87" Type="http://schemas.openxmlformats.org/officeDocument/2006/relationships/hyperlink" Target="https://www.lasemainedespyrenees.fr/2020/06/01/tarbes-compteurs-linky-243-plaignants-contre-enedis-le-2-juin/" TargetMode="External"/><Relationship Id="rId61" Type="http://schemas.openxmlformats.org/officeDocument/2006/relationships/hyperlink" Target="file:///\\Ntkd0\co\ZE0SF000\ENEDIS_COMMUNICATION_PYRENEES_LANDES\Relations%20presses\Mediascope%20-%20kantarmedia\Articles%20presse\2020\JUIN\2020-06-30-%20Sud%20Ouest%20B&#233;arn%20-%2040000%20visi&#232;res%20fabriqu&#233;es.pdf" TargetMode="External"/><Relationship Id="rId82" Type="http://schemas.openxmlformats.org/officeDocument/2006/relationships/hyperlink" Target="file:///\\Ntkd0\co\ZE0SF000\ENEDIS_COMMUNICATION_PYRENEES_LANDES\Relations%20presses\Mediascope%20-%20kantarmedia\Articles%20presse\2020\JUIN\2020-06-10%20-%20France%20bleu%20gascogne%20-%20les%203000%20clients%20priv&#233;s%20d'&#233;lectricit&#233;%20dans%20le%20secteur%20de%20Parentis%20bientot%20d&#233;pann&#233;s%20-%20Copie.pd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Ntkd0\co\ZE0SF000\ENEDIS_COMMUNICATION_PYRENEES_LANDES\Relations%20presses\Mediascope%20-%20kantarmedia\Articles%20presse\2020\JUILLET\2020-07-07%20-%20La%20d&#233;p&#234;che%20-%20Enedis%20innove%20dans%20les%20pyr&#233;n&#233;es.pdf" TargetMode="External"/><Relationship Id="rId18" Type="http://schemas.openxmlformats.org/officeDocument/2006/relationships/hyperlink" Target="https://www.sudouest.fr/2020/07/15/cote-sud-des-landes-les-panneaux-photovoltaiques-fleurissent-7661339-3452.php" TargetMode="External"/><Relationship Id="rId26" Type="http://schemas.openxmlformats.org/officeDocument/2006/relationships/hyperlink" Target="file:///\\Ntkd0\co\ZE0SF000\ENEDIS_COMMUNICATION_PYRENEES_LANDES\Relations%20presses\Mediascope%20-%20kantarmedia\Articles%20presse\2020\JUILLET\2020-07-23%20-%20Challenge%20p&#233;nitentiaire.pdf" TargetMode="External"/><Relationship Id="rId39" Type="http://schemas.openxmlformats.org/officeDocument/2006/relationships/hyperlink" Target="file:///\\Ntkd0\co\ZE0SF000\ENEDIS_COMMUNICATION_PYRENEES_LANDES\Relations%20presses\Mediascope%20-%20kantarmedia\Articles%20presse\2020\JUILLET\2020-07-31%20-%20La%20R&#233;publique%20des%20Pyr&#233;n&#233;es%20-%20Orages%20en%20B&#233;arn%20plus%20de%2013000%20foyers%20priv&#233;s%20d'&#233;lectricit&#233;.pdf" TargetMode="External"/><Relationship Id="rId21" Type="http://schemas.openxmlformats.org/officeDocument/2006/relationships/hyperlink" Target="https://www.larepubliquedespyrenees.fr/2020/07/19/la-direction-regionale-d-enedis-envisage-de-demenager-au-nord-de-pau,2718792.php" TargetMode="External"/><Relationship Id="rId34" Type="http://schemas.openxmlformats.org/officeDocument/2006/relationships/hyperlink" Target="https://www.larepubliquedespyrenees.fr/2020/07/24/rn-134-apres-les-derniers-accidents-des-controles-renforces-pour-les-camions,2720269.php" TargetMode="External"/><Relationship Id="rId42" Type="http://schemas.openxmlformats.org/officeDocument/2006/relationships/hyperlink" Target="file:///\\Ntkd0\co\ZE0SF000\ENEDIS_COMMUNICATION_PYRENEES_LANDES\Relations%20presses\Mediascope%20-%20kantarmedia\Articles%20presse\2020\JUILLET\2020-07-28%20-%20France%20Bleu%20Gascogne%20-%207500%20foyers%20priv&#233;s%20d'&#233;lectricit&#233;%20hier%20&#224;%20Dax%20et%20Saint%20Paul%20l&#232;s%20Dax.pdf" TargetMode="External"/><Relationship Id="rId47" Type="http://schemas.openxmlformats.org/officeDocument/2006/relationships/hyperlink" Target="https://www.facebook.com/xavier.laporte.1485/posts/1546028332231806?notif_id=1593686928914761&amp;notif_t=feedback_reaction_generic&amp;ref=notif" TargetMode="External"/><Relationship Id="rId50" Type="http://schemas.openxmlformats.org/officeDocument/2006/relationships/comments" Target="../comments7.xml"/><Relationship Id="rId7" Type="http://schemas.openxmlformats.org/officeDocument/2006/relationships/hyperlink" Target="https://www.lasemainedespyrenees.fr/2020/07/03/deveze-enedis-innove-pour-un-reseau-electrique-encore-plus-intelligent/" TargetMode="External"/><Relationship Id="rId2" Type="http://schemas.openxmlformats.org/officeDocument/2006/relationships/hyperlink" Target="file:///\\Ntkd0\co\ZE0SF000\ENEDIS_COMMUNICATION_PYRENEES_LANDES\Relations%20presses\Mediascope%20-%20kantarmedia\Articles%20presse\2020\JUILLET\2020-07-01%20-%20Le%20petit%20jounal%20-%20Retour%20sur%20les%20travaux%20de%20couverture%20.pdf" TargetMode="External"/><Relationship Id="rId16" Type="http://schemas.openxmlformats.org/officeDocument/2006/relationships/hyperlink" Target="https://www.sudouest.fr/2020/07/09/landes-enedis-verifie-les-lignes-electriques-en-helicoptere-7643239-3452.php" TargetMode="External"/><Relationship Id="rId29" Type="http://schemas.openxmlformats.org/officeDocument/2006/relationships/hyperlink" Target="https://www.sudouest.fr/2020/07/28/une-panne-d-electricite-en-cours-dans-l-agglomeration-de-dax-7699135-3350.php" TargetMode="External"/><Relationship Id="rId11" Type="http://schemas.openxmlformats.org/officeDocument/2006/relationships/hyperlink" Target="file:///\\Ntkd0\co\ZE0SF000\ENEDIS_COMMUNICATION_PYRENEES_LANDES\Relations%20presses\Mediascope%20-%20kantarmedia\Articles%20presse\2020\JUILLET\2020-07-06%20-%20La%20r&#233;publique%20des%20pyr&#233;n&#233;es%20-%20le%20plein%20de%20travaux.pdf" TargetMode="External"/><Relationship Id="rId24" Type="http://schemas.openxmlformats.org/officeDocument/2006/relationships/hyperlink" Target="file:///\\Ntkd0\co\ZE0SF000\ENEDIS_COMMUNICATION_PYRENEES_LANDES\Relations%20presses\Mediascope%20-%20kantarmedia\Articles%20presse\2020\JUILLET\2020-07-23%20-%20L'&#233;clair%20des%20pyr&#233;n&#233;es%20-%20RN%20134%20%20nouvel%20accident%20de%20camion,%20la%20route%20coup&#233;e.pdf" TargetMode="External"/><Relationship Id="rId32" Type="http://schemas.openxmlformats.org/officeDocument/2006/relationships/hyperlink" Target="file:///\\Ntkd0\co\ZE0SF000\ENEDIS_COMMUNICATION_PYRENEES_LANDES\Relations%20presses\Mediascope%20-%20kantarmedia\Articles%20presse\2020\JUILLET\2020-07-25%20-%20Le%20journal%20des%20entreprises%20-%20HMT%20d&#233;ploie%20ses%20exosquelettes%20dans%20les%20directions%20r&#233;gionales%20d'Enedis%20.pdf" TargetMode="External"/><Relationship Id="rId37" Type="http://schemas.openxmlformats.org/officeDocument/2006/relationships/hyperlink" Target="file:///\\Ntkd0\co\ZE0SF000\ENEDIS_COMMUNICATION_PYRENEES_LANDES\Relations%20presses\Mediascope%20-%20kantarmedia\Articles%20presse\2020\JUILLET\2020-07-31%20-%20France%20Bleu%20-%20Pas%20de%20gros%20d&#233;g&#226;ts%20apr&#232;s%20les%20orages%20et%20les%20vents%20violents.pdf" TargetMode="External"/><Relationship Id="rId40" Type="http://schemas.openxmlformats.org/officeDocument/2006/relationships/hyperlink" Target="file:///\\Ntkd0\co\ZE0SF000\ENEDIS_COMMUNICATION_PYRENEES_LANDES\Relations%20presses\Mediascope%20-%20kantarmedia\Articles%20presse\2020\JUILLET\2020-07-31%20-%20Sud%20Ouest%20-%20Orages%20en%20B&#233;arn%20encore%202500%20foyers%20priv&#233;s%20d'&#233;lectricit&#233;.pdf" TargetMode="External"/><Relationship Id="rId45" Type="http://schemas.openxmlformats.org/officeDocument/2006/relationships/hyperlink" Target="file:///\\Ntkd0\co\ZE0SF000\ENEDIS_COMMUNICATION_PYRENEES_LANDES\Relations%20presses\Mediascope%20-%20kantarmedia\Articles%20presse\2020\JUILLET\2020-07-31%20-%20France%20Bleu%20Gascogne%20-%20%5bBr&#232;ve%5d%20Orages%20_%203000%20foyers%20toujours%20priv&#233;s%20d'&#233;lectricit&#233;%20dans%20les%20Landes%20-%2010h.pdf" TargetMode="External"/><Relationship Id="rId5" Type="http://schemas.openxmlformats.org/officeDocument/2006/relationships/hyperlink" Target="https://www.ladepeche.fr/2020/07/07/enedis-innove-dans-les-hautes-pyrenees-8967243.php" TargetMode="External"/><Relationship Id="rId15" Type="http://schemas.openxmlformats.org/officeDocument/2006/relationships/hyperlink" Target="file:///\\Ntkd0\co\ZE0SF000\ENEDIS_COMMUNICATION_PYRENEES_LANDES\Relations%20presses\Mediascope%20-%20kantarmedia\Articles%20presse\2020\JUILLET\2020-07-13-%20Commune%20de%20SORE%20-%20Diagnostic%20en%20h&#233;licopt&#232;re%20des%20r&#233;seaux.pdf" TargetMode="External"/><Relationship Id="rId23" Type="http://schemas.openxmlformats.org/officeDocument/2006/relationships/hyperlink" Target="https://www.larepubliquedespyrenees.fr/2020/07/20/direct-video-suivez-le-conseil-d-agglo-a-partir-de-18h,2719065.php" TargetMode="External"/><Relationship Id="rId28" Type="http://schemas.openxmlformats.org/officeDocument/2006/relationships/hyperlink" Target="file:///\\Ntkd0\co\ZE0SF000\ENEDIS_COMMUNICATION_PYRENEES_LANDES\Relations%20presses\Mediascope%20-%20kantarmedia\Articles%20presse\2020\JUILLET\2020-07-24%20-%20EnergiePlus%20-%20Flexibilit&#233;s%20locales%20-%20Enedis%20ouvre%20deux%20nouvelles%20zones%20g&#233;ographiques.pdf" TargetMode="External"/><Relationship Id="rId36" Type="http://schemas.openxmlformats.org/officeDocument/2006/relationships/hyperlink" Target="file:///\\Ntkd0\co\ZE0SF000\ENEDIS_COMMUNICATION_PYRENEES_LANDES\Relations%20presses\Mediascope%20-%20kantarmedia\Articles%20presse\2020\JUILLET\2020-07-29%20-%20Sud%20Ouest%20Landes%20-%207500%20clients%20priv&#233;s%20d'&#233;lectricit&#233;.pdf" TargetMode="External"/><Relationship Id="rId49" Type="http://schemas.openxmlformats.org/officeDocument/2006/relationships/vmlDrawing" Target="../drawings/vmlDrawing7.vml"/><Relationship Id="rId10" Type="http://schemas.openxmlformats.org/officeDocument/2006/relationships/hyperlink" Target="file:///\\Ntkd0\co\ZE0SF000\ENEDIS_COMMUNICATION_PYRENEES_LANDES\Relations%20presses\Mediascope%20-%20kantarmedia\Articles%20presse\2020\JUILLET\2020-07-06%20-%20La%20nouvelle%20r&#233;publique%20-%20Coupure%20r&#233;seau%20&#233;lectrique&#160;%20Afin%20d&#8217;am&#233;liorer%20la%20qualit&#233;%20de%20la%20distribution%20&#233;lectrique.pdf" TargetMode="External"/><Relationship Id="rId19" Type="http://schemas.openxmlformats.org/officeDocument/2006/relationships/hyperlink" Target="file:///\\Ntkd0\co\ZE0SF000\ENEDIS_COMMUNICATION_PYRENEES_LANDES\Relations%20presses\Mediascope%20-%20kantarmedia\Articles%20presse\2020\JUILLET\2020-07-20%20-%20La%20r&#233;publique%20des%20pyr&#233;n&#233;es%20-%20%20La%20direction%20r&#233;gionale%20d&#8217;enedis%20veut%20s&#8217;implanter%20au%20nord%20de%20pau%20.pdf" TargetMode="External"/><Relationship Id="rId31" Type="http://schemas.openxmlformats.org/officeDocument/2006/relationships/hyperlink" Target="file:///\\Ntkd0\co\ZE0SF000\ENEDIS_COMMUNICATION_PYRENEES_LANDES\Relations%20presses\Mediascope%20-%20kantarmedia\Articles%20presse\2020\JUILLET\2020-07-25%20-%20La%20nouvelle%20r&#233;publique%20-%20Des%20exosquelettes%20tarbais%20pour%20Enedis.pdf" TargetMode="External"/><Relationship Id="rId44" Type="http://schemas.openxmlformats.org/officeDocument/2006/relationships/hyperlink" Target="file:///\\Ntkd0\co\ZE0SF000\ENEDIS_COMMUNICATION_PYRENEES_LANDES\Relations%20presses\Mediascope%20-%20kantarmedia\Articles%20presse\2020\JUILLET\2020-07-31%20-%20France%20Bleu%20Gascogne%20-%20Orages%20_%203200%20foyers%20toujours%20priv&#233;s%20d'&#233;lectricit&#233;%20dans%20les%20Landes.pdf" TargetMode="External"/><Relationship Id="rId4" Type="http://schemas.openxmlformats.org/officeDocument/2006/relationships/hyperlink" Target="file:///\\Ntkd0\co\ZE0SF000\ENEDIS_COMMUNICATION_PYRENEES_LANDES\Relations%20presses\Mediascope%20-%20kantarmedia\Articles%20presse\2020\JUILLET\2020-07-01-%20La%20nouvelle%20r&#233;publique%20-%20Des%20travaux%20d&#8217;Enedis%20sur%20le%20r&#233;seau%20entra&#238;neront%20des%20coupures%20d&#8217;&#233;lectricit&#233;,.pdf" TargetMode="External"/><Relationship Id="rId9" Type="http://schemas.openxmlformats.org/officeDocument/2006/relationships/hyperlink" Target="https://www.larepubliquedespyrenees.fr/2020/07/03/oloron-de-nombreux-travaux-vont-debuter-dans-les-prochains-jours,2714307.php" TargetMode="External"/><Relationship Id="rId14" Type="http://schemas.openxmlformats.org/officeDocument/2006/relationships/hyperlink" Target="file:///\\Ntkd0\co\ZE0SF000\ENEDIS_COMMUNICATION_PYRENEES_LANDES\Relations%20presses\Mediascope%20-%20kantarmedia\Articles%20presse\2020\JUILLET\2020-07-09%20-%20Sud%20Ouest%20Landes%20-%20Le%20budget%20de%20la%20commune%20a%20&#233;t&#233;%20vot&#233;.pdf" TargetMode="External"/><Relationship Id="rId22" Type="http://schemas.openxmlformats.org/officeDocument/2006/relationships/hyperlink" Target="file:///\\Ntkd0\co\ZE0SF000\ENEDIS_COMMUNICATION_PYRENEES_LANDES\Relations%20presses\Mediascope%20-%20kantarmedia\Articles%20presse\2020\JUILLET\2020-07-23%20-%20La%20r&#233;publique%20des%20pyr&#233;n&#233;es%20-%20RN%20134%20%20nouvel%20accident%20de%20camion,%20la%20route%20coup&#233;e.pdf" TargetMode="External"/><Relationship Id="rId27" Type="http://schemas.openxmlformats.org/officeDocument/2006/relationships/hyperlink" Target="file:///\\Ntkd0\co\ZE0SF000\ENEDIS_COMMUNICATION_PYRENEES_LANDES\Relations%20presses\Mediascope%20-%20kantarmedia\Articles%20presse\2020\JUILLET\2020-07-28%20-%20Sud%20Ouest%20Landes%20-%20Une%20entr&#233;e%20de%20ville%20ferm&#233;e%20&#224;%20la%20circulation.jpg" TargetMode="External"/><Relationship Id="rId30" Type="http://schemas.openxmlformats.org/officeDocument/2006/relationships/hyperlink" Target="file:///\\Ntkd0\co\ZE0SF000\ENEDIS_COMMUNICATION_PYRENEES_LANDES\Relations%20presses\Mediascope%20-%20kantarmedia\Articles%20presse\2020\JUILLET\2020-07-29%20-%20Sud%20Ouest%20Landes%20-%20La%20panne%20a%20eu%20lieu%20sur%20le%20r&#233;seau%20Enedis.pdf" TargetMode="External"/><Relationship Id="rId35" Type="http://schemas.openxmlformats.org/officeDocument/2006/relationships/hyperlink" Target="file:///\\Ntkd0\co\ZE0SF000\ENEDIS_COMMUNICATION_PYRENEES_LANDES\Relations%20presses\Mediascope%20-%20kantarmedia\Articles%20presse\2020\JUILLET\2020-07-25-%20L'&#233;clair%20des%20pyr&#233;n&#233;es%20-%20RN%20134%20%20apr&#232;s%20les%20derniers%20accidents,%20des%20contr&#244;les%20renforc&#233;s%20pour%20les%20camions.pdf" TargetMode="External"/><Relationship Id="rId43" Type="http://schemas.openxmlformats.org/officeDocument/2006/relationships/hyperlink" Target="file:///\\Ntkd0\co\ZE0SF000\ENEDIS_COMMUNICATION_PYRENEES_LANDES\Relations%20presses\Mediascope%20-%20kantarmedia\Articles%20presse\2020\JUILLET\2020-07-31%20-%20France%20Bleu%20Gascogne%20-%20%5bBr&#232;ve%5d%20Orages%20_%203200%20foyers%20toujorus%20priv&#233;s%20d'&#233;lectricit&#233;%20dans%20les%20landes.pdf" TargetMode="External"/><Relationship Id="rId48" Type="http://schemas.openxmlformats.org/officeDocument/2006/relationships/printerSettings" Target="../printerSettings/printerSettings11.bin"/><Relationship Id="rId8" Type="http://schemas.openxmlformats.org/officeDocument/2006/relationships/hyperlink" Target="file:///\\Ntkd0\co\ZE0SF000\ENEDIS_COMMUNICATION_PYRENEES_LANDES\Relations%20presses\Mediascope%20-%20kantarmedia\Articles%20presse\2020\JUILLET\2020-07-05%20-%20La%20d&#233;p&#234;che%20-%20Des%20travaux%20d&#8217;Enedis%20sur%20le%20r&#233;seau%20entra&#238;neront%20des%20coupures%20d&#8217;&#233;lectricit&#233;%20jeudi%2023%20juillet%20.pdf" TargetMode="External"/><Relationship Id="rId3" Type="http://schemas.openxmlformats.org/officeDocument/2006/relationships/hyperlink" Target="file:///\\Ntkd0\co\ZE0SF000\ENEDIS_COMMUNICATION_PYRENEES_LANDES\Relations%20presses\Mediascope%20-%20kantarmedia\Articles%20presse\2020\JUILLET\2020-07-02%20-%20L'&#233;clair%20des%20pyr&#233;n&#233;es%20-%20Les%20travaux%20reprennent%20&#224;%20grands%20pas%20.pdf" TargetMode="External"/><Relationship Id="rId12" Type="http://schemas.openxmlformats.org/officeDocument/2006/relationships/hyperlink" Target="file:///\\Ntkd0\co\ZE0SF000\ENEDIS_COMMUNICATION_PYRENEES_LANDES\Relations%20presses\Mediascope%20-%20kantarmedia\Articles%20presse\2020\JUILLET\2020-07-06%20-%20La%20d&#233;peche%20-%20Coupure%20r&#233;seau%20&#233;lectrique%20%20Afin%20d&#8217;am&#233;liorer%20la%20qualit&#233;%20de%20la%20distribution%20&#233;lectrique.pdf" TargetMode="External"/><Relationship Id="rId17" Type="http://schemas.openxmlformats.org/officeDocument/2006/relationships/hyperlink" Target="file:///\\Ntkd0\co\ZE0SF000\ENEDIS_COMMUNICATION_PYRENEES_LANDES\Relations%20presses\Mediascope%20-%20kantarmedia\Articles%20presse\2020\JUILLET\2020-07-16%20-%20La%20depeche%20-%20March&#233;%20%20A%20partir%20du%20mercredi%2029%20juillet,%20un%20petit%20march&#233;%20sera%20organis&#233;%20%20.pdf" TargetMode="External"/><Relationship Id="rId25" Type="http://schemas.openxmlformats.org/officeDocument/2006/relationships/hyperlink" Target="file:///\\Ntkd0\co\ZE0SF000\ENEDIS_COMMUNICATION_PYRENEES_LANDES\Relations%20presses\Mediascope%20-%20kantarmedia\Articles%20presse\2020\JUILLET\2020-07-23%20-%20L'&#233;clair%20des%20pyr&#233;n&#233;es%20-%20Un%20budget%20gonfl&#233;%20par%20la%20crise.pdf" TargetMode="External"/><Relationship Id="rId33" Type="http://schemas.openxmlformats.org/officeDocument/2006/relationships/hyperlink" Target="file:///\\Ntkd0\co\ZE0SF000\ENEDIS_COMMUNICATION_PYRENEES_LANDES\Relations%20presses\Mediascope%20-%20kantarmedia\Articles%20presse\2020\JUILLET\2020-07-24%20-%20La%20r&#233;publique%20des%20pyr&#233;n&#233;es%20-%20RN%20134%20apr&#232;s%20les%20derniers%20accidents,%20des%20contr&#244;les%20renforc&#233;s%20pour%20les%20camions.pdf" TargetMode="External"/><Relationship Id="rId38" Type="http://schemas.openxmlformats.org/officeDocument/2006/relationships/hyperlink" Target="file:///\\Ntkd0\co\ZE0SF000\ENEDIS_COMMUNICATION_PYRENEES_LANDES\Relations%20presses\Mediascope%20-%20kantarmedia\Articles%20presse\2020\JUILLET\2020-07-31%20-%20Sud%20Ouest%20-%20Coup%20de%20vent%20dans%20les%20Landes%203000%20foyers%20sans%20&#233;lectricit&#233;.pdf" TargetMode="External"/><Relationship Id="rId46" Type="http://schemas.openxmlformats.org/officeDocument/2006/relationships/hyperlink" Target="..\CP-DP%20DR%20PyL\65\Reseau\2020-06%20ILD" TargetMode="External"/><Relationship Id="rId20" Type="http://schemas.openxmlformats.org/officeDocument/2006/relationships/hyperlink" Target="file:///\\Ntkd0\co\ZE0SF000\ENEDIS_COMMUNICATION_PYRENEES_LANDES\Relations%20presses\Mediascope%20-%20kantarmedia\Articles%20presse\2020\JUILLET\2020-07-20%20-%20L'&#233;clair%20des%20pyr&#233;n&#233;es%20-%20La%20direction%20r&#233;gionale%20d&#8217;enedis%20veut%20s&#8217;implanter%20au%20nord%20de%20pau.pdf" TargetMode="External"/><Relationship Id="rId41" Type="http://schemas.openxmlformats.org/officeDocument/2006/relationships/hyperlink" Target="file:///\\Ntkd0\co\ZE0SF000\ENEDIS_COMMUNICATION_PYRENEES_LANDES\Relations%20presses\Mediascope%20-%20kantarmedia\Articles%20presse\2020\JUILLET\2020-07-31%20-%20France%20Bleu%20-%20Coupures%20de%20courant%20&#224;%20Serres%20Sainte%20Marie.pdf" TargetMode="External"/><Relationship Id="rId1" Type="http://schemas.openxmlformats.org/officeDocument/2006/relationships/hyperlink" Target="file:///\\Ntkd0\co\ZE0SF000\ENEDIS_COMMUNICATION_PYRENEES_LANDES\Relations%20presses\CP-DP%20DR%20PyL\40\r&#233;seau\2020-07%20Linky%20arrive\2020-07%20cp%20pour%20la%20transition%20&#233;cologique%20et%20plus%20de%20services.pdf" TargetMode="External"/><Relationship Id="rId6" Type="http://schemas.openxmlformats.org/officeDocument/2006/relationships/hyperlink" Target="file:///\\Ntkd0\co\ZE0SF000\ENEDIS_COMMUNICATION_PYRENEES_LANDES\Relations%20presses\Mediascope%20-%20kantarmedia\Articles%20presse\2020\JUILLET\2020-07-08%20-%20Le%20Petit%20journal%20-%20Pour%20un%20r&#233;seau%20&#233;lectrique%20encore%20plus%20intelligent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file:///\\Ntkd0\co\ZE0SF000\ENEDIS_COMMUNICATION_PYRENEES_LANDES\Relations%20presses\Mediascope%20-%20kantarmedia\Articles%20presse\2020\AOUT\2020-08-27%20-%20La%20nouvelle%20r&#233;publique%20des%20pyr&#233;n&#233;es%20-%20Tournay%20incivilit&#233;s.pdf" TargetMode="External"/><Relationship Id="rId13" Type="http://schemas.openxmlformats.org/officeDocument/2006/relationships/hyperlink" Target="file:///\\Ntkd0\co\ZE0SF000\ENEDIS_COMMUNICATION_PYRENEES_LANDES\Relations%20presses\Mediascope%20-%20kantarmedia\Articles%20presse\2020\AOUT\2020-08-11%20-%20France%20Bleu%20B&#233;arn%20-%2012%20personnes%20bless&#233;es%20dans%20l'accident%20de%20funiculaire%20du%20pic%20du%20jer.pdf" TargetMode="External"/><Relationship Id="rId18" Type="http://schemas.openxmlformats.org/officeDocument/2006/relationships/hyperlink" Target="file:///\\Ntkd0\co\ZE0SF000\ENEDIS_COMMUNICATION_PYRENEES_LANDES\Relations%20presses\Mediascope%20-%20kantarmedia\Articles%20presse\2020\AOUT\2020-08-13%20-%20France%20Bleu%20Gascogne%20-%20Enedis%20d&#233;pannera%20dans%20la%20matin&#233;e%20les%20derniers%20clients%20touch&#233;s%20par%20les%20orages.pdf" TargetMode="External"/><Relationship Id="rId3" Type="http://schemas.openxmlformats.org/officeDocument/2006/relationships/hyperlink" Target="file:///\\Ntkd0\co\ZE0SF000\ENEDIS_COMMUNICATION_PYRENEES_LANDES\Relations%20presses\Mediascope%20-%20kantarmedia\Articles%20presse\2020\AOUT\2020-08-01%20-%20L'Eclair%20-%2013100%20foyers%20b&#233;arnais%20priv&#233;s%20de%20courant%20apr&#232;s%20l'orage.pdf" TargetMode="External"/><Relationship Id="rId21" Type="http://schemas.openxmlformats.org/officeDocument/2006/relationships/hyperlink" Target="file:///\\Ntkd0\co\ZE0SF000\ENEDIS_COMMUNICATION_PYRENEES_LANDES\Relations%20presses\Mediascope%20-%20kantarmedia\Articles%20presse\2020\AOUT\2020-08-01%20-%20La%20Republique%20des%20Pyr&#233;n&#233;es%20-13100%20foyers%20bearnais%20priv&#233;s%20de%20courant.pdf" TargetMode="External"/><Relationship Id="rId7" Type="http://schemas.openxmlformats.org/officeDocument/2006/relationships/hyperlink" Target="file:///\\Ntkd0\co\ZE0SF000\ENEDIS_COMMUNICATION_PYRENEES_LANDES\Relations%20presses\Mediascope%20-%20kantarmedia\Articles%20presse\2020\AOUT\2020-08-19%20-%20L'&#233;clair%20des%20pyr&#233;n&#233;es%20-%20D&#233;but%20des%20travaux%20du%20rond-point%20le%2026%20ao&#251;t.pdf" TargetMode="External"/><Relationship Id="rId12" Type="http://schemas.openxmlformats.org/officeDocument/2006/relationships/hyperlink" Target="file:///\\Ntkd0\co\ZE0SF000\ENEDIS_COMMUNICATION_PYRENEES_LANDES\Relations%20presses\Mediascope%20-%20kantarmedia\Articles%20presse\2020\AOUT\2020-08-11%20-%20France%20Bleu%20B&#233;arn%20-%20L'orage%20a%20provoqu&#233;%20l'arr&#234;t%20brutal%20du%20funiculaire%20de%20Lourdes.pdf" TargetMode="External"/><Relationship Id="rId17" Type="http://schemas.openxmlformats.org/officeDocument/2006/relationships/hyperlink" Target="file:///\\Ntkd0\co\ZE0SF000\ENEDIS_COMMUNICATION_PYRENEES_LANDES\Relations%20presses\Mediascope%20-%20kantarmedia\Articles%20presse\2020\AOUT\2020-08-13%20-%20France%20Bleu%20Gascogne%20-%20Des%20communes%20des%20Landes%20ont%20subi%20des%20coupures%20de%20courant.pdf" TargetMode="External"/><Relationship Id="rId25" Type="http://schemas.openxmlformats.org/officeDocument/2006/relationships/comments" Target="../comments8.xml"/><Relationship Id="rId2" Type="http://schemas.openxmlformats.org/officeDocument/2006/relationships/hyperlink" Target="file:///\\Ntkd0\co\ZE0SF000\ENEDIS_COMMUNICATION_PYRENEES_LANDES\Relations%20presses\Mediascope%20-%20kantarmedia\Articles%20presse\2020\AOUT\2020-08-01%20-%20La%20Republique%20des%20Pyr&#233;n&#233;es%20-13100%20foyers%20bearnais%20priv&#233;s%20de%20courant.pdf" TargetMode="External"/><Relationship Id="rId16" Type="http://schemas.openxmlformats.org/officeDocument/2006/relationships/hyperlink" Target="file:///\\Ntkd0\co\ZE0SF000\ENEDIS_COMMUNICATION_PYRENEES_LANDES\Relations%20presses\Mediascope%20-%20kantarmedia\Articles%20presse\2020\AOUT\2020-08-12%20-%20France%20Bleu%20Pays%20Basque%20-%20A%20saint%20Jean%20de%20Luz,%20une%20centaine%20d'abonn&#233;s%20sont%20priv&#233;s%20de%20courant.pdf" TargetMode="External"/><Relationship Id="rId20" Type="http://schemas.openxmlformats.org/officeDocument/2006/relationships/hyperlink" Target="file:///\\Ntkd0\co\ZE0SF000\ENEDIS_COMMUNICATION_PYRENEES_LANDES\Relations%20presses\Mediascope%20-%20kantarmedia\Articles%20presse\2020\AOUT\2020-08-01%20-%20Sud-ouest%20B&#233;arn%20-%20Encore%20quelques%20foyers%20priv&#233;s%20d'&#233;lectricit&#233;.pdf" TargetMode="External"/><Relationship Id="rId1" Type="http://schemas.openxmlformats.org/officeDocument/2006/relationships/hyperlink" Target="file:///\\Ntkd0\co\ZE0SF000\ENEDIS_COMMUNICATION_PYRENEES_LANDES\Relations%20presses\Mediascope%20-%20kantarmedia\Articles%20presse\2020\AOUT\2020-08-01%20-%20Sud%20Ouest%20Landes%20-%2011000%20foyers%20priv&#233;s%20d'&#233;lectricit&#233;.pdf" TargetMode="External"/><Relationship Id="rId6" Type="http://schemas.openxmlformats.org/officeDocument/2006/relationships/hyperlink" Target="file:///\\Ntkd0\co\ZE0SF000\ENEDIS_COMMUNICATION_PYRENEES_LANDES\Relations%20presses\Mediascope%20-%20kantarmedia\Articles%20presse\2020\AOUT\2020-08-19%20-%20La%20r&#233;publique%20des%20pyr&#233;n&#233;es%20-%20D&#233;but%20des%20travaux%20du%20rond-point%20le%2026%20ao&#251;t.pdf" TargetMode="External"/><Relationship Id="rId11" Type="http://schemas.openxmlformats.org/officeDocument/2006/relationships/hyperlink" Target="file:///\\Ntkd0\co\ZE0SF000\ENEDIS_COMMUNICATION_PYRENEES_LANDES\Relations%20presses\Mediascope%20-%20kantarmedia\Articles%20presse\2020\AOUT\2020-08-19%20-%20Sud%20Ouest%20Landes%20-%20Un%20projet%20solidaire%20autour%20de%20la%20mobilit&#233;.pdf" TargetMode="External"/><Relationship Id="rId24" Type="http://schemas.openxmlformats.org/officeDocument/2006/relationships/vmlDrawing" Target="../drawings/vmlDrawing8.vml"/><Relationship Id="rId5" Type="http://schemas.openxmlformats.org/officeDocument/2006/relationships/hyperlink" Target="file:///\\Ntkd0\co\ZE0SF000\ENEDIS_COMMUNICATION_PYRENEES_LANDES\Relations%20presses\Mediascope%20-%20kantarmedia\Articles%20presse\2020\AOUT\2020-08-19%20-%20La%20r&#233;publique%20des%20pyr&#233;n&#233;es%20-%20D&#233;but%20des%20travaux%20du%20rond-point%20le%2026%20ao&#251;t.pdf" TargetMode="External"/><Relationship Id="rId15" Type="http://schemas.openxmlformats.org/officeDocument/2006/relationships/hyperlink" Target="file:///\\Ntkd0\co\ZE0SF000\ENEDIS_COMMUNICATION_PYRENEES_LANDES\Relations%20presses\Mediascope%20-%20kantarmedia\Articles%20presse\2020\AOUT\2020-08-11%20-%20France%20Bleu%20B&#233;arn%20-%20A%20lourdes%20au%20pic%20du%20jer,%20une%20coupure%20de%20courant%20cause%20un%20accident%20de%20funiculaire.pdf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file:///\\Ntkd0\co\ZE0SF000\ENEDIS_COMMUNICATION_PYRENEES_LANDES\Relations%20presses\Mediascope%20-%20kantarmedia\Articles%20presse\2020\AOUT\2020-08-31%20-%20Commune%20de%20Meilhan%20-%20Com%20compteur%20Linky.pdf" TargetMode="External"/><Relationship Id="rId19" Type="http://schemas.openxmlformats.org/officeDocument/2006/relationships/hyperlink" Target="file:///\\Ntkd0\co\ZE0SF000\ENEDIS_COMMUNICATION_PYRENEES_LANDES\Relations%20presses\Mediascope%20-%20kantarmedia\Articles%20presse\2020\AOUT\2020-08-01%20-%20France%20Bleu%20Gascogne%20-%20500%20foyers%20landais%20priv&#233;s%20d'&#233;lectricit&#233;%20-%207h.pdf" TargetMode="External"/><Relationship Id="rId4" Type="http://schemas.openxmlformats.org/officeDocument/2006/relationships/hyperlink" Target="file:///\\Ntkd0\co\ZE0SF000\ENEDIS_COMMUNICATION_PYRENEES_LANDES\Relations%20presses\Mediascope%20-%20kantarmedia\Articles%20presse\2020\AOUT\2020-08-01%20-%20La%20R&#233;publique%20des%20Pyr&#233;n&#233;es%20-%20Apr&#232;s%20les%20fortes%20chaleurs%20et%20le%20violent%20orage%20la%20base%20de%20loisirs%20panse%20ses%20plaies.pdf" TargetMode="External"/><Relationship Id="rId9" Type="http://schemas.openxmlformats.org/officeDocument/2006/relationships/hyperlink" Target="file:///\\Ntkd0\co\ZE0SF000\ENEDIS_COMMUNICATION_PYRENEES_LANDES\Relations%20presses\Mediascope%20-%20kantarmedia\Articles%20presse\2020\AOUT\2020-08-31%20-%20Aurice.fr%20-%20coupure%20Aurice.jpg" TargetMode="External"/><Relationship Id="rId14" Type="http://schemas.openxmlformats.org/officeDocument/2006/relationships/hyperlink" Target="file:///\\Ntkd0\co\ZE0SF000\ENEDIS_COMMUNICATION_PYRENEES_LANDES\Relations%20presses\Mediascope%20-%20kantarmedia\Articles%20presse\2020\AOUT\2020-08-11%20-%20France%20Bleu%20B&#233;arn%20-%20Pr&#233;cisions%20du%20sous-pr&#233;fet%20sur%20l'accident%20de%20funiculaire.pdf" TargetMode="External"/><Relationship Id="rId22" Type="http://schemas.openxmlformats.org/officeDocument/2006/relationships/hyperlink" Target="file:///\\Ntkd0\co\ZE0SF000\ENEDIS_COMMUNICATION_PYRENEES_LANDES\Relations%20presses\Mediascope%20-%20kantarmedia\Articles%20presse\2020\AOUT\2020-08-01%20-%20Sud-ouest%20B&#233;arn%20-%20Encore%20quelques%20foyers%20priv&#233;s%20d'&#233;lectricit&#233;.pdf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file:///\\Ntkd0\co\ZE0SF000\ENEDIS_COMMUNICATION_PYRENEES_LANDES\Relations%20presses\Mediascope%20-%20kantarmedia\Articles%20presse\2020\SEPTEMBRE\2020-09-22%20-%20Le%20Petit%20Journal%20-%20Compteurs%20Linky,%20verdict%20favorable%20pour%20Enedis.pdf" TargetMode="External"/><Relationship Id="rId18" Type="http://schemas.openxmlformats.org/officeDocument/2006/relationships/hyperlink" Target="file:///\\Ntkd0\co\ZE0SF000\ENEDIS_COMMUNICATION_PYRENEES_LANDES\Relations%20presses\Mediascope%20-%20kantarmedia\Articles%20presse\2020\SEPTEMBRE\2020-09-21%20-%20L'Eclair%20des%20Pyr&#233;n&#233;es%20-%20Ferme%20en%20feu%20&#224;%20Monfort,%2030%20pompiers%20mobilis&#233;s,%20le%20d&#233;sarroi%20de%20deux%20fr&#232;res.pdf" TargetMode="External"/><Relationship Id="rId26" Type="http://schemas.openxmlformats.org/officeDocument/2006/relationships/hyperlink" Target="file:///\\Ntkd0\co\ZE0SF000\ENEDIS_COMMUNICATION_PYRENEES_LANDES\Relations%20presses\Mediascope%20-%20kantarmedia\Articles%20presse\2020\SEPTEMBRE\2020-09-24%20-%20Sud-Ouest%20B&#233;arn%20-%20Travaux%20&#224;%20Oloron.pdf" TargetMode="External"/><Relationship Id="rId39" Type="http://schemas.openxmlformats.org/officeDocument/2006/relationships/hyperlink" Target="https://www.sudouest.fr/2020/09/25/pyrenees-atlantiques-coupures-de-courant-et-legers-degats-apres-les-orages-de-la-nuit-7886922-4018.php" TargetMode="External"/><Relationship Id="rId21" Type="http://schemas.openxmlformats.org/officeDocument/2006/relationships/hyperlink" Target="file:///\\Ntkd0\co\ZE0SF000\ENEDIS_COMMUNICATION_PYRENEES_LANDES\Relations%20presses\Mediascope%20-%20kantarmedia\Articles%20presse\2020\SEPTEMBRE\2020-09-21%20-%20L'Eclair%20des%20Pyr&#233;n&#233;es%20-%20TRAVAUX%20L&#8217;avenue%20Copernic%20ferm&#233;e%20Du%2021%20au%2025%20septembre,%20des%20travaux%20de.pdf" TargetMode="External"/><Relationship Id="rId34" Type="http://schemas.openxmlformats.org/officeDocument/2006/relationships/hyperlink" Target="file:///\\Ntkd0\co\ZE0SF000\ENEDIS_COMMUNICATION_PYRENEES_LANDES\Relations%20presses\Mediascope%20-%20kantarmedia\Articles%20presse\2020\SEPTEMBRE\2020-09-25%20-%20L'Eclair%20des%20Pyr&#233;n&#233;es%20-%20Enedis%20mise%20sur%20les%20v&#233;hicules%20&#233;lectriques.pdf" TargetMode="External"/><Relationship Id="rId42" Type="http://schemas.openxmlformats.org/officeDocument/2006/relationships/hyperlink" Target="file:///\\Ntkd0\co\ZE0SF000\ENEDIS_COMMUNICATION_PYRENEES_LANDES\Relations%20presses\Mediascope%20-%20kantarmedia\Articles%20presse\2020\SEPTEMBRE\2020-09-29%20-%20Sud-Ouest%20B&#233;arn%20-%20Des%20coupures%20d&#8217;&#233;lectricit&#233;%20&#224;%20pr&#233;voir%20mercredi%2030%20septembre.pdf" TargetMode="External"/><Relationship Id="rId47" Type="http://schemas.openxmlformats.org/officeDocument/2006/relationships/hyperlink" Target="https://twitter.com/clinfo_pau/status/1308405887074291714" TargetMode="External"/><Relationship Id="rId50" Type="http://schemas.openxmlformats.org/officeDocument/2006/relationships/hyperlink" Target="..\CP-DP%20DR%20PyL\65\Environnement\ME" TargetMode="External"/><Relationship Id="rId55" Type="http://schemas.openxmlformats.org/officeDocument/2006/relationships/hyperlink" Target="https://www.ladepeche.fr/2020/09/27/enedis-roule-pour-lelectrique-9099517.php" TargetMode="External"/><Relationship Id="rId7" Type="http://schemas.openxmlformats.org/officeDocument/2006/relationships/hyperlink" Target="file:///\\Ntkd0\co\ZE0SF000\ENEDIS_COMMUNICATION_PYRENEES_LANDES\Relations%20presses\Mediascope%20-%20kantarmedia\Articles%20presse\2020\SEPTEMBRE\2020-09-10%20-%20L'&#233;clair%20des%20Pyr&#233;n&#233;es%20-%20B&#233;arn-Bigorre,%20les%20anti-Linky%20d&#233;bout&#233;s%20&#224;%20Tarbes.pdf" TargetMode="External"/><Relationship Id="rId2" Type="http://schemas.openxmlformats.org/officeDocument/2006/relationships/hyperlink" Target="file:///\\Ntkd0\co\ZE0SF000\ENEDIS_COMMUNICATION_PYRENEES_LANDES\Relations%20presses\Mediascope%20-%20kantarmedia\Articles%20presse\2020\SEPTEMBRE\2020-09-01%20-%20France%20Bleu%20Gascogne%20-%20Enedis%20lance%20une%20exp&#233;rience%20dans%20les%20Landes%20pour%20(18h).pdf" TargetMode="External"/><Relationship Id="rId16" Type="http://schemas.openxmlformats.org/officeDocument/2006/relationships/hyperlink" Target="file:///\\Ntkd0\co\ZE0SF000\ENEDIS_COMMUNICATION_PYRENEES_LANDES\Relations%20presses\Mediascope%20-%20kantarmedia\Articles%20presse\2020\SEPTEMBRE\2020-09-19%20-%20La%20R&#233;publique%20des%20Pyr&#233;n&#233;es%20-%20Une%20ferme%20incendi&#233;e%20&#224;%20Montfort,%20une%20trentaine%20de%20pompiers%20mobilis&#233;s.pdf" TargetMode="External"/><Relationship Id="rId29" Type="http://schemas.openxmlformats.org/officeDocument/2006/relationships/hyperlink" Target="https://entreprisesengagees64.info/la-direction-regionale-pyrenees-et-landes-basee-a-pau-montre-lexemple-et-compte-aussi-mobiliser-les-entreprises-et-les-particuliers/" TargetMode="External"/><Relationship Id="rId11" Type="http://schemas.openxmlformats.org/officeDocument/2006/relationships/hyperlink" Target="file:///\\Ntkd0\co\ZE0SF000\ENEDIS_COMMUNICATION_PYRENEES_LANDES\Relations%20presses\Mediascope%20-%20kantarmedia\Articles%20presse\2020\SEPTEMBRE\2020-09-10%20-%20France%20Bleu%20B&#233;arn%20-%20%5bBr&#232;ve%5d%20Le%20tribunal%20de%20Tarbes%20a%20d&#233;bout&#233;%20les%20anti-compteurs%20Linky.pdf" TargetMode="External"/><Relationship Id="rId24" Type="http://schemas.openxmlformats.org/officeDocument/2006/relationships/hyperlink" Target="file:///\\Ntkd0\co\ZE0SF000\ENEDIS_COMMUNICATION_PYRENEES_LANDES\Relations%20presses\Mediascope%20-%20kantarmedPia\Articles%20presse\2020\SEPTEMBRE\2020-09-23%20-%20L'Eclair%20des%20Pyr&#233;n&#233;es%20-%20Circulation%20interdite%20rue%20de%20S&#232;gues%20N%20Du%2025%20septembre%20au%2024%20octobre.pdf" TargetMode="External"/><Relationship Id="rId32" Type="http://schemas.openxmlformats.org/officeDocument/2006/relationships/hyperlink" Target="https://www.sudouest.fr/2020/09/28/un-projet-solidaire-autour-de-la-mobilite-7897139-3490.php" TargetMode="External"/><Relationship Id="rId37" Type="http://schemas.openxmlformats.org/officeDocument/2006/relationships/hyperlink" Target="file:///\\Ntkd0\co\ZE0SF000\ENEDIS_COMMUNICATION_PYRENEES_LANDES\Relations%20presses\Mediascope%20-%20kantarmedia\Articles%20presse\2020\SEPTEMBRE\2020-09-30%20-%20Le%20Petit%20Journal%2065%20-%20V&#233;hicules%20&#233;lectriques,%20Les%20feux%20passent%20au%20vert%20!.pdf" TargetMode="External"/><Relationship Id="rId40" Type="http://schemas.openxmlformats.org/officeDocument/2006/relationships/hyperlink" Target="file:///\\Ntkd0\co\ZE0SF000\ENEDIS_COMMUNICATION_PYRENEES_LANDES\Relations%20presses\Mediascope%20-%20kantarmedia\Articles%20presse\2020\SEPTEMBRE\2020-09-25%20-%20La%20D&#233;p&#234;che%20du%20Midi%20-%20Les%20chasseurs%20Pyr&#233;n&#233;ens%20de%20Tarbes%20vous%20informent%20que%20les%20cartes%20ZM%20seront%20di.pdf" TargetMode="External"/><Relationship Id="rId45" Type="http://schemas.openxmlformats.org/officeDocument/2006/relationships/hyperlink" Target="https://www.tagaday.fr/media/watch/account/-/v/10/client/4346/docid/180508663/pass/a82e7b9b6a3294000729494d6c369de96573c210/contact/0/from/veilles/sha/e3846c5907d70f8c9fe0708414534cb3679c4a18" TargetMode="External"/><Relationship Id="rId53" Type="http://schemas.openxmlformats.org/officeDocument/2006/relationships/hyperlink" Target="file:///\\Ntkd0\co\ZE0SF000\ENEDIS_COMMUNICATION_PYRENEES_LANDES\Relations%20presses\CP-DP%20national\Environnement_RSE\CP%20-%202020-09-30%20-%20D&#233;veloppement%20durable%20et%20d&#233;marche%20et%20RSE.pdf" TargetMode="External"/><Relationship Id="rId5" Type="http://schemas.openxmlformats.org/officeDocument/2006/relationships/hyperlink" Target="file:///\\Ntkd0\co\ZE0SF000\ENEDIS_COMMUNICATION_PYRENEES_LANDES\Relations%20presses\Mediascope%20-%20kantarmedia\Articles%20presse\2020\SEPTEMBRE\2020-09-02%20-%20France%20Bleu%20Gascogne%20-%20Interview%20de%20Christophe%20Cres,%20Directeur%20d'Enedis%20(9h06).pdf" TargetMode="External"/><Relationship Id="rId19" Type="http://schemas.openxmlformats.org/officeDocument/2006/relationships/hyperlink" Target="file:///\\Ntkd0\co\ZE0SF000\ENEDIS_COMMUNICATION_PYRENEES_LANDES\Relations%20presses\Mediascope%20-%20kantarmedia\Articles%20presse\2020\SEPTEMBRE\2020-09-21%20-%20Tarbes%20infos%20-%20Enedis%20fortement%20engag&#233;%20dans%20le%20d&#233;veloppement%20de%20bornes%20de%20rechargement.pdf" TargetMode="External"/><Relationship Id="rId4" Type="http://schemas.openxmlformats.org/officeDocument/2006/relationships/hyperlink" Target="http://www.tarbes-infos.com/spip.php?article27906" TargetMode="External"/><Relationship Id="rId9" Type="http://schemas.openxmlformats.org/officeDocument/2006/relationships/hyperlink" Target="file:///\\Ntkd0\co\ZE0SF000\ENEDIS_COMMUNICATION_PYRENEES_LANDES\Relations%20presses\Mediascope%20-%20kantarmedia\Articles%20presse\2020\SEPTEMBRE\2020-09-14%20-%20France%20Bleu%20Gascogne%20-%20Question%20d'un%20auditeur%20au%20sujet%20de%20l'installation%20d'un%20compteur%20Linky%20(9h06).pdf" TargetMode="External"/><Relationship Id="rId14" Type="http://schemas.openxmlformats.org/officeDocument/2006/relationships/hyperlink" Target="file:///\\Ntkd0\co\ZE0SF000\ENEDIS_COMMUNICATION_PYRENEES_LANDES\Relations%20presses\Mediascope%20-%20kantarmedia\Articles%20presse\2020\SEPTEMBRE\2020-09-17%20-%20L'Eclair%20des%20Pyr&#233;n&#233;es%20-%20L'&#233;cole%20de%20musique%20&#224;%20l'&#233;cole%20Victor-Hugo.pdf" TargetMode="External"/><Relationship Id="rId22" Type="http://schemas.openxmlformats.org/officeDocument/2006/relationships/hyperlink" Target="file:///\\Ntkd0\co\ZE0SF000\ENEDIS_COMMUNICATION_PYRENEES_LANDES\Relations%20presses\Mediascope%20-%20kantarmedia\Articles%20presse\2020\SEPTEMBRE\2020-09-23%20-%20La%20Nouvelle%20R&#233;publique%20des%20Pyr&#233;n&#233;es%20-%20Enedis%20roule%20pour%20l&#8217;&#233;lectrique.pdf" TargetMode="External"/><Relationship Id="rId27" Type="http://schemas.openxmlformats.org/officeDocument/2006/relationships/hyperlink" Target="file:///\\Ntkd0\co\ZE0SF000\ENEDIS_COMMUNICATION_PYRENEES_LANDES\Relations%20presses\CP-DP%20DR%20PyL\65\Partenariats\Les%20petits%20d&#233;brouillards\CP%20-%202020-09-28%20-%20Les%20petits%20d&#233;brouillards.pdf" TargetMode="External"/><Relationship Id="rId30" Type="http://schemas.openxmlformats.org/officeDocument/2006/relationships/hyperlink" Target="file:///\\Ntkd0\co\ZE0SF000\ENEDIS_COMMUNICATION_PYRENEES_LANDES\Relations%20presses\Mediascope%20-%20kantarmedia\Articles%20presse\2020\SEPTEMBRE\2020-09-28%20-%20France%20Bleu%20Gascogne%20-%20Bernard%20Duprat,%20UFC%20Que%20Choisir,%20r&#233;pond%20&#224;%20un%20consommateur%20dont%20le%20Linky%20est%20en%20panne.pdf" TargetMode="External"/><Relationship Id="rId35" Type="http://schemas.openxmlformats.org/officeDocument/2006/relationships/hyperlink" Target="file:///\\Ntkd0\co\ZE0SF000\ENEDIS_COMMUNICATION_PYRENEES_LANDES\Relations%20presses\Mediascope%20-%20kantarmedia\Articles%20presse\2020\SEPTEMBRE\2020-09-27%20-%20La%20D&#233;p&#234;che%20-%20Enedis%20roule%20pour%20l&#8217;&#233;lectrique.pdf" TargetMode="External"/><Relationship Id="rId43" Type="http://schemas.openxmlformats.org/officeDocument/2006/relationships/hyperlink" Target="file:///\\Ntkd0\co\ZE0SF000\ENEDIS_COMMUNICATION_PYRENEES_LANDES\Relations%20presses\Mediascope%20-%20kantarmedia\Articles%20presse\2020\SEPTEMBRE\2020-09-28%20-%20La%20Nouvelle%20R&#233;publique%20des%20Pyr&#233;n&#233;es%20-%20Coupures%20de%20courant.pdf" TargetMode="External"/><Relationship Id="rId48" Type="http://schemas.openxmlformats.org/officeDocument/2006/relationships/hyperlink" Target="file:///\\Ntkd0\co\ZE0SF000\ENEDIS_COMMUNICATION_PYRENEES_LANDES\Relations%20presses\Mediascope%20-%20kantarmedia\Articles%20presse\2020\SEPTEMBRE\2020-09-23%20-%20La%20Nouvelle%20R&#233;publique%20des%20Pyr&#233;n&#233;es%20-%20Enedis%20roule%20pour%20l&#8217;&#233;lectrique.pdf" TargetMode="External"/><Relationship Id="rId56" Type="http://schemas.openxmlformats.org/officeDocument/2006/relationships/hyperlink" Target="https://www.ladepeche.fr/2020/09/27/enedis-roule-pour-lelectrique-9099517.php" TargetMode="External"/><Relationship Id="rId8" Type="http://schemas.openxmlformats.org/officeDocument/2006/relationships/hyperlink" Target="https://www.lasemainedespyrenees.fr/2020/09/09/bigorre-les-anti-linky-deboutes-par-le-tribunal-de-tarbes/" TargetMode="External"/><Relationship Id="rId51" Type="http://schemas.openxmlformats.org/officeDocument/2006/relationships/hyperlink" Target="file:///\\Ntkd0\co\ZE0SF000\ENEDIS_COMMUNICATION_PYRENEES_LANDES\Relations%20presses\Mediascope%20-%20kantarmedia\Articles%20presse\2020\SEPTEMBRE\2020-09-25%20-%20La%20R&#233;publique%20des%20Pyr&#233;n&#233;es%20-%20Enedis%20mise%20sur%20les%20v&#233;hicules%20&#233;lectriques.pdf" TargetMode="External"/><Relationship Id="rId3" Type="http://schemas.openxmlformats.org/officeDocument/2006/relationships/hyperlink" Target="file:///\\Ntkd0\co\ZE0SF000\ENEDIS_COMMUNICATION_PYRENEES_LANDES\Relations%20presses\Mediascope%20-%20kantarmedia\Articles%20presse\2020\SEPTEMBRE\2020-09-02%20-%20France%20Bleu%20Gascogne%20-%20D&#233;cryptage%20Enedis%20lance%20une%20exp&#233;rience%20sur%20le%20photovoltaique%20(9h06).pdf" TargetMode="External"/><Relationship Id="rId12" Type="http://schemas.openxmlformats.org/officeDocument/2006/relationships/hyperlink" Target="file:///\\Ntkd0\co\ZE0SF000\ENEDIS_COMMUNICATION_PYRENEES_LANDES\Relations%20presses\Mediascope%20-%20kantarmedia\Articles%20presse\2020\SEPTEMBRE\2020-09-10%20-%20La%20d&#233;p&#234;che%20-%20Tarbes%20Voleurs%20vol&#233;s.%20C'est%20une%20histoire%20rocambolesque%20!%20Un%20jeune%20homme%20se%20pr&#233;sente.pdf" TargetMode="External"/><Relationship Id="rId17" Type="http://schemas.openxmlformats.org/officeDocument/2006/relationships/hyperlink" Target="file:///\\Ntkd0\co\ZE0SF000\ENEDIS_COMMUNICATION_PYRENEES_LANDES\Relations%20presses\Mediascope%20-%20kantarmedia\Articles%20presse\2020\SEPTEMBRE\2020-09-21%20-%20La%20R&#233;publique%20des%20Pyr&#233;n&#233;es%20-%20Ferme%20en%20feu%20&#224;%20Monfort,%2030%20pompiers%20mobilis&#233;s,%20le%20d&#233;sarroi%20de%20deux%20fr&#232;res.pdf" TargetMode="External"/><Relationship Id="rId25" Type="http://schemas.openxmlformats.org/officeDocument/2006/relationships/hyperlink" Target="file:///\\Ntkd0\co\ZE0SF000\ENEDIS_COMMUNICATION_PYRENEES_LANDES\Relations%20presses\Mediascope%20-%20kantarmedia\Articles%20presse\2020\SEPTEMBRE\2020-09-24%20-%20Sud-Ouest%20Pays%20Basque%20-%20Ils%20r&#233;inventent%20l&#8217;&#233;olienne%20depuis%20un%20garage%20Inspir&#233;s%20par%20la%20queue%20du%20thon.pdf" TargetMode="External"/><Relationship Id="rId33" Type="http://schemas.openxmlformats.org/officeDocument/2006/relationships/hyperlink" Target="file:///\\Ntkd0\co\ZE0SF000\ENEDIS_COMMUNICATION_PYRENEES_LANDES\Relations%20presses\Mediascope%20-%20kantarmedia\Articles%20presse\2020\SEPTEMBRE\2020-09-25%20-%20La%20R&#233;publique%20des%20Pyr&#233;n&#233;es%20-%20Enedis%20mise%20sur%20les%20v&#233;hicules%20&#233;lectriques.pdf" TargetMode="External"/><Relationship Id="rId38" Type="http://schemas.openxmlformats.org/officeDocument/2006/relationships/hyperlink" Target="file:///\\Ntkd0\co\ZE0SF000\ENEDIS_COMMUNICATION_PYRENEES_LANDES\Relations%20presses\Mediascope%20-%20kantarmedia\Articles%20presse\2020\SEPTEMBRE\2020-09-26%20-%20Sud-Ouest%20Pays%20Basque%20-%20Les%20intemp&#233;ries%20n&#8217;ont%20pas%20fait%20de%20gros%20d&#233;g&#226;ts.pdf" TargetMode="External"/><Relationship Id="rId46" Type="http://schemas.openxmlformats.org/officeDocument/2006/relationships/hyperlink" Target="file:///\\Ntkd0\co\ZE0SF000\ENEDIS_COMMUNICATION_PYRENEES_LANDES\Relations%20presses\CP-DP%20national\Tour%20de%20France\CP%20-%202020-09-07%20-%20Enedis%20lance%20sa%20campagne%20publicitaire.pdf" TargetMode="External"/><Relationship Id="rId20" Type="http://schemas.openxmlformats.org/officeDocument/2006/relationships/hyperlink" Target="file:///\\Ntkd0\co\ZE0SF000\ENEDIS_COMMUNICATION_PYRENEES_LANDES\Relations%20presses\Mediascope%20-%20kantarmedia\Articles%20presse\2020\SEPTEMBRE\2020-09-21%20-%20La%20R&#233;publique%20des%20Pyr&#233;n&#233;es%20-%20TRAVAUX%20L&#8217;avenue%20Copernic%20ferm&#233;e%20Du%2021%20au%2025%20septembre,%20des%20travaux%20de.pdf" TargetMode="External"/><Relationship Id="rId41" Type="http://schemas.openxmlformats.org/officeDocument/2006/relationships/hyperlink" Target="file:///\\Ntkd0\co\ZE0SF000\ENEDIS_COMMUNICATION_PYRENEES_LANDES\Relations%20presses\Mediascope%20-%20kantarmedia\Articles%20presse\2020\SEPTEMBRE\2020-09-25%20-%20La%20Nouvelle%20R&#233;publique%20des%20Pyr&#233;n&#233;es%20-%20Les%20chasseurs%20Pyr&#233;n&#233;ens%20de%20Tarbes%20vous%20informent.pdf" TargetMode="External"/><Relationship Id="rId54" Type="http://schemas.openxmlformats.org/officeDocument/2006/relationships/hyperlink" Target="file:///\\Ntkd0\co\ZE0SF000\ENEDIS_COMMUNICATION_PYRENEES_LANDES\Relations%20presses\CP-DP%20national\Environnement_RSE\CP%20-%202020-09-30%20-%20D&#233;veloppement%20durable%20et%20d&#233;marche%20et%20RSE.pdf" TargetMode="External"/><Relationship Id="rId1" Type="http://schemas.openxmlformats.org/officeDocument/2006/relationships/hyperlink" Target="file:///\\Ntkd0\co\ZE0SF000\ENEDIS_COMMUNICATION_PYRENEES_LANDES\Relations%20presses\Mediascope%20-%20kantarmedia\Articles%20presse\2020\SEPTEMBRE\2020-09-01%20-%20France%20Bleu%20-%20Landes%20le%20photovoltaique%20continue%20sa%20progression%20fulgurante%20dans%20le.pdf" TargetMode="External"/><Relationship Id="rId6" Type="http://schemas.openxmlformats.org/officeDocument/2006/relationships/hyperlink" Target="file:///\\Ntkd0\co\ZE0SF000\ENEDIS_COMMUNICATION_PYRENEES_LANDES\Relations%20presses\Mediascope%20-%20kantarmedia\Articles%20presse\2020\SEPTEMBRE\2020-09-10%20-%20La%20R&#233;publique%20des%20Pyr&#233;n&#233;es%20-%20B&#233;arn-Bigorre,%20les%20anti-Linky%20d&#233;bout&#233;s%20par%20le%20tribunal%20de%20Tarbes%20(12h22).pdf" TargetMode="External"/><Relationship Id="rId15" Type="http://schemas.openxmlformats.org/officeDocument/2006/relationships/hyperlink" Target="file:///\\Ntkd0\co\ZE0SF000\ENEDIS_COMMUNICATION_PYRENEES_LANDES\Relations%20presses\Mediascope%20-%20kantarmedia\Articles%20presse\2020\SEPTEMBRE\2020-09-17%20-%20La%20R&#233;publique%20des%20Pyr&#233;n&#233;es%20-%20L'&#233;cole%20de%20musique%20&#224;%20l'&#233;cole%20Victor-Hugo.pdf" TargetMode="External"/><Relationship Id="rId23" Type="http://schemas.openxmlformats.org/officeDocument/2006/relationships/hyperlink" Target="file:///\\Ntkd0\co\ZE0SF000\ENEDIS_COMMUNICATION_PYRENEES_LANDES\Relations%20presses\Mediascope%20-%20kantarmedia\Articles%20presse\2020\SEPTEMBRE\2020-09-23%20-%20La%20R&#233;publique%20des%20Pyr&#233;n&#233;es%20-%20Circulation%20interdite%20rue%20de%20S&#232;gues%20N%20Du%2025%20septembre%20au%2024%20octobre.pdf" TargetMode="External"/><Relationship Id="rId28" Type="http://schemas.openxmlformats.org/officeDocument/2006/relationships/hyperlink" Target="file:///\\Ntkd0\co\ZE0SF000\ENEDIS_COMMUNICATION_PYRENEES_LANDES\Relations%20presses\CP-DP%20national\Environnement_RSE\CP%20-%202020-09-30%20-%20D&#233;veloppement%20durable%20et%20d&#233;marche%20et%20RSE.pdf" TargetMode="External"/><Relationship Id="rId36" Type="http://schemas.openxmlformats.org/officeDocument/2006/relationships/hyperlink" Target="https://www.ladepeche.fr/2020/09/27/enedis-roule-pour-lelectrique-9099517.php" TargetMode="External"/><Relationship Id="rId49" Type="http://schemas.openxmlformats.org/officeDocument/2006/relationships/hyperlink" Target="file:///\\Ntkd0\co\ZE0SF000\ENEDIS_COMMUNICATION_PYRENEES_LANDES\Relations%20presses\Mediascope%20-%20kantarmedia\Articles%20presse\2020\SEPTEMBRE\2020-09-21%20-%20La%20R&#233;publique%20des%20Pyr&#233;n&#233;es%20-%20Ferme%20en%20feu%20&#224;%20Monfort,%2030%20pompiers%20mobilis&#233;s,%20le%20d&#233;sarroi%20de%20deux%20fr&#232;res.pdf" TargetMode="External"/><Relationship Id="rId57" Type="http://schemas.openxmlformats.org/officeDocument/2006/relationships/printerSettings" Target="../printerSettings/printerSettings13.bin"/><Relationship Id="rId10" Type="http://schemas.openxmlformats.org/officeDocument/2006/relationships/hyperlink" Target="file:///\\Ntkd0\co\ZE0SF000\ENEDIS_COMMUNICATION_PYRENEES_LANDES\Relations%20presses\Mediascope%20-%20kantarmedia\Articles%20presse\2020\SEPTEMBRE\2020-09-14%20-%20France%20Bleu%20Gascogne%20-%20Question%20d'une%20auditrice%20au%20sujet%20de%20l'installation%20d'un%20compteur%20Linky%20(9h06).pdf" TargetMode="External"/><Relationship Id="rId31" Type="http://schemas.openxmlformats.org/officeDocument/2006/relationships/hyperlink" Target="file:///\\Ntkd0\co\ZE0SF000\ENEDIS_COMMUNICATION_PYRENEES_LANDES\Relations%20presses\Mediascope%20-%20kantarmedia\Articles%20presse\2020\SEPTEMBRE\2020-09-28%20-%20Sud%20Ouest%20Gascogne%20-%20Un%20projet%20solidaire%20autour%20de%20la%20mobilit&#233;.pdf" TargetMode="External"/><Relationship Id="rId44" Type="http://schemas.openxmlformats.org/officeDocument/2006/relationships/hyperlink" Target="file:///\\Ntkd0\co\ZE0SF000\ENEDIS_COMMUNICATION_PYRENEES_LANDES\Relations%20presses\Mediascope%20-%20kantarmedia\Articles%20presse\2020\SEPTEMBRE\2020-09-28%20-%20La%20D&#233;p&#234;che%20-%20Coupures%20de%20courant.pdf" TargetMode="External"/><Relationship Id="rId52" Type="http://schemas.openxmlformats.org/officeDocument/2006/relationships/hyperlink" Target="file:///\\Ntkd0\co\ZE0SF000\ENEDIS_COMMUNICATION_PYRENEES_LANDES\Relations%20presses\Mediascope%20-%20kantarmedia\Articles%20presse\2020\SEPTEMBRE\2020-09-25%20-%20La%20D&#233;p&#234;che%20du%20Midi%20-%20Les%20chasseurs%20Pyr&#233;n&#233;ens%20de%20Tarbes%20vous%20informent%20que%20les%20cartes%20ZM%20seront%20di.pdf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udouest.fr/2020/10/04/intemperies-dans-les-landes-retour-a-la-normale-sur-le-reseau-electrique-7921426-4971.php" TargetMode="External"/><Relationship Id="rId21" Type="http://schemas.openxmlformats.org/officeDocument/2006/relationships/hyperlink" Target="file:///\\Ntkd0\co\ZE0SF000\ENEDIS_COMMUNICATION_PYRENEES_LANDES\Relations%20presses\Mediascope%20-%20kantarmedia\Articles%20presse\2020\10.%20OCTOBRE\2020-10-08%20-%20Sud-Ouest%20-%20400%20foyers%20priv&#233;s%20d'&#233;ectricit&#233;.pdf" TargetMode="External"/><Relationship Id="rId34" Type="http://schemas.openxmlformats.org/officeDocument/2006/relationships/hyperlink" Target="file:///\\Ntkd0\co\ZE0SF000\ENEDIS_COMMUNICATION_PYRENEES_LANDES\Relations%20presses\Mediascope%20-%20kantarmedia\Articles%20presse\2020\10.%20OCTOBRE\2020-10-12%20-%20La%20nouvelle%20r&#233;publique%20des%20pyr&#233;n&#233;es%20-%20Les%20petits%20d&#233;brouillards%20et%20ENEDIS%20causent%20transition%20&#233;cologique%20.pdf" TargetMode="External"/><Relationship Id="rId42" Type="http://schemas.openxmlformats.org/officeDocument/2006/relationships/hyperlink" Target="file:///\\Ntkd0\co\ZE0SF000\ENEDIS_COMMUNICATION_PYRENEES_LANDES\Relations%20presses\Mediascope%20-%20kantarmedia\Articles%20presse\2020\10.%20OCTOBRE\Sans%20mention\2020-10-05%20-%20France%20bleu%20Gascogne%20-%20Vielle-Saint-Girons%20(Landes)%20une%20trentaine%20de%20foyers%20priv&#233;e%20d'&#233;l&#233;ctricit&#233;" TargetMode="External"/><Relationship Id="rId47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50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55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63" Type="http://schemas.openxmlformats.org/officeDocument/2006/relationships/hyperlink" Target="https://www.clesdelatransition.org/acteurs-des-territoires/photovoltaique-comment-gerer-lafflux-delectricite" TargetMode="External"/><Relationship Id="rId7" Type="http://schemas.openxmlformats.org/officeDocument/2006/relationships/hyperlink" Target="file:///\\Ntkd0\co\ZE0SF000\ENEDIS_COMMUNICATION_PYRENEES_LANDES\Relations%20presses\Mediascope%20-%20kantarmedia\Articles%20presse\2020\10.%20OCTOBRE\2020-10-03%20-%20Sud-Ouest%20-%20Les%20cafetiers%20expriment%20bruyamment%20leur%20soutien%20Alex%20va%20secouer%20dans%20les%20Landes%20ce%20week-end.pdf" TargetMode="External"/><Relationship Id="rId2" Type="http://schemas.openxmlformats.org/officeDocument/2006/relationships/hyperlink" Target="https://www.francebleu.fr/infos/faits-divers-justice/landes-800-foyers-prives-d-electricite-dans-le-sud-du-departement-a-cause-de-vents-violents-1601715372" TargetMode="External"/><Relationship Id="rId16" Type="http://schemas.openxmlformats.org/officeDocument/2006/relationships/hyperlink" Target="file:///\\Ntkd0\co\ZE0SF000\ENEDIS_COMMUNICATION_PYRENEES_LANDES\Relations%20presses\Mediascope%20-%20kantarmedia\Articles%20presse\2020\10.%20OCTOBRE\2020-10-07%20-%20Le%20Petit%20Journal%20-%20Les%20Petits%20D&#233;brouillards%20restent%20&#224;%20la%20porte%20de%20l'&#233;cole%20!%20.pdf" TargetMode="External"/><Relationship Id="rId29" Type="http://schemas.openxmlformats.org/officeDocument/2006/relationships/hyperlink" Target="file:///\\Ntkd0\co\ZE0SF000\ENEDIS_COMMUNICATION_PYRENEES_LANDES\Relations%20presses\Mediascope%20-%20kantarmedia\Articles%20presse\2020\10.%20OCTOBRE\2020-10-09%20-%20La%20d&#233;p&#234;che%20-%20La%20mobilisation%20monte%20d'un%20cran%20chez%20Pommier.pdf" TargetMode="External"/><Relationship Id="rId11" Type="http://schemas.openxmlformats.org/officeDocument/2006/relationships/hyperlink" Target="file:///\\Ntkd0\co\ZE0SF000\ENEDIS_COMMUNICATION_PYRENEES_LANDES\Relations%20presses\Mediascope%20-%20kantarmedia\Articles%20presse\2020\10.%20OCTOBRE\2020-10-05%20-%20L'Eclair%20-%20Le%20sort%20s'acharne%20sur%20le%20restaurant%20Brooklyn%20burgers.pdf" TargetMode="External"/><Relationship Id="rId24" Type="http://schemas.openxmlformats.org/officeDocument/2006/relationships/hyperlink" Target="https://www.sudouest.fr/2020/10/03/landes-800-foyers-prives-d-electricite-apres-les-intemperies-7919143-4971.php" TargetMode="External"/><Relationship Id="rId32" Type="http://schemas.openxmlformats.org/officeDocument/2006/relationships/hyperlink" Target="file:///\\Ntkd0\co\ZE0SF000\ENEDIS_COMMUNICATION_PYRENEES_LANDES\Relations%20presses\Mediascope%20-%20kantarmedia\Articles%20presse\2020\10.%20OCTOBRE\2020-10-09%20-%20Le%20courrier%20-%20Surveillance%20du%20r&#233;seau%20&#233;lectrique.pdf" TargetMode="External"/><Relationship Id="rId37" Type="http://schemas.openxmlformats.org/officeDocument/2006/relationships/hyperlink" Target="file:///\\Ntkd0\co\ZE0SF000\ENEDIS_COMMUNICATION_PYRENEES_LANDES\Relations%20presses\Mediascope%20-%20kantarmedia\Articles%20presse\2020\10.%20OCTOBRE\2020-10-14%20-%20Sud%20Ouest%20-%20R&#233;union%20publique.pdf" TargetMode="External"/><Relationship Id="rId40" Type="http://schemas.openxmlformats.org/officeDocument/2006/relationships/hyperlink" Target="file:///\\Ntkd0\co\ZE0SF000\ENEDIS_COMMUNICATION_PYRENEES_LANDES\Relations%20presses\Mediascope%20-%20kantarmedia\Articles%20presse\2020\10.%20OCTOBRE\2020-10-09%20-%20L'&#233;clair%20-%20Ciel%20conforte%20son%20action%20d'insertion%20sociale%20et%20professionnell.pdf" TargetMode="External"/><Relationship Id="rId45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53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58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66" Type="http://schemas.openxmlformats.org/officeDocument/2006/relationships/printerSettings" Target="../printerSettings/printerSettings14.bin"/><Relationship Id="rId5" Type="http://schemas.openxmlformats.org/officeDocument/2006/relationships/hyperlink" Target="file:///\\Ntkd0\co\ZE0SF000\ENEDIS_COMMUNICATION_PYRENEES_LANDES\Relations%20presses\Mediascope%20-%20kantarmedia\Articles%20presse\2020\10.%20OCTOBRE\2020-10-03%20-%20France%20bleu%20Pays%20Basque%20-%20Temp&#234;te%20Alex%20250%20Foyers%20sans%20&#233;l&#233;ctricit&#233;%20dans%20le%20Pays%20Basque.pdf" TargetMode="External"/><Relationship Id="rId61" Type="http://schemas.openxmlformats.org/officeDocument/2006/relationships/hyperlink" Target="file:///\\Ntkd0\co\ZE0SF000\ENEDIS_COMMUNICATION_PYRENEES_LANDES\Relations%20presses\CP-DP%20DR%20PyL\65\Partenariats\Solidarit&#233;\Secours%20Populaire\CP%20Secour%20populaire%20-%2028_10_2020%20.pdf" TargetMode="External"/><Relationship Id="rId19" Type="http://schemas.openxmlformats.org/officeDocument/2006/relationships/hyperlink" Target="file:///\\Ntkd0\co\ZE0SF000\ENEDIS_COMMUNICATION_PYRENEES_LANDES\Relations%20presses\Mediascope%20-%20kantarmedia\Articles%20presse\2020\10.%20OCTOBRE\2020-10-08%20-%20La%20Nouvelle%20R&#233;publique%20des%20Pyr&#233;n&#233;es%20-%20Dans%20le%20cadre%20d'une%20convention%20entre%20Enedis%20et%20les%20Petits%20D&#233;brouillards" TargetMode="External"/><Relationship Id="rId14" Type="http://schemas.openxmlformats.org/officeDocument/2006/relationships/hyperlink" Target="https://www.lasemainedespyrenees.fr/2020/10/06/les-salaries-de-pommier-defendent-leur-avenir/" TargetMode="External"/><Relationship Id="rId22" Type="http://schemas.openxmlformats.org/officeDocument/2006/relationships/hyperlink" Target="file:///\\Ntkd0\co\ZE0SF000\ENEDIS_COMMUNICATION_PYRENEES_LANDES\Relations%20presses\Mediascope%20-%20kantarmedia\Articles%20presse\2020\10.%20OCTOBRE\2020-10-08%20-%20Sud-Ouest%20-%20Enedis,%20partenaire%20du%20Garage%20social%20et%20solidaire.pdf" TargetMode="External"/><Relationship Id="rId27" Type="http://schemas.openxmlformats.org/officeDocument/2006/relationships/hyperlink" Target="https://www.sudouest.fr/2020/10/07/orthez-70-foyers-prives-d-electricite-sur-le-quartier-de-castetarbe-7934588-4329.php" TargetMode="External"/><Relationship Id="rId30" Type="http://schemas.openxmlformats.org/officeDocument/2006/relationships/hyperlink" Target="file:///\\Ntkd0\co\ZE0SF000\ENEDIS_COMMUNICATION_PYRENEES_LANDES\Relations%20presses\Mediascope%20-%20kantarmedia\Articles%20presse\2020\10.%20OCTOBRE\2020-10-09%20-%20La%20nouvelle%20r&#233;publique%20des%20pyr&#233;n&#233;es%20-%20La%20mobilisation%20monte%20d'un%20cran%20chez%20Pommier.pdf" TargetMode="External"/><Relationship Id="rId35" Type="http://schemas.openxmlformats.org/officeDocument/2006/relationships/hyperlink" Target="file:///\\Ntkd0\co\ZE0SF000\ENEDIS_COMMUNICATION_PYRENEES_LANDES\Relations%20presses\Mediascope%20-%20kantarmedia\Articles%20presse\2020\10.%20OCTOBRE\2020-10-12%20-%20Sud%20Ouest%20-%20Ilos%20Biremont%20%20premiers%20travaux.pdf" TargetMode="External"/><Relationship Id="rId43" Type="http://schemas.openxmlformats.org/officeDocument/2006/relationships/hyperlink" Target="../../../b97280/AppData/Local/Temp/tagaday-69800039-20201028-1224.pdf" TargetMode="External"/><Relationship Id="rId48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56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64" Type="http://schemas.openxmlformats.org/officeDocument/2006/relationships/hyperlink" Target="https://www.sudouest.fr/2020/10/03/landes-800-foyers-prives-d-electricite-apres-les-intemperies-7919143-4971.php" TargetMode="External"/><Relationship Id="rId8" Type="http://schemas.openxmlformats.org/officeDocument/2006/relationships/hyperlink" Target="file:///\\Ntkd0\co\ZE0SF000\ENEDIS_COMMUNICATION_PYRENEES_LANDES\Relations%20presses\Mediascope%20-%20kantarmedia\Articles%20presse\2020\10.%20OCTOBRE\2020-10-04%20-%20France%20bleu%20Gascogne%20-%20Des%20coupures%20de%20courants%20dans%20les%20Landes.pdf" TargetMode="External"/><Relationship Id="rId51" Type="http://schemas.openxmlformats.org/officeDocument/2006/relationships/hyperlink" Target="https://www.ladepeche.fr/2020/10/28/tres-haut-debit-orange-poursuit-le-chantier-fibre-9168051.php" TargetMode="External"/><Relationship Id="rId3" Type="http://schemas.openxmlformats.org/officeDocument/2006/relationships/hyperlink" Target="file:///\\Ntkd0\co\ZE0SF000\ENEDIS_COMMUNICATION_PYRENEES_LANDES\Relations%20presses\Mediascope%20-%20kantarmedia\Articles%20presse\2020\10.%20OCTOBRE\2020-10-03%20-%20France%20bleu%20Gascogne%20-%20Une%20centraine%20d'agents%20d'ENEDIS%20d&#233;p&#234;ch&#233;s%20dans%20les%20Landes.pdf" TargetMode="External"/><Relationship Id="rId12" Type="http://schemas.openxmlformats.org/officeDocument/2006/relationships/hyperlink" Target="file:///\\Ntkd0\co\ZE0SF000\ENEDIS_COMMUNICATION_PYRENEES_LANDES\Relations%20presses\Mediascope%20-%20kantarmedia\Articles%20presse\2020\10.%20OCTOBRE\2020-10-05%20-%20Sud-Ouest%20-%20Une%20alerte%20vague%20submersion%20pour%20ce%20lundi.pdf" TargetMode="External"/><Relationship Id="rId17" Type="http://schemas.openxmlformats.org/officeDocument/2006/relationships/hyperlink" Target="file:///\\Ntkd0\co\ZE0SF000\ENEDIS_COMMUNICATION_PYRENEES_LANDES\Relations%20presses\Mediascope%20-%20kantarmedia\Articles%20presse\2020\10.%20OCTOBRE\2020-10-06%20-%20Sud-Ouest%20-%20Contr&#244;le%20des%20lignes%20&#233;lectriques%20en%20h&#233;lico.pdf" TargetMode="External"/><Relationship Id="rId25" Type="http://schemas.openxmlformats.org/officeDocument/2006/relationships/hyperlink" Target="https://www.sudouest.fr/2020/10/03/intemperies-au-pays-basque-pas-de-gros-degats-le-dimanche-sans-voiture-annule-7919246-4018.php" TargetMode="External"/><Relationship Id="rId33" Type="http://schemas.openxmlformats.org/officeDocument/2006/relationships/hyperlink" Target="file:///\\Ntkd0\co\ZE0SF000\ENEDIS_COMMUNICATION_PYRENEES_LANDES\Relations%20presses\Mediascope%20-%20kantarmedia\Articles%20presse\2020\10.%20OCTOBRE\2020-10-09%20-%20Sud%20Ouest%20-%20La%20s&#233;curisation%20des%20lignes%20continue%20.pdf" TargetMode="External"/><Relationship Id="rId38" Type="http://schemas.openxmlformats.org/officeDocument/2006/relationships/hyperlink" Target="file:///\\Ntkd0\co\ZE0SF000\ENEDIS_COMMUNICATION_PYRENEES_LANDES\Relations%20presses\Mediascope%20-%20kantarmedia\Articles%20presse\2020\10.%20OCTOBRE\2020-10-08%20-%20Mourenx%20Ciel%20Conforte%20son%20action%20d'insertion%20sociale%20et%20professionnelle.pdf" TargetMode="External"/><Relationship Id="rId46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59" Type="http://schemas.openxmlformats.org/officeDocument/2006/relationships/hyperlink" Target="https://www.facebook.com/syndicatdepartemental.denergie.3" TargetMode="External"/><Relationship Id="rId20" Type="http://schemas.openxmlformats.org/officeDocument/2006/relationships/hyperlink" Target="file:///\\Ntkd0\co\ZE0SF000\ENEDIS_COMMUNICATION_PYRENEES_LANDES\Relations%20presses\Mediascope%20-%20kantarmedia\Articles%20presse\2020\10.%20OCTOBRE\2020-10-08%20-%20La%20Semaine%20-%20Les%20salari&#233;s%20de%20Pommier%20d&#233;fendent%20leur%20avenir.pdf" TargetMode="External"/><Relationship Id="rId41" Type="http://schemas.openxmlformats.org/officeDocument/2006/relationships/hyperlink" Target="file:///\\Ntkd0\co\ZE0SF000\ENEDIS_COMMUNICATION_PYRENEES_LANDES\Relations%20presses\Mediascope%20-%20kantarmedia\Articles%20presse\2020\10.%20OCTOBRE\2020-10-15%20-%20M&#233;diabask%20-%20Coup%20d'acc&#233;l&#233;rateur%20aux%20&#233;nergies%20renouvelables.pdf" TargetMode="External"/><Relationship Id="rId54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62" Type="http://schemas.openxmlformats.org/officeDocument/2006/relationships/hyperlink" Target="../CP-DP%20DR%20PyL/40/r&#233;seau/2019-10%20M&#233;diatisation%20PDV%20St%20Geours%20De%20Maremne" TargetMode="External"/><Relationship Id="rId1" Type="http://schemas.openxmlformats.org/officeDocument/2006/relationships/hyperlink" Target="file:///\\Ntkd0\co\ZE0SF000\ENEDIS_COMMUNICATION_PYRENEES_LANDES\Relations%20presses\Mediascope%20-%20kantarmedia\Articles%20presse\2020\10.%20OCTOBRE\2020-10-02%20-%20Courrier%20-%20Surveillance%20des%20r&#233;seaux%20&#233;lectriques.pdf" TargetMode="External"/><Relationship Id="rId6" Type="http://schemas.openxmlformats.org/officeDocument/2006/relationships/hyperlink" Target="file:///\\Ntkd0\co\ZE0SF000\ENEDIS_COMMUNICATION_PYRENEES_LANDES\Relations%20presses\Mediascope%20-%20kantarmedia\Articles%20presse\2020\10.%20OCTOBRE\2020-10-03%20-%20Sud-Ouest%20-%20Des%20fortes%20pluies%20et%20une%20alerte%20vague%20submersion%20ce%20samedi%2022%20d&#233;c&#232;s%20sur%20la%20route%20depuis%20janvier.p" TargetMode="External"/><Relationship Id="rId15" Type="http://schemas.openxmlformats.org/officeDocument/2006/relationships/hyperlink" Target="file:///\\Ntkd0\co\ZE0SF000\ENEDIS_COMMUNICATION_PYRENEES_LANDES\Relations%20presses\Mediascope%20-%20kantarmedia\Articles%20presse\2020\10.%20OCTOBRE\2020-10-06%20-%20Sud%20Ouest%20-%20Quand%20insertion%20rime%20avec%20valorisation.pdf" TargetMode="External"/><Relationship Id="rId23" Type="http://schemas.openxmlformats.org/officeDocument/2006/relationships/hyperlink" Target="http://www.tarbes-infos.com/spip.php?article28149" TargetMode="External"/><Relationship Id="rId28" Type="http://schemas.openxmlformats.org/officeDocument/2006/relationships/hyperlink" Target="https://www.sudouest.fr/2020/10/08/enedis-partenaire-du-garage-social-et-solidaire-7936958-3490.php" TargetMode="External"/><Relationship Id="rId36" Type="http://schemas.openxmlformats.org/officeDocument/2006/relationships/hyperlink" Target="file:///\\Ntkd0\co\ZE0SF000\ENEDIS_COMMUNICATION_PYRENEES_LANDES\Relations%20presses\Mediascope%20-%20kantarmedia\Articles%20presse\2020\10.%20OCTOBRE\2020-10-12%20-La%20D&#233;p&#234;che%20-%20Les%20petits%20d&#233;brouillards%20et%20ENEDIS%20causent%20transition%20&#233;cologique%20.pdf" TargetMode="External"/><Relationship Id="rId49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57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10" Type="http://schemas.openxmlformats.org/officeDocument/2006/relationships/hyperlink" Target="file:///\\Ntkd0\co\ZE0SF000\ENEDIS_COMMUNICATION_PYRENEES_LANDES\Relations%20presses\Mediascope%20-%20kantarmedia\Articles%20presse\2020\10.%20OCTOBRE\2020-10-05%20-%20La%20R&#233;publique%20des%20Pyr&#233;n&#233;es%20-%20Le%20sort%20s'acharne%20sur%20le%20restaurant%20Brooklyn%20burgers.pdf" TargetMode="External"/><Relationship Id="rId31" Type="http://schemas.openxmlformats.org/officeDocument/2006/relationships/hyperlink" Target="file:///\\Ntkd0\co\ZE0SF000\ENEDIS_COMMUNICATION_PYRENEES_LANDES\Relations%20presses\Mediascope%20-%20kantarmedia\Articles%20presse\2020\10.%20OCTOBRE\2020-10-09%20-%20Le%20courrier%20-%20Le%20r&#233;seau%20&#233;lectrique%20surveill&#233;.pdf" TargetMode="External"/><Relationship Id="rId44" Type="http://schemas.openxmlformats.org/officeDocument/2006/relationships/hyperlink" Target="http://www.tarbes-infos.com/spip.php?article28372" TargetMode="External"/><Relationship Id="rId52" Type="http://schemas.openxmlformats.org/officeDocument/2006/relationships/hyperlink" Target="file:///\\Ntkd0\co\ZE0SF000\ENEDIS_COMMUNICATION_PYRENEES_LANDES\Relations%20presses\Mediascope%20-%20kantarmedia\Articles%20presse\2020\10.%20OCTOBRE\2020-10-23%20au%2029.pdf" TargetMode="External"/><Relationship Id="rId60" Type="http://schemas.openxmlformats.org/officeDocument/2006/relationships/hyperlink" Target="https://www.facebook.com/Secours-populaire-fran%C3%A7ais-des-Hautes-Pyr%C3%A9n%C3%A9es-694291440744156" TargetMode="External"/><Relationship Id="rId65" Type="http://schemas.openxmlformats.org/officeDocument/2006/relationships/hyperlink" Target="https://www.sudouest.fr/2020/10/04/intemperies-dans-les-landes-retour-a-la-normale-sur-le-reseau-electrique-7921426-4971.php" TargetMode="External"/><Relationship Id="rId4" Type="http://schemas.openxmlformats.org/officeDocument/2006/relationships/hyperlink" Target="file:///\\Ntkd0\co\ZE0SF000\ENEDIS_COMMUNICATION_PYRENEES_LANDES\Relations%20presses\Mediascope%20-%20kantarmedia\Articles%20presse\2020\10.%20OCTOBRE\2020-10-03%20-%20France%20bleu%20Pays%20Basque%20-%20Temp&#234;te%20Moins%20de%20100%20clients%20encore%20priv&#233;s%20d'&#233;l&#233;ctricit&#233;%20dans%20le%20Pays%20Basque.pdf" TargetMode="External"/><Relationship Id="rId9" Type="http://schemas.openxmlformats.org/officeDocument/2006/relationships/hyperlink" Target="file:///\\Ntkd0\co\ZE0SF000\ENEDIS_COMMUNICATION_PYRENEES_LANDES\Relations%20presses\Mediascope%20-%20kantarmedia\Articles%20presse\2020\10.%20OCTOBRE\2020-10-04%20-%20Sud-Ouest%20-%20Jusqu'&#224;%20800%20foyers%20priv&#233;s%20d'&#233;l&#233;ctricit&#233;.pdf" TargetMode="External"/><Relationship Id="rId13" Type="http://schemas.openxmlformats.org/officeDocument/2006/relationships/hyperlink" Target="file:///\\Ntkd0\co\ZE0SF000\ENEDIS_COMMUNICATION_PYRENEES_LANDES\Relations%20presses\Mediascope%20-%20kantarmedia\Articles%20presse\2020\10.%20OCTOBRE\2020-10-05%20-%20Sud-Ouest%20-D&#233;bordement%20en%20Arring%20et%20au-del&#224;%20Retour%20&#224;%20la%20normal%20pour%20Enedis.pdf" TargetMode="External"/><Relationship Id="rId18" Type="http://schemas.openxmlformats.org/officeDocument/2006/relationships/hyperlink" Target="file:///\\Ntkd0\co\ZE0SF000\ENEDIS_COMMUNICATION_PYRENEES_LANDES\Relations%20presses\Mediascope%20-%20kantarmedia\Articles%20presse\2020\10.%20OCTOBRE\2020-10-08%20-%20La%20D&#233;p&#234;che%20-%20Dans%20le%20cadre%20d'une%20convention%20entre%20Enedis%20et%20les%20Petits%20D&#233;brouillrds.pdf" TargetMode="External"/><Relationship Id="rId39" Type="http://schemas.openxmlformats.org/officeDocument/2006/relationships/hyperlink" Target="file:///\\Ntkd0\co\ZE0SF000\ENEDIS_COMMUNICATION_PYRENEES_LANDES\Relations%20presses\Mediascope%20-%20kantarmedia\Articles%20presse\2020\10.%20OCTOBRE\2020-10-09%20-%20La%20r&#233;publique%20des%20pyr&#233;n&#233;es%20-%20Ciel%20conforte%20son%20action%20d'insertion%20sociale%20et%20professionnelle.pdf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18" Type="http://schemas.openxmlformats.org/officeDocument/2006/relationships/hyperlink" Target="https://www.francebleu.fr/infos/societe/enedis-aura-fini-de-deployer-linky-en-2021-malgre-la-crise-1604941713" TargetMode="External"/><Relationship Id="rId26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39" Type="http://schemas.openxmlformats.org/officeDocument/2006/relationships/hyperlink" Target="file:///\\Ntkd0\co\ZE0SF000\ENEDIS_COMMUNICATION_PYRENEES_LANDES\Relations%20presses\CP-DP%20national\COVID%2019\RECONFINEMENT%20_OCT_NOV\4%20Nov%202020%20Enedis%20coronavirus%20mobilisation.docx" TargetMode="External"/><Relationship Id="rId21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34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7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2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16" Type="http://schemas.openxmlformats.org/officeDocument/2006/relationships/hyperlink" Target="file:///\\Ntkd0\co\ZE0SF000\ENEDIS_COMMUNICATION_PYRENEES_LANDES\Relations%20presses\Mediascope%20-%20kantarmedia\Articles%20presse\2020\11.%20NOVEMBRE\2020-11-05%20&#224;%2012.pdf" TargetMode="External"/><Relationship Id="rId20" Type="http://schemas.openxmlformats.org/officeDocument/2006/relationships/hyperlink" Target="https://www.sudouest.fr/2020/11/10/cette-offre-arrive-a-un-moment-crucial-8060964-3490.php" TargetMode="External"/><Relationship Id="rId29" Type="http://schemas.openxmlformats.org/officeDocument/2006/relationships/hyperlink" Target="file:///\\Ntkd0\co\ZE0SF000\ENEDIS_COMMUNICATION_PYRENEES_LANDES\Relations%20presses\CP-DP%20national\COVID%2019\RECONFINEMENT%20_OCT_NOV\4%20Nov%202020%20Enedis%20coronavirus%20mobilisation.docx" TargetMode="External"/><Relationship Id="rId41" Type="http://schemas.openxmlformats.org/officeDocument/2006/relationships/printerSettings" Target="../printerSettings/printerSettings15.bin"/><Relationship Id="rId1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6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11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24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32" Type="http://schemas.openxmlformats.org/officeDocument/2006/relationships/hyperlink" Target="https://www.sudouest.fr/2020/11/16/landes-plus-de-14-000-foyers-prives-d-electricite-dans-le-born-8082332-3307.php" TargetMode="External"/><Relationship Id="rId37" Type="http://schemas.openxmlformats.org/officeDocument/2006/relationships/hyperlink" Target="https://www.sudouest.fr/2020/11/10/cette-offre-arrive-a-un-moment-crucial-8060964-3490.php" TargetMode="External"/><Relationship Id="rId40" Type="http://schemas.openxmlformats.org/officeDocument/2006/relationships/hyperlink" Target="https://www.ladepeche.fr/2020/11/27/pour-la-justice-le-compteur-linky-nest-pas-obligatoire-9223702.php" TargetMode="External"/><Relationship Id="rId5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15" Type="http://schemas.openxmlformats.org/officeDocument/2006/relationships/hyperlink" Target="file:///\\Ntkd0\co\ZE0SF000\ENEDIS_COMMUNICATION_PYRENEES_LANDES\Relations%20presses\Mediascope%20-%20kantarmedia\Articles%20presse\2020\11.%20NOVEMBRE\2020-11-05%20&#224;%2012.pdf" TargetMode="External"/><Relationship Id="rId23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28" Type="http://schemas.openxmlformats.org/officeDocument/2006/relationships/hyperlink" Target="https://www.sudouest.fr/2020/11/09/linky-tous-les-compteurs-seront-poses-d-ici-la-fin-de-l-annee-2021-selon-enedis-8058383-11171.php" TargetMode="External"/><Relationship Id="rId36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10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19" Type="http://schemas.openxmlformats.org/officeDocument/2006/relationships/hyperlink" Target="file:///\\Ntkd0\co\ZE0SF000\ENEDIS_COMMUNICATION_PYRENEES_LANDES\Relations%20presses\Mediascope%20-%20kantarmedia\Articles%20presse\2020\11.%20NOVEMBRE\2020-11-05%20&#224;%2012.pdf" TargetMode="External"/><Relationship Id="rId31" Type="http://schemas.openxmlformats.org/officeDocument/2006/relationships/hyperlink" Target="file:///\\Ntkd0\co\ZE0SF000\ENEDIS_COMMUNICATION_PYRENEES_LANDES\Relations%20presses\CP-DP%20DR%20PyL\65\R&#233;seau\2020-11%20bareille\2020-%2011-%20CP%20Bareilles.pdf" TargetMode="External"/><Relationship Id="rId4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9" Type="http://schemas.openxmlformats.org/officeDocument/2006/relationships/hyperlink" Target="https://www.ladepeche.fr/2020/11/04/des-ordinateurs-pour-aider-les-familles-en-difficulte-9181141.php" TargetMode="External"/><Relationship Id="rId14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22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27" Type="http://schemas.openxmlformats.org/officeDocument/2006/relationships/hyperlink" Target="https://www.pv-magazine.fr/2020/11/05/debut-des-travaux-pour-la-centrale-landaise-de-labrit-siglee-engie-green/" TargetMode="External"/><Relationship Id="rId30" Type="http://schemas.openxmlformats.org/officeDocument/2006/relationships/hyperlink" Target="file:///\\Ntkd0\co\ZE0SF000\ENEDIS_COMMUNICATION_PYRENEES_LANDES\Relations%20presses\CP-DP%20DR%20PyL\64\Transition%20&#233;cologique-%20ME-%20enviro\2020-11%20Enedis%20accompagne%20bornes%20autoroute%20A64.pdf" TargetMode="External"/><Relationship Id="rId35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8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3" Type="http://schemas.openxmlformats.org/officeDocument/2006/relationships/hyperlink" Target="http://www.tarbes-infos.com/spip.php?article28429" TargetMode="External"/><Relationship Id="rId12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17" Type="http://schemas.openxmlformats.org/officeDocument/2006/relationships/hyperlink" Target="file:///\\Ntkd0\co\ZE0SF000\ENEDIS_COMMUNICATION_PYRENEES_LANDES\Relations%20presses\Mediascope%20-%20kantarmedia\Articles%20presse\2020\11.%20NOVEMBRE\2020-11-05%20&#224;%2012.pdf" TargetMode="External"/><Relationship Id="rId25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33" Type="http://schemas.openxmlformats.org/officeDocument/2006/relationships/hyperlink" Target="file:///\\Ntkd0\co\ZE0SF000\ENEDIS_COMMUNICATION_PYRENEES_LANDES\Relations%20presses\Mediascope%20-%20kantarmedia\Articles%20presse\2020\11.%20NOVEMBRE\2020-11-01%20&#224;%2005.pdf" TargetMode="External"/><Relationship Id="rId38" Type="http://schemas.openxmlformats.org/officeDocument/2006/relationships/hyperlink" Target="file:///\\Ntkd0\co\ZE0SF000\ENEDIS_COMMUNICATION_PYRENEES_LANDES\Relations%20presses\CP-DP%20national\COVID%2019\RECONFINEMENT%20_OCT_NOV\4%20Nov%202020%20Enedis%20coronavirus%20mobilisation.docx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file:///\\Ntkd0\co\ZE0SF000\ENEDIS_COMMUNICATION_PYRENEES_LANDES\Relations%20presses\CP-DP%20DR%20PyL\65\Partenariats\Les%20petits%20d&#233;brouillards\CP%20-%202020-09-28%20-%20Les%20petits%20d&#233;brouillard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presselib.com/" TargetMode="External"/><Relationship Id="rId18" Type="http://schemas.openxmlformats.org/officeDocument/2006/relationships/hyperlink" Target="http://www.radiopresence.com/" TargetMode="External"/><Relationship Id="rId26" Type="http://schemas.openxmlformats.org/officeDocument/2006/relationships/hyperlink" Target="http://www.atomicradio.fr/" TargetMode="External"/><Relationship Id="rId21" Type="http://schemas.openxmlformats.org/officeDocument/2006/relationships/hyperlink" Target="https://presselib.com/" TargetMode="External"/><Relationship Id="rId34" Type="http://schemas.openxmlformats.org/officeDocument/2006/relationships/hyperlink" Target="http://www.atomicradio.fr/" TargetMode="External"/><Relationship Id="rId7" Type="http://schemas.openxmlformats.org/officeDocument/2006/relationships/hyperlink" Target="http://www.la-semaine-du-pays-basque.com/" TargetMode="External"/><Relationship Id="rId12" Type="http://schemas.openxmlformats.org/officeDocument/2006/relationships/hyperlink" Target="http://pyrenees-infos.com/" TargetMode="External"/><Relationship Id="rId17" Type="http://schemas.openxmlformats.org/officeDocument/2006/relationships/hyperlink" Target="http://www.atomicradio.fr/" TargetMode="External"/><Relationship Id="rId25" Type="http://schemas.openxmlformats.org/officeDocument/2006/relationships/hyperlink" Target="http://www.avenir-aquitain.com/" TargetMode="External"/><Relationship Id="rId33" Type="http://schemas.openxmlformats.org/officeDocument/2006/relationships/hyperlink" Target="http://www.frequencegrandslacs.fr/" TargetMode="External"/><Relationship Id="rId2" Type="http://schemas.openxmlformats.org/officeDocument/2006/relationships/hyperlink" Target="http://www.lesillon.info/" TargetMode="External"/><Relationship Id="rId16" Type="http://schemas.openxmlformats.org/officeDocument/2006/relationships/hyperlink" Target="http://www.centpourcent.com/les-infos-10" TargetMode="External"/><Relationship Id="rId20" Type="http://schemas.openxmlformats.org/officeDocument/2006/relationships/hyperlink" Target="http://hpytv.over-blog.com/" TargetMode="External"/><Relationship Id="rId29" Type="http://schemas.openxmlformats.org/officeDocument/2006/relationships/hyperlink" Target="https://entreprisesengagees64.info/" TargetMode="External"/><Relationship Id="rId1" Type="http://schemas.openxmlformats.org/officeDocument/2006/relationships/hyperlink" Target="http://www.sudouest.fr/" TargetMode="External"/><Relationship Id="rId6" Type="http://schemas.openxmlformats.org/officeDocument/2006/relationships/hyperlink" Target="http://www.lepetitjournal.net/" TargetMode="External"/><Relationship Id="rId11" Type="http://schemas.openxmlformats.org/officeDocument/2006/relationships/hyperlink" Target="http://www.ladepeche.fr/communes/hautes-pyrenees,65/" TargetMode="External"/><Relationship Id="rId24" Type="http://schemas.openxmlformats.org/officeDocument/2006/relationships/hyperlink" Target="http://www.centpourcent.com/les-infos-10" TargetMode="External"/><Relationship Id="rId32" Type="http://schemas.openxmlformats.org/officeDocument/2006/relationships/hyperlink" Target="http://www.francebleu.fr/pays-basque" TargetMode="External"/><Relationship Id="rId37" Type="http://schemas.openxmlformats.org/officeDocument/2006/relationships/hyperlink" Target="http://www.flash-infos.com/information-economique-sud-ouest/" TargetMode="External"/><Relationship Id="rId5" Type="http://schemas.openxmlformats.org/officeDocument/2006/relationships/hyperlink" Target="http://www.avenir-aquitain.com/" TargetMode="External"/><Relationship Id="rId15" Type="http://schemas.openxmlformats.org/officeDocument/2006/relationships/hyperlink" Target="http://www.oloron-ste-marie.fr/Oloron/videos.php" TargetMode="External"/><Relationship Id="rId23" Type="http://schemas.openxmlformats.org/officeDocument/2006/relationships/hyperlink" Target="http://www.centpourcent.com/les-infos-10" TargetMode="External"/><Relationship Id="rId28" Type="http://schemas.openxmlformats.org/officeDocument/2006/relationships/hyperlink" Target="http://www.sudouest.fr/" TargetMode="External"/><Relationship Id="rId36" Type="http://schemas.openxmlformats.org/officeDocument/2006/relationships/hyperlink" Target="http://www.flash-infos.com/information-economique-sud-ouest/" TargetMode="External"/><Relationship Id="rId10" Type="http://schemas.openxmlformats.org/officeDocument/2006/relationships/hyperlink" Target="http://www.aqui.fr/" TargetMode="External"/><Relationship Id="rId19" Type="http://schemas.openxmlformats.org/officeDocument/2006/relationships/hyperlink" Target="http://hpytv.over-blog.com/" TargetMode="External"/><Relationship Id="rId31" Type="http://schemas.openxmlformats.org/officeDocument/2006/relationships/hyperlink" Target="http://www.francebleu.fr/gascogne" TargetMode="External"/><Relationship Id="rId4" Type="http://schemas.openxmlformats.org/officeDocument/2006/relationships/hyperlink" Target="http://www.larepubliquedespyrenees.fr/" TargetMode="External"/><Relationship Id="rId9" Type="http://schemas.openxmlformats.org/officeDocument/2006/relationships/hyperlink" Target="http://courrier-francais.com/landes/" TargetMode="External"/><Relationship Id="rId14" Type="http://schemas.openxmlformats.org/officeDocument/2006/relationships/hyperlink" Target="http://hpytv.over-blog.com/" TargetMode="External"/><Relationship Id="rId22" Type="http://schemas.openxmlformats.org/officeDocument/2006/relationships/hyperlink" Target="https://presselib.com/" TargetMode="External"/><Relationship Id="rId27" Type="http://schemas.openxmlformats.org/officeDocument/2006/relationships/hyperlink" Target="http://www.aqui.fr/" TargetMode="External"/><Relationship Id="rId30" Type="http://schemas.openxmlformats.org/officeDocument/2006/relationships/hyperlink" Target="https://www.francebleu.fr/bearn" TargetMode="External"/><Relationship Id="rId35" Type="http://schemas.openxmlformats.org/officeDocument/2006/relationships/hyperlink" Target="http://www.atomicradio.fr/" TargetMode="External"/><Relationship Id="rId8" Type="http://schemas.openxmlformats.org/officeDocument/2006/relationships/hyperlink" Target="http://www.lasemainedespyrenees.fr/" TargetMode="External"/><Relationship Id="rId3" Type="http://schemas.openxmlformats.org/officeDocument/2006/relationships/hyperlink" Target="http://www.nrpyrenees.f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landesbasketball.org/index.php/2020/01/21/challenge-penitentiaire-enedis-6eme-edition-efcb/" TargetMode="External"/><Relationship Id="rId18" Type="http://schemas.openxmlformats.org/officeDocument/2006/relationships/hyperlink" Target="https://www.sudouest.fr/2020/01/24/enedis-envoie-un-anti-linky-devant-le-tribunal-pour-violences-7101821-3350.php" TargetMode="External"/><Relationship Id="rId26" Type="http://schemas.openxmlformats.org/officeDocument/2006/relationships/hyperlink" Target="https://www.sudouest.fr/2020/01/15/lescar-64-quartier-libre-evacue-apres-une-coupure-de-courant-7064303-4344.php" TargetMode="External"/><Relationship Id="rId3" Type="http://schemas.openxmlformats.org/officeDocument/2006/relationships/hyperlink" Target="file:///\\Ntkd0\co\ZE0SF000\ENEDIS_COMMUNICATION_PYRENEES_LANDES\Relations%20presses\Mediascope%20-%20kantarmedia\Articles%20presse\2020\JANVIER\07-01-20%20-%20Sud%20Ouest%20B&#233;arn%20-%20Deux%20listes%20en%20piste%20pour%20succ&#233;der%20&#224;%20Jacques%20Cassiau.pdf" TargetMode="External"/><Relationship Id="rId21" Type="http://schemas.openxmlformats.org/officeDocument/2006/relationships/hyperlink" Target="https://www.sudouest.fr/2020/01/20/anticiper-les-effets-du-changement-climatique-7081607-4720.php" TargetMode="External"/><Relationship Id="rId34" Type="http://schemas.openxmlformats.org/officeDocument/2006/relationships/hyperlink" Target="file:///\\Ntkd0\co\ZE0SF000\ENEDIS_COMMUNICATION_PYRENEES_LANDES\Relations%20presses\Mediascope%20-%20kantarmedia\Articles%20presse\2020\JANVIER\15-01-20-%20Depeche%20du%20midi%20-%20FRECHENDETS%20Ils%20refusent%20le%20compteur%20coommuniquant%20Linky%20-%20Copie.pdf" TargetMode="External"/><Relationship Id="rId7" Type="http://schemas.openxmlformats.org/officeDocument/2006/relationships/hyperlink" Target="file:///\\Ntkd0\co\ZE0SF000\ENEDIS_COMMUNICATION_PYRENEES_LANDES\Relations%20presses\CP-DP%20DR%20PyL\64\CP%202020\17_01_2020_Enedis%20%20Bilan%20Temp&#234;tes%20PA%20BEARN.msg" TargetMode="External"/><Relationship Id="rId12" Type="http://schemas.openxmlformats.org/officeDocument/2006/relationships/hyperlink" Target="https://www.sudouest.fr/2020/01/11/une-candidature-et-des-voeux-7048618-3526.php" TargetMode="External"/><Relationship Id="rId17" Type="http://schemas.openxmlformats.org/officeDocument/2006/relationships/hyperlink" Target="https://www.sudouest.fr/2020/01/23/dax-un-anti-linky-devant-le-tribunal-pour-des-violences-sur-un-poseur-7098466-3350.php?fbclid=IwAR12M3_ojxy1NHr36_1-xY4uRyrtiKG3Xx7wj0GJO-GykkbELh3viwJD5yk" TargetMode="External"/><Relationship Id="rId25" Type="http://schemas.openxmlformats.org/officeDocument/2006/relationships/hyperlink" Target="https://www.sudouest.fr/2020/01/15/enedis-mobilisee-sur-le-front-des-tempetes-7062848-4385.php" TargetMode="External"/><Relationship Id="rId33" Type="http://schemas.openxmlformats.org/officeDocument/2006/relationships/hyperlink" Target="https://www.ladepeche.fr/2020/01/15/ils-refusent-le-compteur-communicant-linky,8662545.php" TargetMode="External"/><Relationship Id="rId2" Type="http://schemas.openxmlformats.org/officeDocument/2006/relationships/hyperlink" Target="file:///\\Ntkd0\co\ZE0SF000\ENEDIS_COMMUNICATION_PYRENEES_LANDES\Relations%20presses\Mediascope%20-%20kantarmedia\Articles%20presse\2020\JANVIER\04-01-20%20-%20SudOuestLandes%20-%20Avis%20de%20concertation%20pr&#233;alable%20au%20public.jpg" TargetMode="External"/><Relationship Id="rId16" Type="http://schemas.openxmlformats.org/officeDocument/2006/relationships/hyperlink" Target="file:///\\Ntkd0\co\ZE0SF000\ENEDIS_COMMUNICATION_PYRENEES_LANDES\Relations%20presses\Mediascope%20-%20kantarmedia\Articles%20presse\2020\JANVIER\27-01-20%20-%20SudOuestLandes%20-%20Enedis%20envoie%20un%20anti-linky%20devant%20le%20tribunal%20pour%20violences.JPG" TargetMode="External"/><Relationship Id="rId20" Type="http://schemas.openxmlformats.org/officeDocument/2006/relationships/hyperlink" Target="file:///\\Ntkd0\co\ZE0SF000\ENEDIS_COMMUNICATION_PYRENEES_LANDES\Relations%20presses\Mediascope%20-%20kantarmedia\Articles%20presse\2020\JANVIER\22-01-20%20-%20Sud%20Ouest%20PB%20-%20A%20esquiss&#233;%20un%20sourire%20en%20voyant%20l'une%20des%20indications%20du%20collectif.pdf" TargetMode="External"/><Relationship Id="rId29" Type="http://schemas.openxmlformats.org/officeDocument/2006/relationships/hyperlink" Target="file:///\\Ntkd0\co\ZE0SF000\ENEDIS_COMMUNICATION_PYRENEES_LANDES\Relations%20presses\Mediascope%20-%20kantarmedia\Articles%20presse\2020\JANVIER\16-01-20%20-%20L'&#233;clair%20-%20Lescar-Lons%20panne%20d&#8217;&#233;lectricit&#233;%20dans%20la%20zone%20Induspal%20et%20Quartier%20Libre.pdf" TargetMode="External"/><Relationship Id="rId1" Type="http://schemas.openxmlformats.org/officeDocument/2006/relationships/hyperlink" Target="file:///\\Ntkd0\co\ZE0SF000\ENEDIS_COMMUNICATION_PYRENEES_LANDES\Relations%20presses\Mediascope%20-%20kantarmedia\Articles%20presse\2020\JANVIER\01-01-20%20-%20La%20d&#233;p&#234;che%20-%20Chute%20de%20scooter.%20Hier%20matin,%20vers%207%20heures,%20une%20dame%20de%2040%20ans%20qui%20circulait.pdf" TargetMode="External"/><Relationship Id="rId6" Type="http://schemas.openxmlformats.org/officeDocument/2006/relationships/hyperlink" Target="file:///\\Ntkd0\co\ZE0SF000\ENEDIS_COMMUNICATION_PYRENEES_LANDES\Relations%20presses\Mediascope%20-%20kantarmedia\Articles%20presse\2020\JANVIER\07-01-20%20-%20Sud%20Ouest%20B&#233;arn%20-%20Deux%20listes%20en%20piste%20pour%20succ&#233;der%20&#224;%20Jacques%20Cassiau.pdf" TargetMode="External"/><Relationship Id="rId11" Type="http://schemas.openxmlformats.org/officeDocument/2006/relationships/hyperlink" Target="file:///\\Ntkd0\co\ZE0SF000\ENEDIS_COMMUNICATION_PYRENEES_LANDES\Relations%20presses\Mediascope%20-%20kantarmedia\Articles%20presse\2020\JANVIER\15-01-20-%20La%20Nouvelle%20Republique%20des%20Pyr&#233;n&#233;es%20-%20%20Ils%20refusent%20le%20compteur%20coommuniquant%20Linky.pdf" TargetMode="External"/><Relationship Id="rId24" Type="http://schemas.openxmlformats.org/officeDocument/2006/relationships/hyperlink" Target="file:///\\Ntkd0\co\ZE0SF000\ENEDIS_COMMUNICATION_PYRENEES_LANDES\Relations%20presses\Mediascope%20-%20kantarmedia\Articles%20presse\2020\JANVIER\15-01-20%20-%20Sud%20Ouest%20PB%20-%20C'est%20en%20millions%20d'euros%20ce%20qu'Enedis%20investit%20chaque%20ann&#233;e.pdf" TargetMode="External"/><Relationship Id="rId32" Type="http://schemas.openxmlformats.org/officeDocument/2006/relationships/hyperlink" Target="file:///\\Ntkd0\co\ZE0SF000\ENEDIS_COMMUNICATION_PYRENEES_LANDES\Relations%20presses\Mediascope%20-%20kantarmedia\Articles%20presse\2020\JANVIER\15-01-20%20-%20La%20Nouvelle%20Republique%20des%20Pyr&#233;n&#233;es-%20Un%20concours%20pour%20imaginer%20son%20entreprise%20virtuelle.pdf" TargetMode="External"/><Relationship Id="rId5" Type="http://schemas.openxmlformats.org/officeDocument/2006/relationships/hyperlink" Target="file:///\\Ntkd0\co\ZE0SF000\ENEDIS_COMMUNICATION_PYRENEES_LANDES\Relations%20presses\CP-DP%20DR%20PyL\64\CP%202020\15_01_2020%20Lescar%20%20Incident%20&#233;lectrique%20au%20Poste%20de%20Transformation%20.msg" TargetMode="External"/><Relationship Id="rId15" Type="http://schemas.openxmlformats.org/officeDocument/2006/relationships/hyperlink" Target="file:///\\Ntkd0\co\ZE0SF000\ENEDIS_COMMUNICATION_PYRENEES_LANDES\Relations%20presses\Mediascope%20-%20kantarmedia\Articles%20presse\2020\JANVIER\30-01-20%20-%20SudOuestLandes%20-%20La%20commune%20diversifie%20les%20moyens%20de%20paiement%20.pdf" TargetMode="External"/><Relationship Id="rId23" Type="http://schemas.openxmlformats.org/officeDocument/2006/relationships/hyperlink" Target="file:///\\Ntkd0\co\ZE0SF000\ENEDIS_COMMUNICATION_PYRENEES_LANDES\Relations%20presses\Mediascope%20-%20kantarmedia\Articles%20presse\2020\JANVIER\11-01-20%20-%20Sud%20Ouest%20PB%20-%20Le%20temps%20n'a%20pas%20suspendu%20son%20vol%20.pdf" TargetMode="External"/><Relationship Id="rId28" Type="http://schemas.openxmlformats.org/officeDocument/2006/relationships/hyperlink" Target="file:///\\Ntkd0\co\ZE0SF000\ENEDIS_COMMUNICATION_PYRENEES_LANDES\Relations%20presses\Mediascope%20-%20kantarmedia\Articles%20presse\2020\JANVIER\15-01-20%20-%20Sud%20Ouest%20PB%20-%20Enedis%20mobilis&#233;e%20sur%20le%20front%20des%20temp&#234;tes.pdf" TargetMode="External"/><Relationship Id="rId36" Type="http://schemas.openxmlformats.org/officeDocument/2006/relationships/printerSettings" Target="../printerSettings/printerSettings5.bin"/><Relationship Id="rId10" Type="http://schemas.openxmlformats.org/officeDocument/2006/relationships/hyperlink" Target="file:///\\Ntkd0\co\ZE0SF000\ENEDIS_COMMUNICATION_PYRENEES_LANDES\Relations%20presses\CP-DP%20DR%20PyL\65\Reseau\2020-01%20Chantier%20Villefranque\2020-01%20CP%20Chantier%20PDV%20Villefranque%20Maubourguet.pdf" TargetMode="External"/><Relationship Id="rId19" Type="http://schemas.openxmlformats.org/officeDocument/2006/relationships/hyperlink" Target="file:///\\Ntkd0\co\ZE0SF000\ENEDIS_COMMUNICATION_PYRENEES_LANDES\Relations%20presses\Mediascope%20-%20kantarmedia\Articles%20presse\2020\JANVIER\23-01-2020-%20Sud%20Ouest%20Landes%20-Anti%20Linky%20sur%20Agression%20St%20Paul%20les%20Dax.docx" TargetMode="External"/><Relationship Id="rId31" Type="http://schemas.openxmlformats.org/officeDocument/2006/relationships/hyperlink" Target="file:///\\Ntkd0\co\ZE0SF000\ENEDIS_COMMUNICATION_PYRENEES_LANDES\Relations%20presses\Mediascope%20-%20kantarmedia\Articles%20presse\2020\JANVIER\15-01-20%20-%20Depeche%20du%20midi%20-%20Un%20concours%20pour%20imaginer%20son%20entreprise%20virtuelle.pdf" TargetMode="External"/><Relationship Id="rId4" Type="http://schemas.openxmlformats.org/officeDocument/2006/relationships/hyperlink" Target="file:///\\Ntkd0\co\ZE0SF000\ENEDIS_COMMUNICATION_PYRENEES_LANDES\Relations%20presses\CP-DP%20DR%20PyL\64\CP%202020\14_01_2020_RE%20TR%20URGENT%20RE%20article%20dans%20Sud%20Ouest%20valorisation%20salari&#233;s%20GARAZI%20&#224;%20para&#238;tre%20demain.msg" TargetMode="External"/><Relationship Id="rId9" Type="http://schemas.openxmlformats.org/officeDocument/2006/relationships/hyperlink" Target="file:///\\Ntkd0\co\ZE0SF000\ENEDIS_COMMUNICATION_PYRENEES_LANDES\Relations%20presses\CP-DP%20DR%20PyL\65\Solidarite\Don%20de%20v&#233;hicule\2020-01%20don%20de%20vehicule%20Secours%20pop\2020-01%20CP%20Don%20v&#233;hicule%20SP%20Soulom%20VDEF.doc" TargetMode="External"/><Relationship Id="rId14" Type="http://schemas.openxmlformats.org/officeDocument/2006/relationships/hyperlink" Target="https://www.sudouest.fr/2020/01/30/la-commune-diversifie-les-moyens-de-paiement-7128572-3310.php" TargetMode="External"/><Relationship Id="rId22" Type="http://schemas.openxmlformats.org/officeDocument/2006/relationships/hyperlink" Target="file:///\\Ntkd0\co\ZE0SF000\ENEDIS_COMMUNICATION_PYRENEES_LANDES\Relations%20presses\Mediascope%20-%20kantarmedia\Articles%20presse\2020\JANVIER\20-01-20%20-%20Anticiper%20les%20effets%20du%20changement%20climatique.jpg" TargetMode="External"/><Relationship Id="rId27" Type="http://schemas.openxmlformats.org/officeDocument/2006/relationships/hyperlink" Target="https://www.larepubliquedespyrenees.fr/2020/01/15/lons-lescar-panne-de-courant-dans-la-zone-induspal-et-quartier-libre,2649660.php" TargetMode="External"/><Relationship Id="rId30" Type="http://schemas.openxmlformats.org/officeDocument/2006/relationships/hyperlink" Target="https://www.ladepeche.fr/2020/01/15/un-concours-pour-imaginer-son-entreprise-virtuelle,8662026.php" TargetMode="External"/><Relationship Id="rId35" Type="http://schemas.openxmlformats.org/officeDocument/2006/relationships/hyperlink" Target="https://www.nrpyrenees.fr/2020/01/03/le-coding-gouter-a-3-ans,8639253.php" TargetMode="External"/><Relationship Id="rId8" Type="http://schemas.openxmlformats.org/officeDocument/2006/relationships/hyperlink" Target="file:///\\Ntkd0\co\ZE0SF000\ENEDIS_COMMUNICATION_PYRENEES_LANDES\Relations%20presses\CP-DP%20DR%20PyL\64\CP%202020\30_01_2020_Don%20de%20VE%20&#224;%20l'IEBA\2020-01%20CP%20Don%20v&#233;hicule%20&#233;lectrique.pdf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file:///\\Ntkd0\co\ZE0SF000\ENEDIS_COMMUNICATION_PYRENEES_LANDES\Relations%20presses\Mediascope%20-%20kantarmedia\Articles%20presse\2020\FEVRIER\04-02-2020%20-%20Sud%20Ouest%20Landes%20-%20A%20la%20t&#234;te%20de%2060hectares%20en%20agriculture%20biologique%20-c&#233;r&#233;ales,%20pois%20prot&#233;agineux.pdf" TargetMode="External"/><Relationship Id="rId18" Type="http://schemas.openxmlformats.org/officeDocument/2006/relationships/hyperlink" Target="file:///\\Ntkd0\co\ZE0SF000\ENEDIS_COMMUNICATION_PYRENEES_LANDES\Relations%20presses\Mediascope%20-%20kantarmedia\Articles%20presse\2020\FEVRIER\03-02-2020%20-%20Aqui%20-%20Le%20coup%20de%20pouce%20d'Enedis%20&#224;%20la%20mission%20locale%20BA.pdf" TargetMode="External"/><Relationship Id="rId26" Type="http://schemas.openxmlformats.org/officeDocument/2006/relationships/hyperlink" Target="file:///\\Ntkd0\co\ZE0SF000\ENEDIS_COMMUNICATION_PYRENEES_LANDES\Relations%20presses\Mediascope%20-%20kantarmedia\Articles%20presse\2020\FEVRIER\06-02-20%20-%20La%20NR%20des%20pyr&#233;n&#233;es%20-%20Des%20coupures%20d'lectricit&#233;%20lundi%203%20f&#233;vrier%202020.pdf" TargetMode="External"/><Relationship Id="rId39" Type="http://schemas.openxmlformats.org/officeDocument/2006/relationships/hyperlink" Target="file:///\\Ntkd0\co\ZE0SF000\ENEDIS_COMMUNICATION_PYRENEES_LANDES\Relations%20presses\Mediascope%20-%20kantarmedia\Articles%20presse\2020\FEVRIER\08-02-2020%20-%20Le%20Sillon%20-%20Le%20projet%20d'acha%20group&#233;%20se%20pr&#233;cise.pdf" TargetMode="External"/><Relationship Id="rId21" Type="http://schemas.openxmlformats.org/officeDocument/2006/relationships/hyperlink" Target="https://www.leon.fr/Mairie/Vie-municipale/Les-actus-de-Leon/Coupure-de-courant" TargetMode="External"/><Relationship Id="rId34" Type="http://schemas.openxmlformats.org/officeDocument/2006/relationships/hyperlink" Target="https://www.lasemainedespyrenees.fr/2020/02/14/video-tarbes-convoque-a-la-gendarmerie-lelu-cgt-est-serein/" TargetMode="External"/><Relationship Id="rId42" Type="http://schemas.openxmlformats.org/officeDocument/2006/relationships/hyperlink" Target="https://www.nrpyrenees.fr/2020/02/25/une-action-collective-lancee-contre-linky,8754804.php" TargetMode="External"/><Relationship Id="rId47" Type="http://schemas.openxmlformats.org/officeDocument/2006/relationships/hyperlink" Target="https://mairie-ibos.fr/event/coupures-de-courant-pour-travaux/2020-02-26/" TargetMode="External"/><Relationship Id="rId50" Type="http://schemas.openxmlformats.org/officeDocument/2006/relationships/hyperlink" Target="https://www.lepetitjournal.net/65-hautes-pyrenees/2020/02/25/les-travaux-de-lentree-est-se-terminent/" TargetMode="External"/><Relationship Id="rId55" Type="http://schemas.openxmlformats.org/officeDocument/2006/relationships/hyperlink" Target="https://www.mairie-magescq.fr/l-actu-du-moment/challenge-penitentiaire-enedis-6eme-edition-magescq-basket" TargetMode="External"/><Relationship Id="rId7" Type="http://schemas.openxmlformats.org/officeDocument/2006/relationships/hyperlink" Target="https://www.lasemainedespyrenees.fr/2020/01/31/maubourguet-sombrun-villefranque-enedis-fiabilise-et-modernise-le-reseau-electrique/" TargetMode="External"/><Relationship Id="rId2" Type="http://schemas.openxmlformats.org/officeDocument/2006/relationships/hyperlink" Target="file:///\\Ntkd0\co\ZE0SF000\ENEDIS_COMMUNICATION_PYRENEES_LANDES\Relations%20presses\CP-DP%20DR%20PyL\40\enviro\2020%20-%2002%20%20Cigogne%20St%20Andr&#233;%20de%20Seignanx\CP%20Saint%20Andr&#233;%20de%20Seignanx%20-%20Cigogne_CPAL%20-%20Copie.docx" TargetMode="External"/><Relationship Id="rId16" Type="http://schemas.openxmlformats.org/officeDocument/2006/relationships/hyperlink" Target="https://www.lepetitjournal.net/65-hautes-pyrenees/2020/02/03/enedis-fiabilise-et-modernise-le-reseau-electrique/" TargetMode="External"/><Relationship Id="rId29" Type="http://schemas.openxmlformats.org/officeDocument/2006/relationships/hyperlink" Target="https://www.larepubliquedespyrenees.fr/2020/02/07/morlaas-une-voiture-offerte-ala-mission-locale-pour-l-emploi,2660068.php" TargetMode="External"/><Relationship Id="rId11" Type="http://schemas.openxmlformats.org/officeDocument/2006/relationships/hyperlink" Target="file:///\\Ntkd0\co\ZE0SF000\ENEDIS_COMMUNICATION_PYRENEES_LANDES\Relations%20presses\Mediascope%20-%20kantarmedia\Articles%20presse\2020\FEVRIER\05-02-2020%20-%20La%20NR%20des%20pyr&#233;n&#233;es%20-%20Enedis%20fait%20don%20d'un%20v&#233;hicule%20au%20SP.pdf" TargetMode="External"/><Relationship Id="rId24" Type="http://schemas.openxmlformats.org/officeDocument/2006/relationships/hyperlink" Target="https://www.tosse.fr/Actualites/Toute-l-actu-de-Tosse/Coupures-d-electricite-pour-travaux" TargetMode="External"/><Relationship Id="rId32" Type="http://schemas.openxmlformats.org/officeDocument/2006/relationships/hyperlink" Target="https://www.sudouest.fr/2020/02/12/un-coup-de-pouce-a-la-mobilite-territoriale-7183984-4305.php" TargetMode="External"/><Relationship Id="rId37" Type="http://schemas.openxmlformats.org/officeDocument/2006/relationships/hyperlink" Target="file:///\\Ntkd0\co\ZE0SF000\ENEDIS_COMMUNICATION_PYRENEES_LANDES\Relations%20presses\Mediascope%20-%20kantarmedia\Articles%20presse\2020\FEVRIER\12-02-2020%20-%20La%20d&#234;peche%20-%20Le%20compteur%20repr&#233;sente-t-il%20un%20risque%20pour%20ma%20sant&#233;&#8239;%20L&#8217;installation%20des%20compteurs%20Linky%20inqui&#232;te.pdf" TargetMode="External"/><Relationship Id="rId40" Type="http://schemas.openxmlformats.org/officeDocument/2006/relationships/hyperlink" Target="file:///\\Ntkd0\co\ZE0SF000\ENEDIS_COMMUNICATION_PYRENEES_LANDES\Relations%20presses\Mediascope%20-%20kantarmedia\Articles%20presse\2020\FEVRIER\08-02-2020%20-%20Le%20Sillon%20-%20Le%20projet%20d'acha%20group&#233;%20se%20pr&#233;cise.pdf" TargetMode="External"/><Relationship Id="rId45" Type="http://schemas.openxmlformats.org/officeDocument/2006/relationships/hyperlink" Target="https://www.ladepeche.fr/2020/02/27/nouvel-ecrin-pour-lentree-est-des-thermes,8758857.php" TargetMode="External"/><Relationship Id="rId53" Type="http://schemas.openxmlformats.org/officeDocument/2006/relationships/hyperlink" Target="https://www.lasemainedespyrenees.fr/2020/02/28/tarbes-saddig-stagiaire-a-lagence-dintervention-bigorre-ou-la-promesse-dun-avenir-meilleur/" TargetMode="External"/><Relationship Id="rId58" Type="http://schemas.openxmlformats.org/officeDocument/2006/relationships/printerSettings" Target="../printerSettings/printerSettings6.bin"/><Relationship Id="rId5" Type="http://schemas.openxmlformats.org/officeDocument/2006/relationships/hyperlink" Target="https://www.ladepeche.fr/2020/02/06/le-reseau-electrique-modernise-par-enedis,8713447.php" TargetMode="External"/><Relationship Id="rId19" Type="http://schemas.openxmlformats.org/officeDocument/2006/relationships/hyperlink" Target="http://avem.fr/actualite-enedis-offre-un-kangoo-electrique-a-la-mission-locale-bearn-adour-7871.html" TargetMode="External"/><Relationship Id="rId4" Type="http://schemas.openxmlformats.org/officeDocument/2006/relationships/hyperlink" Target="file:///\\Ntkd0\co\ZE0SF000\ENEDIS_COMMUNICATION_PYRENEES_LANDES\Relations%20presses\Mediascope%20-%20kantarmedia\Articles%20presse\2020\FEVRIER\06-02-2020%20-%20La%20dep&#234;che%20-%20Le%20r&#233;seau%20&#233;lectrique%20modernis&#233;%20par%20Enedis.pdf" TargetMode="External"/><Relationship Id="rId9" Type="http://schemas.openxmlformats.org/officeDocument/2006/relationships/hyperlink" Target="file:///\\Ntkd0\co\ZE0SF000\ENEDIS_COMMUNICATION_PYRENEES_LANDES\Relations%20presses\Mediascope%20-%20kantarmedia\Articles%20presse\2020\FEVRIER\05-02-2020%20-%20La%20d&#234;peche%20-%20Enedis%20fait%20don%20d'un%20v&#233;hicule%20au%20SP.pdf" TargetMode="External"/><Relationship Id="rId14" Type="http://schemas.openxmlformats.org/officeDocument/2006/relationships/hyperlink" Target="file:///\\Ntkd0\co\ZE0SF000\ENEDIS_COMMUNICATION_PYRENEES_LANDES\Relations%20presses\Mediascope%20-%20kantarmedia\Articles%20presse\2020\FEVRIER\05-02-2020%20-%20Sud%20Ouest%20B&#233;arn%20-%20ORAAS%20NAVARRENX.pdf" TargetMode="External"/><Relationship Id="rId22" Type="http://schemas.openxmlformats.org/officeDocument/2006/relationships/hyperlink" Target="https://www.sore.fr/Agenda-et-actualites/Actualites-du-village/coupures-d-electricite" TargetMode="External"/><Relationship Id="rId27" Type="http://schemas.openxmlformats.org/officeDocument/2006/relationships/hyperlink" Target="file:///\\Ntkd0\co\ZE0SF000\ENEDIS_COMMUNICATION_PYRENEES_LANDES\Relations%20presses\Mediascope%20-%20kantarmedia\Articles%20presse\2020\FEVRIER\06-02-20%20-%20La%20d&#234;peche%20-%20Des%20coupures%20d'lectricit&#233;%20%20-%20Copie.pdf" TargetMode="External"/><Relationship Id="rId30" Type="http://schemas.openxmlformats.org/officeDocument/2006/relationships/hyperlink" Target="file:///\\Ntkd0\co\ZE0SF000\ENEDIS_COMMUNICATION_PYRENEES_LANDES\Relations%20presses\Mediascope%20-%20kantarmedia\Articles%20presse\2020\FEVRIER\07-02-2020%20%20-%20La%20NR%20des%20pyr&#233;n&#233;es%20-%20On%20peut%20refuser%20le%20compteur%20Linky.pdf" TargetMode="External"/><Relationship Id="rId35" Type="http://schemas.openxmlformats.org/officeDocument/2006/relationships/hyperlink" Target="https://www.ladepeche.fr/2020/02/15/un-elu-cgt-convoque-a-la-gendarmerie,8734078.php" TargetMode="External"/><Relationship Id="rId43" Type="http://schemas.openxmlformats.org/officeDocument/2006/relationships/hyperlink" Target="https://www.ladepeche.fr/2020/02/25/action-collective-contre-le-compteur-linky,8754340.php" TargetMode="External"/><Relationship Id="rId48" Type="http://schemas.openxmlformats.org/officeDocument/2006/relationships/hyperlink" Target="file:///\\Ntkd0\co\ZE0SF000\ENEDIS_COMMUNICATION_PYRENEES_LANDES\Relations%20presses\Mediascope%20-%20kantarmedia\Articles%20presse\2020\FEVRIER\25-02-2020%20-%20La%20semaine%20des%20Pyr&#233;n&#233;es%20-%20Bagn&#232;res%20les%20travaux%20de%20l'entr&#233;e%20Est%20se%20terminent.pdf" TargetMode="External"/><Relationship Id="rId56" Type="http://schemas.openxmlformats.org/officeDocument/2006/relationships/hyperlink" Target="file:///\\Ntkd0\co\ZE0SF000\ENEDIS_COMMUNICATION_PYRENEES_LANDES\Relations%20presses\Mediascope%20-%20kantarmedia\Articles%20presse\2020\FEVRIER\25-02-2020%20-%20La%20d&#234;peche%20-%20Pour%20r&#233;pondre%20aux%20besoins%20de%20sa%20client&#232;le,%20Enedis%20a%20pr&#233;vu%20de%20r&#233;aliser%20sur%20le%20r&#233;seau%20de%20distribution%20" TargetMode="External"/><Relationship Id="rId8" Type="http://schemas.openxmlformats.org/officeDocument/2006/relationships/hyperlink" Target="file:///\\Ntkd0\co\ZE0SF000\ENEDIS_COMMUNICATION_PYRENEES_LANDES\Relations%20presses\Mediascope%20-%20kantarmedia\Articles%20presse\2020\FEVRIER\03-02-2020%20-%20La%20semaine%20des%20pyr&#233;n&#233;es%20-%20231%20clients%20priv&#233;s%20d'&#233;lectricit&#233;.pdf" TargetMode="External"/><Relationship Id="rId51" Type="http://schemas.openxmlformats.org/officeDocument/2006/relationships/hyperlink" Target="file:///\\Ntkd0\co\ZE0SF000\ENEDIS_COMMUNICATION_PYRENEES_LANDES\Relations%20presses\Mediascope%20-%20kantarmedia\Articles%20presse\2020\FEVRIER\25-02-2020%20-%20Le%20Petit%20Journal%20-%20Les%20travaux%20de%20l'entr&#233;e%20Est%20se%20terminent.pdf" TargetMode="External"/><Relationship Id="rId3" Type="http://schemas.openxmlformats.org/officeDocument/2006/relationships/hyperlink" Target="file:///\\Ntkd0\co\ZE0SF000\ENEDIS_COMMUNICATION_PYRENEES_LANDES\Relations%20presses\CP-DP%20DR%20PyL\65\Solidarite\Saddig,%20stagiaire%20&#224;%20l'AI%20Bigorre\2020-02%20CP%20Saddig,%20stagiaire%20&#224;%20l'Agence%20d'Intervention%20Bigorre.doc" TargetMode="External"/><Relationship Id="rId12" Type="http://schemas.openxmlformats.org/officeDocument/2006/relationships/hyperlink" Target="https://www.nrpyrenees.fr/2020/02/05/enedis-fait-don-dun-vehicule-au-secours-populaire,8710480.php" TargetMode="External"/><Relationship Id="rId17" Type="http://schemas.openxmlformats.org/officeDocument/2006/relationships/hyperlink" Target="http://www.tarbes-infos.com/IMG/pdf/2020-01_cp_chantier_pdv_villefranque_maubourguet.pdf" TargetMode="External"/><Relationship Id="rId25" Type="http://schemas.openxmlformats.org/officeDocument/2006/relationships/hyperlink" Target="http://www.landes.gouv.fr/IMG/pdf/plaquetteconsultationpublic.pdf" TargetMode="External"/><Relationship Id="rId33" Type="http://schemas.openxmlformats.org/officeDocument/2006/relationships/hyperlink" Target="file:///\\Ntkd0\co\ZE0SF000\ENEDIS_COMMUNICATION_PYRENEES_LANDES\Relations%20presses\Mediascope%20-%20kantarmedia\Articles%20presse\2020\FEVRIER\12-02-2020%20-%20La%20semaine%20des%20pyr&#233;n&#233;es%20-%20Un%20&#233;lu%20de%20la%20CGT%20convoqu&#233;%20&#224;%20la%20gendarmerie.pdf" TargetMode="External"/><Relationship Id="rId38" Type="http://schemas.openxmlformats.org/officeDocument/2006/relationships/hyperlink" Target="file:///\\Ntkd0\co\ZE0SF000\ENEDIS_COMMUNICATION_PYRENEES_LANDES\Relations%20presses\Mediascope%20-%20kantarmedia\Articles%20presse\2020\FEVRIER\08-02-2020%20-%20L&#233;clair%20-%20Une%20voiture%20offerte%20&#224;%20la%20Mission%20Locale%20pour%20l'emploi.pdf" TargetMode="External"/><Relationship Id="rId46" Type="http://schemas.openxmlformats.org/officeDocument/2006/relationships/hyperlink" Target="https://www.alvinet.com/similaires/bagneres-de-bigorre-nouvel-ecrin-pour-l-entree-est-des-thermes/53879737" TargetMode="External"/><Relationship Id="rId20" Type="http://schemas.openxmlformats.org/officeDocument/2006/relationships/hyperlink" Target="file:///\\Ntkd0\co\ZE0SF000\ENEDIS_COMMUNICATION_PYRENEES_LANDES\Relations%20presses\Mediascope%20-%20kantarmedia\Articles%20presse\2020\FEVRIER\04-02-2020%20-%20Sud%20Ouest%20PB%20-%20Coupure%20d'&#233;lectricit&#233;%20vendredi%20matin%20.pdf" TargetMode="External"/><Relationship Id="rId41" Type="http://schemas.openxmlformats.org/officeDocument/2006/relationships/hyperlink" Target="file:///\\Ntkd0\co\ZE0SF000\ENEDIS_COMMUNICATION_PYRENEES_LANDES\Relations%20presses\Mediascope%20-%20kantarmedia\Articles%20presse\2020\FEVRIER\25-02-2020%20-%20La%20d&#234;peche%20-%20Action%20collective%20contre%20le%20compteur%20Linky.pdf" TargetMode="External"/><Relationship Id="rId54" Type="http://schemas.openxmlformats.org/officeDocument/2006/relationships/hyperlink" Target="https://www.lepetitjournal.net/65-hautes-pyrenees/2020/02/28/saddig-stagiaire-a-lagence-dintervention-bigorre/" TargetMode="External"/><Relationship Id="rId1" Type="http://schemas.openxmlformats.org/officeDocument/2006/relationships/hyperlink" Target="file:///\\Ntkd0\co\ZE0SF000\ENEDIS_COMMUNICATION_PYRENEES_LANDES\Relations%20presses\CP-DP%20DR%20PyL\64\CP%202020\2020_06_02_THD_Enedis&amp;GRETA_sensibilisent%20aux%20risques%20&#233;lectriques.doc" TargetMode="External"/><Relationship Id="rId6" Type="http://schemas.openxmlformats.org/officeDocument/2006/relationships/hyperlink" Target="https://www.nrpyrenees.fr/2020/02/06/le-reseau-electrique-modernise-par-enedis,8713011.php" TargetMode="External"/><Relationship Id="rId15" Type="http://schemas.openxmlformats.org/officeDocument/2006/relationships/hyperlink" Target="file:///\\Ntkd0\co\ZE0SF000\ENEDIS_COMMUNICATION_PYRENEES_LANDES\Relations%20presses\Mediascope%20-%20kantarmedia\Articles%20presse\2020\FEVRIER\05-02-2020%20-%20Le%20Petit%20Jounal%20-%20Enedis%20fiabilise%20et%20modernise%20le%20r&#233;seau%20&#233;lectrique.pdf" TargetMode="External"/><Relationship Id="rId23" Type="http://schemas.openxmlformats.org/officeDocument/2006/relationships/hyperlink" Target="https://www.escource.fr/Vie-municipale/Actus/Coupures-electriques2" TargetMode="External"/><Relationship Id="rId28" Type="http://schemas.openxmlformats.org/officeDocument/2006/relationships/hyperlink" Target="file:///\\Ntkd0\co\ZE0SF000\ENEDIS_COMMUNICATION_PYRENEES_LANDES\Relations%20presses\Mediascope%20-%20kantarmedia\Articles%20presse\2020\FEVRIER\09-02-20%20-%20La%20REP%20des%20pyr&#233;n&#233;es%20-%20Don%20de%20v&#233;hicule%20&#224;%20mission%20locale%20Morlaas.pdf" TargetMode="External"/><Relationship Id="rId36" Type="http://schemas.openxmlformats.org/officeDocument/2006/relationships/hyperlink" Target="https://www.lasemainedespyrenees.fr/2020/02/12/tarbes-un-elu-de-la-cgt-convoque-a-la-gendarmerie-le-14-fevrier/" TargetMode="External"/><Relationship Id="rId49" Type="http://schemas.openxmlformats.org/officeDocument/2006/relationships/hyperlink" Target="https://www.lasemainedespyrenees.fr/2020/02/25/bagneres-les-travaux-de-lentree-est-se-terminent/" TargetMode="External"/><Relationship Id="rId57" Type="http://schemas.openxmlformats.org/officeDocument/2006/relationships/hyperlink" Target="https://www.lasemainedespyrenees.fr/2020/02/05/bigorre-231-clients-prives-delectricite-plusieurs-heures-le-lundi-3-fevrier/" TargetMode="External"/><Relationship Id="rId10" Type="http://schemas.openxmlformats.org/officeDocument/2006/relationships/hyperlink" Target="https://www.ladepeche.fr/2020/02/05/enedis-fait-don-dun-vehicule-au-secours-populaire,8710935.php" TargetMode="External"/><Relationship Id="rId31" Type="http://schemas.openxmlformats.org/officeDocument/2006/relationships/hyperlink" Target="file:///\\Ntkd0\co\ZE0SF000\ENEDIS_COMMUNICATION_PYRENEES_LANDES\Relations%20presses\Mediascope%20-%20kantarmedia\Articles%20presse\2020\FEVRIER\12-02-2020%20-%20Sud%20Ouest%20B&#233;arn-%20Coup%20de%20pouce%20&#224;%20la%20mobilit&#233;%20territoriale.pdf" TargetMode="External"/><Relationship Id="rId44" Type="http://schemas.openxmlformats.org/officeDocument/2006/relationships/hyperlink" Target="file:///\\Ntkd0\co\ZE0SF000\ENEDIS_COMMUNICATION_PYRENEES_LANDES\Relations%20presses\Mediascope%20-%20kantarmedia\Articles%20presse\2020\FEVRIER\27-02-2020%20-%20La%20d&#234;peche%20-%20Nouvel%20&#233;crin%20pour%20l'entr&#233;e%20Est%20des%20thermes%20.pdf" TargetMode="External"/><Relationship Id="rId52" Type="http://schemas.openxmlformats.org/officeDocument/2006/relationships/hyperlink" Target="file:///\\Ntkd0\co\ZE0SF000\ENEDIS_COMMUNICATION_PYRENEES_LANDES\Relations%20presses\Mediascope%20-%20kantarmedia\Articles%20presse\2020\FEVRIER\25-02-2020%20-%20Sud%20Ouest%20Landes%20-%20Convention%20de%20servitude%20-%20passage%20de%20cables.pdf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file:///\\Ntkd0\co\ZE0SF000\ENEDIS_COMMUNICATION_PYRENEES_LANDES\Relations%20presses\Mediascope%20-%20kantarmedia\Articles%20presse\2020\MARS\04-03-2020%20-%20SO%20Landes%20-%2060%20000%20foyers%20priv&#233;s%20d'&#233;lectricit&#233;%20dans%20le%20SO.png" TargetMode="External"/><Relationship Id="rId21" Type="http://schemas.openxmlformats.org/officeDocument/2006/relationships/hyperlink" Target="https://www.nrpyrenees.fr/2020/03/03/des-rafales-a-127-kmh-a-tarbes-les-premiers-degats-en-bigorre,8771860.php" TargetMode="External"/><Relationship Id="rId42" Type="http://schemas.openxmlformats.org/officeDocument/2006/relationships/hyperlink" Target="file:///\\Ntkd0\co\ZE0SF000\ENEDIS_COMMUNICATION_PYRENEES_LANDES\Relations%20presses\Mediascope%20-%20kantarmedia\Articles%20presse\2020\MARS\05-03-2020%20-%20La%20semaine%20des%20pyr&#233;n&#233;es%20-%20Temp&#234;tes%20Karine%20et%20Myriam%20%20deux%20bless&#233;s%20et%20des%20d&#233;g&#226;ts%20.pdf" TargetMode="External"/><Relationship Id="rId47" Type="http://schemas.openxmlformats.org/officeDocument/2006/relationships/hyperlink" Target="file:///\\Ntkd0\co\ZE0SF000\ENEDIS_COMMUNICATION_PYRENEES_LANDES\Relations%20presses\Mediascope%20-%20kantarmedia\Articles%20presse\2020\MARS\04-03-2020%20-%20SO%20PB%20-%20des%20d&#233;gats%20et%20un%20miracul&#233;.pdf" TargetMode="External"/><Relationship Id="rId63" Type="http://schemas.openxmlformats.org/officeDocument/2006/relationships/hyperlink" Target="file:///\\Ntkd0\co\ZE0SF000\ENEDIS_COMMUNICATION_PYRENEES_LANDES\Relations%20presses\Mediascope%20-%20kantarmedia\Articles%20presse\2020\MARS\10-03-2020%20-%20SO%20Landes%20-%20&#201;lectricit&#233;%20%20un%20cand&#233;labre%20v&#233;tuste%20sera%20remplac&#233;%20rue%20des%20Jardins.pdf" TargetMode="External"/><Relationship Id="rId68" Type="http://schemas.openxmlformats.org/officeDocument/2006/relationships/hyperlink" Target="file:///\\Ntkd0\co\ZE0SF000\ENEDIS_COMMUNICATION_PYRENEES_LANDES\Relations%20presses\Mediascope%20-%20kantarmedia\Articles%20presse\2020\MARS\05-03-2020%20-%20La%20semaine%20des%20pyr&#233;n&#233;es%20-%20Bigorre%20&#8211;%20400%20clients%20toujours%20priv&#233;s%20d&#8217;&#233;lectricit&#233;.pdf" TargetMode="External"/><Relationship Id="rId84" Type="http://schemas.openxmlformats.org/officeDocument/2006/relationships/hyperlink" Target="file:///\\Ntkd0\co\ZE0SF000\ENEDIS_COMMUNICATION_PYRENEES_LANDES\Relations%20presses\Mediascope%20-%20kantarmedia\Articles%20presse\2020\MARS\04-04-2020%20-%20%20JT%2020h%20France%202%20-%20Temp&#234;te%20Myriam.pdf" TargetMode="External"/><Relationship Id="rId89" Type="http://schemas.openxmlformats.org/officeDocument/2006/relationships/vmlDrawing" Target="../drawings/vmlDrawing5.vml"/><Relationship Id="rId16" Type="http://schemas.openxmlformats.org/officeDocument/2006/relationships/hyperlink" Target="https://www.larepubliquedespyrenees.fr/2020/03/03/tempete-myriam-en-bearn-deja-des-vents-a-plus-de-110-km-h-a-pau-ce-mardi,2670178.php" TargetMode="External"/><Relationship Id="rId11" Type="http://schemas.openxmlformats.org/officeDocument/2006/relationships/hyperlink" Target="https://france3-regions.francetvinfo.fr/occitanie/violentes-rafales-tempete-karine-perturbent-circulation-long-pyrenees-1793741.html" TargetMode="External"/><Relationship Id="rId32" Type="http://schemas.openxmlformats.org/officeDocument/2006/relationships/hyperlink" Target="file:///\\Ntkd0\co\ZE0SF000\ENEDIS_COMMUNICATION_PYRENEES_LANDES\Relations%20presses\Mediascope%20-%20kantarmedia\Articles%20presse\2020\MARS\04-03-2020-%20SO%20Landes%20-%20Un%20nouveau%20nid%20pour%20les%20cigognes.png" TargetMode="External"/><Relationship Id="rId37" Type="http://schemas.openxmlformats.org/officeDocument/2006/relationships/hyperlink" Target="file:///\\Ntkd0\co\ZE0SF000\ENEDIS_COMMUNICATION_PYRENEES_LANDES\Relations%20presses\Mediascope%20-%20kantarmedia\Articles%20presse\2020\MARS\04-03-2020%20-%20France%203%20-%20La%20vid&#233;o%20impressionnante%20d'un%20arbre%20tombant.PNG" TargetMode="External"/><Relationship Id="rId53" Type="http://schemas.openxmlformats.org/officeDocument/2006/relationships/hyperlink" Target="file:///\\Ntkd0\co\ZE0SF000\ENEDIS_COMMUNICATION_PYRENEES_LANDES\Relations%20presses\Mediascope%20-%20kantarmedia\Articles%20presse\2020\MARS\03-03-2020%20-%20SO%20Landes%20-%20Une%20ligne%20&#233;lectrique%20coup&#233;e%20par%20un%20arbre%20Les%20pr&#233;cipitations%20ont%20perturb&#233;%20la%20circulation%20.pdf" TargetMode="External"/><Relationship Id="rId58" Type="http://schemas.openxmlformats.org/officeDocument/2006/relationships/hyperlink" Target="file:///\\Ntkd0\co\ZE0SF000\ENEDIS_COMMUNICATION_PYRENEES_LANDES\Relations%20presses\Mediascope%20-%20kantarmedia\Articles%20presse\2020\MARS\04-03-2020%20-%20Le%20Petit%20journal%20-%20La%20promesse%20d'un%20avenir%20meilleur.pdf" TargetMode="External"/><Relationship Id="rId74" Type="http://schemas.openxmlformats.org/officeDocument/2006/relationships/hyperlink" Target="file:///\\Ntkd0\co\ZE0SF000\ENEDIS_COMMUNICATION_PYRENEES_LANDES\Relations%20presses\Mediascope%20-%20kantarmedia\Articles%20presse\2020\MARS\02-%2003%20-2020%20-%20SO%20Landes%20-%20Une%20action%20pour%20proteger%20les%20cigognes.png" TargetMode="External"/><Relationship Id="rId79" Type="http://schemas.openxmlformats.org/officeDocument/2006/relationships/hyperlink" Target="https://www.francebleu.fr/infos/meteo/tempete-myriam-12-000-foyers-sans-electricite-dans-les-landes-1583253996" TargetMode="External"/><Relationship Id="rId5" Type="http://schemas.openxmlformats.org/officeDocument/2006/relationships/hyperlink" Target="file:///\\Ntkd0\co\ZE0SF000\ENEDIS_COMMUNICATION_PYRENEES_LANDES\Relations%20presses\CP-DP%20DR%20PyL\64\Crise\2020\MYRIAM%20-%20mars%202020\Enedis%204%20mars%20%20Point%20&#233;tat%20r&#233;seau%20&#224;%2020h%20suite%20temp&#234;te%20Myriam.msg" TargetMode="External"/><Relationship Id="rId90" Type="http://schemas.openxmlformats.org/officeDocument/2006/relationships/comments" Target="../comments5.xml"/><Relationship Id="rId14" Type="http://schemas.openxmlformats.org/officeDocument/2006/relationships/hyperlink" Target="https://www.ladepeche.fr/2020/03/03/une-tornade-balaie-orleix,8770931.php" TargetMode="External"/><Relationship Id="rId22" Type="http://schemas.openxmlformats.org/officeDocument/2006/relationships/hyperlink" Target="file:///\\Ntkd0\co\ZE0SF000\ENEDIS_COMMUNICATION_PYRENEES_LANDES\Relations%20presses\Mediascope%20-%20kantarmedia\Articles%20presse\2020\MARS\04-03-2020%20-LA%20NR%20des%20pyr&#233;n&#233;es%20-%20Des%20rafales%20&#224;%20127%20km%20h%20&#224;%20TARBES.pdf" TargetMode="External"/><Relationship Id="rId27" Type="http://schemas.openxmlformats.org/officeDocument/2006/relationships/hyperlink" Target="https://www.francebleu.fr/infos/meteo/tempete-myriam-des-rafales-a-127-km-h-mesurees-a-pau-de-nombreux-degats-en-bearn-et-bigorre-1583252796" TargetMode="External"/><Relationship Id="rId30" Type="http://schemas.openxmlformats.org/officeDocument/2006/relationships/hyperlink" Target="file:///\\Ntkd0\co\ZE0SF000\ENEDIS_COMMUNICATION_PYRENEES_LANDES\Relations%20presses\Mediascope%20-%20kantarmedia\Articles%20presse\2020\MARS\04-03-2020%20-%20SO%20Landes%20-%20Plus%20de%20jus%20pas%20de%20d&#233;g&#226;ts.png" TargetMode="External"/><Relationship Id="rId35" Type="http://schemas.openxmlformats.org/officeDocument/2006/relationships/hyperlink" Target="https://www.francebleu.fr/infos/faits-divers-justice/pays-basque-gros-coup-de-vent-ce-lundi-matin-au-pays-basque-1583131838" TargetMode="External"/><Relationship Id="rId43" Type="http://schemas.openxmlformats.org/officeDocument/2006/relationships/hyperlink" Target="file:///\\Ntkd0\co\ZE0SF000\ENEDIS_COMMUNICATION_PYRENEES_LANDES\Relations%20presses\Mediascope%20-%20kantarmedia\Articles%20presse\2020\MARS\05-03-2020%20-%20La%20NR%20des%20pyr&#233;n&#233;es%20-%20Temp&#234;te%20Retour%20&#224;%20la%20normale%20avant%20la%20prochaine%20alerte%20en%20fin%20de%20journ&#233;e.pdf" TargetMode="External"/><Relationship Id="rId48" Type="http://schemas.openxmlformats.org/officeDocument/2006/relationships/hyperlink" Target="file:///\\Ntkd0\co\ZE0SF000\ENEDIS_COMMUNICATION_PYRENEES_LANDES\Relations%20presses\Mediascope%20-%20kantarmedia\Articles%20presse\2020\MARS\05-03-2020%20-%20La%20d&#234;peche%20-%20Tempete%20retour%20&#224;%20la%20normale%20avant%20la%20prochaine%20alerte.pdf" TargetMode="External"/><Relationship Id="rId56" Type="http://schemas.openxmlformats.org/officeDocument/2006/relationships/hyperlink" Target="file:///\\Ntkd0\co\ZE0SF000\ENEDIS_COMMUNICATION_PYRENEES_LANDES\Relations%20presses\Mediascope%20-%20kantarmedia\Articles%20presse\2020\MARS\06-03-2020%20-%20SO%20Landes%20-%20Tous%20les%20foyers%20ont%20de%20nouveau%20l'&#233;lectricit&#233;.png" TargetMode="External"/><Relationship Id="rId64" Type="http://schemas.openxmlformats.org/officeDocument/2006/relationships/hyperlink" Target="file:///\\Ntkd0\co\ZE0SF000\ENEDIS_COMMUNICATION_PYRENEES_LANDES\Relations%20presses\Mediascope%20-%20kantarmedia\Articles%20presse\2020\MARS\12-03-2020%20-%20La%20NR%20des%20pyr&#233;n&#233;es%20-%20Carton%20rouge%20pour%20Orange.pdf" TargetMode="External"/><Relationship Id="rId69" Type="http://schemas.openxmlformats.org/officeDocument/2006/relationships/hyperlink" Target="https://www.sudouest.fr/2020/03/05/landes-tous-les-foyers-landais-ont-de-nouveau-l-electricite-7282058-3452.php" TargetMode="External"/><Relationship Id="rId77" Type="http://schemas.openxmlformats.org/officeDocument/2006/relationships/hyperlink" Target="file:///\\Ntkd0\co\ZE0SF000\ENEDIS_COMMUNICATION_PYRENEES_LANDES\Relations%20presses\Mediascope%20-%20kantarmedia\Articles%20presse\2020\MARS\04-03-2020%20-%20AFP%20-%20Tempete%20Myriam.PNG" TargetMode="External"/><Relationship Id="rId8" Type="http://schemas.openxmlformats.org/officeDocument/2006/relationships/hyperlink" Target="http://www.leparisien.fr/societe/tempete-karine-des-vents-jusqu-a-143-km-h-a-perpignan-02-03-2020-8270826.php" TargetMode="External"/><Relationship Id="rId51" Type="http://schemas.openxmlformats.org/officeDocument/2006/relationships/hyperlink" Target="file:///\\Ntkd0\co\ZE0SF000\ENEDIS_COMMUNICATION_PYRENEES_LANDES\Relations%20presses\Mediascope%20-%20kantarmedia\Articles%20presse\2020\MARS\03-03-2020%20-%20L'&#233;clair%20-%201ere%20tempete%20de%20l'ann&#233;e.pdf" TargetMode="External"/><Relationship Id="rId72" Type="http://schemas.openxmlformats.org/officeDocument/2006/relationships/hyperlink" Target="file:///\\Ntkd0\co\ZE0SF000\ENEDIS_COMMUNICATION_PYRENEES_LANDES\Relations%20presses\Mediascope%20-%20kantarmedia\Articles%20presse\2020\MARS\26-03-2020%20-%20L'&#233;clair%20-%20A%20L&#233;e,%20une%20dizaine%20de%20maisons%20sans%20Internet%20depuis%20la%20derni&#232;re%20temp&#234;te%20.pdf" TargetMode="External"/><Relationship Id="rId80" Type="http://schemas.openxmlformats.org/officeDocument/2006/relationships/hyperlink" Target="file:///\\Ntkd0\co\ZE0SF000\ENEDIS_COMMUNICATION_PYRENEES_LANDES\Relations%20presses\Mediascope%20-%20kantarmedia\Articles%20presse\2020\MARS\05-03-2020%20-%20SO%20Landes%20-%20Pres%20de%20500%20foyers%20toujours%20priv&#233;s%20d'&#233;lectricit&#233;.jpg" TargetMode="External"/><Relationship Id="rId85" Type="http://schemas.openxmlformats.org/officeDocument/2006/relationships/hyperlink" Target="file:///\\Ntkd0\co\ZE0SF000\ENEDIS_COMMUNICATION_PYRENEES_LANDES\Relations%20presses\Mediascope%20-%20kantarmedia\Articles%20presse\2020\MARS\04-03-2020%20-%20RTL%20-%20Temp&#234;te%20Myriam.pdf" TargetMode="External"/><Relationship Id="rId3" Type="http://schemas.openxmlformats.org/officeDocument/2006/relationships/hyperlink" Target="file:///\\Ntkd0\co\ZE0SF000\ENEDIS_COMMUNICATION_PYRENEES_LANDES\Relations%20presses\CP-DP%20DR%20PyL\64\Crise\2020\MYRIAM%20-%20mars%202020\Enedis%20%20Point%20r&#233;seau%203%20mars%20&#224;%2012h30.msg" TargetMode="External"/><Relationship Id="rId12" Type="http://schemas.openxmlformats.org/officeDocument/2006/relationships/hyperlink" Target="https://www.sudouest.fr/2020/03/02/bearn-violent-orage-tot-ce-lundi-des-axes-de-circulation-fortement-perturbes-7265674-4344.php" TargetMode="External"/><Relationship Id="rId17" Type="http://schemas.openxmlformats.org/officeDocument/2006/relationships/hyperlink" Target="https://actu.orange.fr/france/apres-la-tempete-myriam-2-blesses-et-jusqu-a-30-000-foyers-sans-electricite-magic-CNT000001ob9uQ.html" TargetMode="External"/><Relationship Id="rId25" Type="http://schemas.openxmlformats.org/officeDocument/2006/relationships/hyperlink" Target="https://www.20minutes.fr/societe/2731867-20200303-tempete-myriam-60000-foyers-prives-electricite-sud-ouest" TargetMode="External"/><Relationship Id="rId33" Type="http://schemas.openxmlformats.org/officeDocument/2006/relationships/hyperlink" Target="https://www.sudouest.fr/2020/03/04/plus-de-jus-mais-pas-de-degats-7274794-3443.php" TargetMode="External"/><Relationship Id="rId38" Type="http://schemas.openxmlformats.org/officeDocument/2006/relationships/hyperlink" Target="file:///\\Ntkd0\co\ZE0SF000\ENEDIS_COMMUNICATION_PYRENEES_LANDES\Relations%20presses\Mediascope%20-%20kantarmedia\Articles%20presse\2020\MARS\03-03-2020%20-%20LA%20NR%20des%20pyr&#233;n&#233;es%20-%20Une%20tornade%20balaie%20Orleix.PNG" TargetMode="External"/><Relationship Id="rId46" Type="http://schemas.openxmlformats.org/officeDocument/2006/relationships/hyperlink" Target="file:///\\Ntkd0\co\ZE0SF000\ENEDIS_COMMUNICATION_PYRENEES_LANDES\Relations%20presses\Mediascope%20-%20kantarmedia\Articles%20presse\2020\MARS\05-03-2020%20-%20La%20d&#234;peche%20-%20Tempete%20retour%20&#224;%20la%20normale%20avant%20la%20prochaine%20alerte.pdf" TargetMode="External"/><Relationship Id="rId59" Type="http://schemas.openxmlformats.org/officeDocument/2006/relationships/hyperlink" Target="file:///\\Ntkd0\co\ZE0SF000\ENEDIS_COMMUNICATION_PYRENEES_LANDES\Relations%20presses\Mediascope%20-%20kantarmedia\Articles%20presse\2020\MARS\03-03-2020%20-%20La%20NR%20des%20pyr&#233;n&#233;es%20-%20Jusqu'&#224;%2011000%20foyers%20dans%20le%20noir%20-%20Copie.pdf" TargetMode="External"/><Relationship Id="rId67" Type="http://schemas.openxmlformats.org/officeDocument/2006/relationships/hyperlink" Target="file:///\\Ntkd0\co\ZE0SF000\ENEDIS_COMMUNICATION_PYRENEES_LANDES\Relations%20presses\Mediascope%20-%20kantarmedia\Articles%20presse\2020\MARS\06-03-2020%20-%20SO%20Landes%20-%20Tous%20les%20foyers%20ont%20de%20nouveau%20l&#8217;&#233;lectricit&#233;%20Plusieurs%20routes%20toujours%20ferm&#233;es%20.pdf" TargetMode="External"/><Relationship Id="rId20" Type="http://schemas.openxmlformats.org/officeDocument/2006/relationships/hyperlink" Target="file:///\\Ntkd0\co\ZE0SF000\ENEDIS_COMMUNICATION_PYRENEES_LANDES\Relations%20presses\Mediascope%20-%20kantarmedia\Articles%20presse\2020\MARS\04-03-2020%20-%20La%20depeche%20-%20Des%20rafales%20&#224;%20127km.pdf" TargetMode="External"/><Relationship Id="rId41" Type="http://schemas.openxmlformats.org/officeDocument/2006/relationships/hyperlink" Target="file:///\\Ntkd0\co\ZE0SF000\ENEDIS_COMMUNICATION_PYRENEES_LANDES\Relations%20presses\Mediascope%20-%20kantarmedia\Articles%20presse\2020\MARS\05-03-2020%20-%20SO%20PB%20-%20Encore%201400%20foyers%20basque%20dans%20le%20noir.pdf" TargetMode="External"/><Relationship Id="rId54" Type="http://schemas.openxmlformats.org/officeDocument/2006/relationships/hyperlink" Target="file:///\\Ntkd0\co\ZE0SF000\ENEDIS_COMMUNICATION_PYRENEES_LANDES\Relations%20presses\Mediascope%20-%20kantarmedia\Articles%20presse\2020\MARS\05-03-2020%20-%20SO%20Landes%20-%20Pres%20de%20500%20foyers%20toujours%20priv&#233;s%20d'&#233;lectricit&#233;.jpg" TargetMode="External"/><Relationship Id="rId62" Type="http://schemas.openxmlformats.org/officeDocument/2006/relationships/hyperlink" Target="file:///\\Ntkd0\co\ZE0SF000\ENEDIS_COMMUNICATION_PYRENEES_LANDES\Relations%20presses\Mediascope%20-%20kantarmedia\Articles%20presse\2020\MARS\04-03-2020%20-%20Le%20Petit%20journal%20-%20La%20promesse%20d'un%20avenir%20meilleur.pdf" TargetMode="External"/><Relationship Id="rId70" Type="http://schemas.openxmlformats.org/officeDocument/2006/relationships/hyperlink" Target="http://tarbes-infos.com/spip.php?article26799" TargetMode="External"/><Relationship Id="rId75" Type="http://schemas.openxmlformats.org/officeDocument/2006/relationships/hyperlink" Target="https://www.francetvinfo.fr/meteo/inondations/tempete-myriam-30-000-foyers-encore-sans-electricite-dans-le-sud-ouest_3851473.html" TargetMode="External"/><Relationship Id="rId83" Type="http://schemas.openxmlformats.org/officeDocument/2006/relationships/hyperlink" Target="file:///\\Ntkd0\co\ZE0SF000\ENEDIS_COMMUNICATION_PYRENEES_LANDES\Relations%20presses\Mediascope%20-%20kantarmedia\Articles%20presse\2020\MARS\04-04-2020%20-%20TF1%20-%20JT%2020h%20Temp&#234;te%20myriam.pdf" TargetMode="External"/><Relationship Id="rId88" Type="http://schemas.openxmlformats.org/officeDocument/2006/relationships/printerSettings" Target="../printerSettings/printerSettings7.bin"/><Relationship Id="rId1" Type="http://schemas.openxmlformats.org/officeDocument/2006/relationships/hyperlink" Target="file:///\\Ntkd0\co\ZE0SF000\ENEDIS_COMMUNICATION_PYRENEES_LANDES\Relations%20presses\CP-DP%20DR%20PyL\64\Crise\2020\KARINE%20-%20mars%202020\TR%20Enedis%202%20mars%20%20Violentes%20rafales%20%20%20point%20&#224;%209h%20foyers%20priv&#233;s%20d'&#233;lectricit&#233;.msg" TargetMode="External"/><Relationship Id="rId6" Type="http://schemas.openxmlformats.org/officeDocument/2006/relationships/hyperlink" Target="file:///\\Ntkd0\co\ZE0SF000\ENEDIS_COMMUNICATION_PYRENEES_LANDES\Relations%20presses\CP-DP%20DR%20PyL\64\Crise\2020\MYRIAM%20-%20mars%202020\Enedis%20%20Point%20r&#233;seau%205%20mars%20&#224;%2010h.msg" TargetMode="External"/><Relationship Id="rId15" Type="http://schemas.openxmlformats.org/officeDocument/2006/relationships/hyperlink" Target="http://www.tarbes-infos.com/spip.php?article26476&amp;lang=fr" TargetMode="External"/><Relationship Id="rId23" Type="http://schemas.openxmlformats.org/officeDocument/2006/relationships/hyperlink" Target="https://www.lexpress.fr/actualite/societe/meteo/tempete-myriam-deux-blesses-jusqu-a-60-000-foyers-prives-d-electricite_2119983.html" TargetMode="External"/><Relationship Id="rId28" Type="http://schemas.openxmlformats.org/officeDocument/2006/relationships/hyperlink" Target="http://www.leparisien.fr/societe/tempete-myriam-le-sud-ouest-en-alerte-03-03-2020-8271204.php" TargetMode="External"/><Relationship Id="rId36" Type="http://schemas.openxmlformats.org/officeDocument/2006/relationships/hyperlink" Target="file:///\\Ntkd0\co\ZE0SF000\ENEDIS_COMMUNICATION_PYRENEES_LANDES\Relations%20presses\Mediascope%20-%20kantarmedia\Articles%20presse\2020\MARS\04-03-2020%20-%20La%20d&#234;peche%20-%20Des%20milliers%20de%20foyers%20priv&#233;s%20d'&#233;lectricit&#233;.PNG" TargetMode="External"/><Relationship Id="rId49" Type="http://schemas.openxmlformats.org/officeDocument/2006/relationships/hyperlink" Target="file:///\\Ntkd0\co\ZE0SF000\ENEDIS_COMMUNICATION_PYRENEES_LANDES\Relations%20presses\Mediascope%20-%20kantarmedia\Articles%20presse\2020\MARS\03-03-2020%20-%20SO%20B&#233;arn%20-%20Karine%20a%20frapp&#233;%20fort.pdf" TargetMode="External"/><Relationship Id="rId57" Type="http://schemas.openxmlformats.org/officeDocument/2006/relationships/hyperlink" Target="file:///\\Ntkd0\co\ZE0SF000\ENEDIS_COMMUNICATION_PYRENEES_LANDES\Relations%20presses\Mediascope%20-%20kantarmedia\Articles%20presse\2020\MARS\04-03-2020%20-%20Le%20Petit%20journal%20-%20La%20promesse%20d'un%20avenir%20meilleur.pdf" TargetMode="External"/><Relationship Id="rId10" Type="http://schemas.openxmlformats.org/officeDocument/2006/relationships/hyperlink" Target="http://www.tarbes-infos.com/spip.php?article26454" TargetMode="External"/><Relationship Id="rId31" Type="http://schemas.openxmlformats.org/officeDocument/2006/relationships/hyperlink" Target="file:///\\Ntkd0\co\ZE0SF000\ENEDIS_COMMUNICATION_PYRENEES_LANDES\Relations%20presses\Mediascope%20-%20kantarmedia\Articles%20presse\2020\MARS\04-03-2020%20-%20SO%20Landes%20-%20Municipales%202020.png" TargetMode="External"/><Relationship Id="rId44" Type="http://schemas.openxmlformats.org/officeDocument/2006/relationships/hyperlink" Target="file:///\\Ntkd0\co\ZE0SF000\ENEDIS_COMMUNICATION_PYRENEES_LANDES\Relations%20presses\Mediascope%20-%20kantarmedia\Articles%20presse\2020\MARS\05-03-2020%20-%20La%20semaine%20des%20pyr&#233;n&#233;es%20-%20Le%20d&#233;partement%20plac&#233;%20en%20vigilance%20.pdf" TargetMode="External"/><Relationship Id="rId52" Type="http://schemas.openxmlformats.org/officeDocument/2006/relationships/hyperlink" Target="file:///\\Ntkd0\co\ZE0SF000\ENEDIS_COMMUNICATION_PYRENEES_LANDES\Relations%20presses\Mediascope%20-%20kantarmedia\Articles%20presse\2020\MARS\03-03-2020%20-%20La%20depeche%20-%20Mon%20fils%20a%20appel&#233;%20la%20m&#233;t&#233;o%20et%20on%20lui%20a%20dit%20que%20des%20vents%20&#224;%20plus%20de%20300%20kmh%20avaient%20&#233;t&#233;%20relev&#233;s.pdf" TargetMode="External"/><Relationship Id="rId60" Type="http://schemas.openxmlformats.org/officeDocument/2006/relationships/hyperlink" Target="file:///\\Ntkd0\co\ZE0SF000\ENEDIS_COMMUNICATION_PYRENEES_LANDES\Relations%20presses\Mediascope%20-%20kantarmedia\Articles%20presse\2020\MARS\04-03-2020%20-%20Le%20Petit%20journal%20-%20La%20promesse%20d'un%20avenir%20meilleur.pdf" TargetMode="External"/><Relationship Id="rId65" Type="http://schemas.openxmlformats.org/officeDocument/2006/relationships/hyperlink" Target="file:///\\Ntkd0\co\ZE0SF000\ENEDIS_COMMUNICATION_PYRENEES_LANDES\Relations%20presses\Mediascope%20-%20kantarmedia\Articles%20presse\2020\MARS\06-03-2020%20-%20SO%20PA-%20Une%20action%20pour%20prot&#233;ger%20les%20cigognes.pdf" TargetMode="External"/><Relationship Id="rId73" Type="http://schemas.openxmlformats.org/officeDocument/2006/relationships/hyperlink" Target="file:///\\Ntkd0\co\ZE0SF000\ENEDIS_COMMUNICATION_PYRENEES_LANDES\Relations%20presses\Mediascope%20-%20kantarmedia\Articles%20presse\2020\MARS\17-03%20-%20La%20r&#233;publique%20des%20Pyr&#233;n&#233;es%20-%20La%20ligne%20du%20quartier%20de%20Lous%20Beth%20Soums%20r&#233;par&#233;e.png" TargetMode="External"/><Relationship Id="rId78" Type="http://schemas.openxmlformats.org/officeDocument/2006/relationships/hyperlink" Target="file:///\\Ntkd0\co\ZE0SF000\ENEDIS_COMMUNICATION_PYRENEES_LANDES\Relations%20presses\Mediascope%20-%20kantarmedia\Articles%20presse\2020\MARS\03-03-2020%20-%20SO%20PB%20-%20Le%20b&#233;arn%20balay&#233;%20,%20le%20PB%20epargn&#233;.pdf" TargetMode="External"/><Relationship Id="rId81" Type="http://schemas.openxmlformats.org/officeDocument/2006/relationships/hyperlink" Target="file:///\\Ntkd0\co\ZE0SF000\ENEDIS_COMMUNICATION_PYRENEES_LANDES\Relations%20presses\Mediascope%20-%20kantarmedia\Articles%20presse\2020\MARS\03-03-2020%20-%20France%20Bleu%20Pays%20Basque%20-%20200%20maisons%20sans%20&#233;lec%20en%20PB.pdf" TargetMode="External"/><Relationship Id="rId86" Type="http://schemas.openxmlformats.org/officeDocument/2006/relationships/hyperlink" Target="file:///\\Ntkd0\co\ZE0SF000\ENEDIS_COMMUNICATION_PYRENEES_LANDES\Relations%20presses\Mediascope%20-%20kantarmedia\Articles%20presse\2020\MARS\04-03-2020%20-%20Le%20Petit%20journal%20-%20La%20promesse%20d'un%20avenir%20meilleur.pdf" TargetMode="External"/><Relationship Id="rId4" Type="http://schemas.openxmlformats.org/officeDocument/2006/relationships/hyperlink" Target="https://nouveau.pressedd.fr/media/watch/account/-/v/10/client/4339/docid/161100947/pass/341f1549f1bd4aeb55018b8a434a8ebb2d3dd070/contact/0/from/veilles/sha/e3846c5907d70f8c9fe0708414534cb3679c4a18" TargetMode="External"/><Relationship Id="rId9" Type="http://schemas.openxmlformats.org/officeDocument/2006/relationships/hyperlink" Target="http://www.tarbes-infos.com/spip.php?article26465" TargetMode="External"/><Relationship Id="rId13" Type="http://schemas.openxmlformats.org/officeDocument/2006/relationships/hyperlink" Target="https://www.ladepeche.fr/2020/03/02/alerte-au-vent-fort-dans-le-sud-ouest-une-rafale-observee-a-126-kmh,8768420.php" TargetMode="External"/><Relationship Id="rId18" Type="http://schemas.openxmlformats.org/officeDocument/2006/relationships/hyperlink" Target="https://www.lasemainedespyrenees.fr/2020/03/03/direct-bigorre-alerte-orange-le-prefet-a-activite-le-centre-operationnel-departemental/" TargetMode="External"/><Relationship Id="rId39" Type="http://schemas.openxmlformats.org/officeDocument/2006/relationships/hyperlink" Target="https://www.mediabask.eus/eu/info_mbsk/20200302/5-200-foyers-prives-d-electricite-au-pays-basque" TargetMode="External"/><Relationship Id="rId34" Type="http://schemas.openxmlformats.org/officeDocument/2006/relationships/hyperlink" Target="file:///\\Ntkd0\co\ZE0SF000\ENEDIS_COMMUNICATION_PYRENEES_LANDES\Relations%20presses\Mediascope%20-%20kantarmedia\Articles%20presse\2020\MARS\03-03-2020%20-%20France%20Bleu%20Landes%20-%20Tempete%20Myriam%20%20-%2012000foyer%20sans%20electricit&#233;.PNG" TargetMode="External"/><Relationship Id="rId50" Type="http://schemas.openxmlformats.org/officeDocument/2006/relationships/hyperlink" Target="file:///\\Ntkd0\co\ZE0SF000\ENEDIS_COMMUNICATION_PYRENEES_LANDES\Relations%20presses\Mediascope%20-%20kantarmedia\Articles%20presse\2020\MARS\03-03-2020%20-%20L'&#233;clair%20-%201ere%20tempete%20de%20l'ann&#233;e.pdf" TargetMode="External"/><Relationship Id="rId55" Type="http://schemas.openxmlformats.org/officeDocument/2006/relationships/hyperlink" Target="https://www.francebleu.fr/infos/meteo/tempete-plus-de-20-000-foyers-prives-d-electricite-en-bearn-et-bigorre-1583129477" TargetMode="External"/><Relationship Id="rId76" Type="http://schemas.openxmlformats.org/officeDocument/2006/relationships/hyperlink" Target="https://www.sudouest.fr/2020/03/03/tempete-myriam-dans-les-landes-les-premieres-consequences-se-font-sentir-7271404-3443.php" TargetMode="External"/><Relationship Id="rId7" Type="http://schemas.openxmlformats.org/officeDocument/2006/relationships/hyperlink" Target="file:///\\Ntkd0\co\ZE0SF000\ENEDIS_COMMUNICATION_PYRENEES_LANDES\Relations%20presses\CP-DP%20DR%20PyL\transverse\CP-31_03%20_Continuit&#233;%20de%20service%20public%20Enedis.docx" TargetMode="External"/><Relationship Id="rId71" Type="http://schemas.openxmlformats.org/officeDocument/2006/relationships/hyperlink" Target="file:///\\Ntkd0\co\ZE0SF000\ENEDIS_COMMUNICATION_PYRENEES_LANDES\Relations%20presses\Mediascope%20-%20kantarmedia\Articles%20presse\2020\MARS\31-03-2020%20-%20La%20semaine%20des%20pyr&#233;n&#233;es%20-%20Enedis%20reste%20mobilis&#233;e.pdf" TargetMode="External"/><Relationship Id="rId2" Type="http://schemas.openxmlformats.org/officeDocument/2006/relationships/hyperlink" Target="file:///\\Ntkd0\co\ZE0SF000\ENEDIS_COMMUNICATION_PYRENEES_LANDES\Relations%20presses\CP-DP%20DR%20PyL\64\Crise\2020\MYRIAM%20-%20mars%202020\Enedis%20%20Point%20r&#233;seau%203%20mars%20&#224;%2012h30.msg" TargetMode="External"/><Relationship Id="rId29" Type="http://schemas.openxmlformats.org/officeDocument/2006/relationships/hyperlink" Target="https://www.mediapart.fr/journal/fil-dactualites/030320/tempete-myriam-2-blesses-jusqu-60000-foyers-prives-d-electricite?onglet=full" TargetMode="External"/><Relationship Id="rId24" Type="http://schemas.openxmlformats.org/officeDocument/2006/relationships/hyperlink" Target="https://www.20minutes.fr/societe/2731867-20200303-tempete-myriam-60000-foyers-prives-electricite-sud-ouest" TargetMode="External"/><Relationship Id="rId40" Type="http://schemas.openxmlformats.org/officeDocument/2006/relationships/hyperlink" Target="https://www.larepubliquedespyrenees.fr/2020/03/02/coup-de-vent-ce-lundi-matin-en-bearn-routes-et-electricite-coupees,2669468.php" TargetMode="External"/><Relationship Id="rId45" Type="http://schemas.openxmlformats.org/officeDocument/2006/relationships/hyperlink" Target="file:///\\Ntkd0\co\ZE0SF000\ENEDIS_COMMUNICATION_PYRENEES_LANDES\Relations%20presses\Mediascope%20-%20kantarmedia\Articles%20presse\2020\MARS\05-03-2020%20-%20La%20d&#234;peche%20-%20Tempete%20retour%20&#224;%20la%20normale%20avant%20la%20prochaine%20alerte.pdf" TargetMode="External"/><Relationship Id="rId66" Type="http://schemas.openxmlformats.org/officeDocument/2006/relationships/hyperlink" Target="file:///\\Ntkd0\co\ZE0SF000\ENEDIS_COMMUNICATION_PYRENEES_LANDES\Relations%20presses\Mediascope%20-%20kantarmedia\Articles%20presse\2020\MARS\09-03-2020%20-%20L'&#233;clair%20-%20Anticipation%20des%20futures%20tempetes%20.pdf" TargetMode="External"/><Relationship Id="rId87" Type="http://schemas.openxmlformats.org/officeDocument/2006/relationships/hyperlink" Target="file:///\\Ntkd0\co\ZE0SF000\ENEDIS_COMMUNICATION_PYRENEES_LANDES\Relations%20presses\Mediascope%20-%20kantarmedia\Articles%20presse\2020\MARS\10-03-2020%20-%20La%20d&#234;peche%20-%20Bel%20exemple%20de%20solidarit&#233;.pdf" TargetMode="External"/><Relationship Id="rId61" Type="http://schemas.openxmlformats.org/officeDocument/2006/relationships/hyperlink" Target="file:///\\Ntkd0\co\ZE0SF000\ENEDIS_COMMUNICATION_PYRENEES_LANDES\Relations%20presses\Mediascope%20-%20kantarmedia\Articles%20presse\2020\MARS\10-03-2020%20-%20La%20d&#234;peche%20-%20Bel%20exemple%20de%20solidarit&#233;.pdf" TargetMode="External"/><Relationship Id="rId82" Type="http://schemas.openxmlformats.org/officeDocument/2006/relationships/hyperlink" Target="file:///\\Ntkd0\co\ZE0SF000\ENEDIS_COMMUNICATION_PYRENEES_LANDES\Relations%20presses\Mediascope%20-%20kantarmedia\Articles%20presse\2020\MARS\04-04-2020%20-%20France%20Inter%20-%20Plusieurs%20dizaines%20de%20milliers%20de%20oyers%20restent%20priv&#233;s%20d'&#233;lectricit&#233;.pdf" TargetMode="External"/><Relationship Id="rId19" Type="http://schemas.openxmlformats.org/officeDocument/2006/relationships/hyperlink" Target="https://www.ladepeche.fr/2020/03/03/des-rafales-a-127-kmh-a-tarbes-les-premiers-degats-en-bigorre,8771860.php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semainedespyrenees.fr/2020/04/10/enedis-produit-ses-visieres-de-protection-pour-les-professionnels-de-sante/" TargetMode="External"/><Relationship Id="rId18" Type="http://schemas.openxmlformats.org/officeDocument/2006/relationships/hyperlink" Target="file:///\\Ntkd0\co\ZE0SF000\ENEDIS_COMMUNICATION_PYRENEES_LANDES\Relations%20presses\Mediascope%20-%20kantarmedia\Articles%20presse\2020\AVRIL\14-04-2020%20-%20L'&#233;clair%20-%20Les%20salari&#233;s%20Enedis%20font%20des%20visi&#232;res%203D.pdf" TargetMode="External"/><Relationship Id="rId26" Type="http://schemas.openxmlformats.org/officeDocument/2006/relationships/hyperlink" Target="https://www.sudouest.fr/2020/04/25/landes-une-trentaine-d-interventions-en-cours-liees-aux-crues-7439631-3380.php" TargetMode="External"/><Relationship Id="rId39" Type="http://schemas.openxmlformats.org/officeDocument/2006/relationships/comments" Target="../comments6.xml"/><Relationship Id="rId21" Type="http://schemas.openxmlformats.org/officeDocument/2006/relationships/hyperlink" Target="file:///\\Ntkd0\co\ZE0SF000\ENEDIS_COMMUNICATION_PYRENEES_LANDES\Relations%20presses\Mediascope%20-%20kantarmedia\Articles%20presse\2020\AVRIL\22-04-2020%20-%20La%20semaine%20des%20pyr&#233;nes%20-%20Un%20chevreuil%20.pdf" TargetMode="External"/><Relationship Id="rId34" Type="http://schemas.openxmlformats.org/officeDocument/2006/relationships/hyperlink" Target="http://www.aqui.fr/economies/edf,20032.html" TargetMode="External"/><Relationship Id="rId7" Type="http://schemas.openxmlformats.org/officeDocument/2006/relationships/hyperlink" Target="https://www.nrpyrenees.fr/2020/04/02/pole-emploi-face-a-la-crise-du-covid-19,8828830.php" TargetMode="External"/><Relationship Id="rId12" Type="http://schemas.openxmlformats.org/officeDocument/2006/relationships/hyperlink" Target="file:///\\Ntkd0\co\ZE0SF000\ENEDIS_COMMUNICATION_PYRENEES_LANDES\Relations%20presses\Mediascope%20-%20kantarmedia\Articles%20presse\2020\AVRIL\09-04%20-%20La%20semaine%20des%20Pyr&#233;n&#233;es%20-%20Enedis%20reste%20mobilis&#233;e.pdf" TargetMode="External"/><Relationship Id="rId17" Type="http://schemas.openxmlformats.org/officeDocument/2006/relationships/hyperlink" Target="file:///\\Ntkd0\co\ZE0SF000\ENEDIS_COMMUNICATION_PYRENEES_LANDES\Relations%20presses\Mediascope%20-%20kantarmedia\Articles%20presse\2020\AVRIL\13-04-2020%20-%20Sud%20Ouest%20Landes%20-%20Les%20landes%20face%20au%20coronavirus.pdf" TargetMode="External"/><Relationship Id="rId25" Type="http://schemas.openxmlformats.org/officeDocument/2006/relationships/hyperlink" Target="file:///\\Ntkd0\co\ZE0SF000\ENEDIS_COMMUNICATION_PYRENEES_LANDES\Relations%20presses\Mediascope%20-%20kantarmedia\Articles%20presse\2020\AVRIL\24-04-2020%20-%20La%20semaine%20du%20pays%20basque%20-%20Enedis%20.pdf" TargetMode="External"/><Relationship Id="rId33" Type="http://schemas.openxmlformats.org/officeDocument/2006/relationships/hyperlink" Target="file:///\\Ntkd0\co\ZE0SF000\ENEDIS_COMMUNICATION_PYRENEES_LANDES\Relations%20presses\Mediascope%20-%20kantarmedia\Articles%20presse\2020\AVRIL\10-04-2020%20-%20France%20Bleu%20Pays%20Basque%20-%20%5bBr&#232;ve%5d%205000%20foyers%20ont%20&#233;t&#233;%20priv&#233;s%20d'&#233;lectricit&#233;%20hier%20(7h).pdf" TargetMode="External"/><Relationship Id="rId38" Type="http://schemas.openxmlformats.org/officeDocument/2006/relationships/vmlDrawing" Target="../drawings/vmlDrawing6.vml"/><Relationship Id="rId2" Type="http://schemas.openxmlformats.org/officeDocument/2006/relationships/hyperlink" Target="file:///\\Ntkd0\co\ZE0SF000\ENEDIS_COMMUNICATION_PYRENEES_LANDES\Relations%20presses\CP-DP%20DR%20PyL\40\r&#233;seau\2020-04%20Coronavirus%20T&#233;thieu\2020-04%20CP%20Enedis%20mobilis&#233;%20coronavirus%20T&#233;thieu.pdf" TargetMode="External"/><Relationship Id="rId16" Type="http://schemas.openxmlformats.org/officeDocument/2006/relationships/hyperlink" Target="https://www.sudouest.fr/2020/04/13/les-landes-face-au-coronavirus-le-journal-des-initiatives-du-lundi-13-avril-7408696-3452.php" TargetMode="External"/><Relationship Id="rId20" Type="http://schemas.openxmlformats.org/officeDocument/2006/relationships/hyperlink" Target="https://www.alvinet.com/similaires/enedis-est-au-front-en-pays-basque-landes-et-bearn/54527081" TargetMode="External"/><Relationship Id="rId29" Type="http://schemas.openxmlformats.org/officeDocument/2006/relationships/hyperlink" Target="https://www.sudouestjob.com/emplois/titre-de-monteur-reseaux-technicien-intervention-polyvalent-h-f-3770932.html" TargetMode="External"/><Relationship Id="rId1" Type="http://schemas.openxmlformats.org/officeDocument/2006/relationships/hyperlink" Target="file:///\\Ntkd0\co\ZE0SF000\ENEDIS_COMMUNICATION_PYRENEES_LANDES\Relations%20presses\CP-DP%20DR%20PyL\transverse\2020-04%20CP%20Les%20&#233;quipes%20d'Enedis%20%20service%20public%20mouguerre_.pdf" TargetMode="External"/><Relationship Id="rId6" Type="http://schemas.openxmlformats.org/officeDocument/2006/relationships/hyperlink" Target="file:///\\Ntkd0\co\ZE0SF000\ENEDIS_COMMUNICATION_PYRENEES_LANDES\Relations%20presses\Mediascope%20-%20kantarmedia\Articles%20presse\2020\AVRIL\02-04-2020%20(%20LA%20NR%20des%20pyr&#233;n&#233;es%20-%20Enedis%20sur%20le%20front%20de%20la%20crise%20sanitaire.pdf" TargetMode="External"/><Relationship Id="rId11" Type="http://schemas.openxmlformats.org/officeDocument/2006/relationships/hyperlink" Target="file:///\\Ntkd0\co\ZE0SF000\ENEDIS_COMMUNICATION_PYRENEES_LANDES\Relations%20presses\Mediascope%20-%20kantarmedia\Articles%20presse\2020\AVRIL\06-04%20-%20La%20r&#233;publique%20des%20pyr&#233;n&#233;es%20-%20Compteurs%20Linky%20la%20pose%20interrompue%20mais%20l'information%20continue.pdf" TargetMode="External"/><Relationship Id="rId24" Type="http://schemas.openxmlformats.org/officeDocument/2006/relationships/hyperlink" Target="file:///\\Ntkd0\co\ZE0SF000\ENEDIS_COMMUNICATION_PYRENEES_LANDES\Relations%20presses\Mediascope%20-%20kantarmedia\Articles%20presse\2020\AVRIL\23-04-2020%20-%20La%20semaine%20des%20pyr&#233;n&#233;es%20-%20Bigorre%20&#8211;%20Covid-19%20%20Comment%20Enedis%20soutient%20ses%20prestataires.pdf" TargetMode="External"/><Relationship Id="rId32" Type="http://schemas.openxmlformats.org/officeDocument/2006/relationships/hyperlink" Target="file:///\\Ntkd0\co\ZE0SF000\ENEDIS_COMMUNICATION_PYRENEES_LANDES\Relations%20presses\Mediascope%20-%20kantarmedia\Articles%20presse\2020\AVRIL\09-04-2020%20France%20Bleu%20B&#233;arn%20Bayonne%205%20000%20foyers%20priv&#233;s%20de%20courant%20(18h).pdf" TargetMode="External"/><Relationship Id="rId37" Type="http://schemas.openxmlformats.org/officeDocument/2006/relationships/printerSettings" Target="../printerSettings/printerSettings8.bin"/><Relationship Id="rId5" Type="http://schemas.openxmlformats.org/officeDocument/2006/relationships/hyperlink" Target="file:///\\Ntkd0\co\ZE0SF000\ENEDIS_COMMUNICATION_PYRENEES_LANDES\Relations%20presses\CP-DP%20DR%20PyL\transverse\2020-04%20CP%20Comment%20%20Enedis%20soutient%20ses%20prestataires.pdf" TargetMode="External"/><Relationship Id="rId15" Type="http://schemas.openxmlformats.org/officeDocument/2006/relationships/hyperlink" Target="http://www.tarbes-infos.com/spip.php?article26921" TargetMode="External"/><Relationship Id="rId23" Type="http://schemas.openxmlformats.org/officeDocument/2006/relationships/hyperlink" Target="http://www.tarbes-infos.com/spip.php?article27010" TargetMode="External"/><Relationship Id="rId28" Type="http://schemas.openxmlformats.org/officeDocument/2006/relationships/hyperlink" Target="file:///\\Ntkd0\co\ZE0SF000\ENEDIS_COMMUNICATION_PYRENEES_LANDES\Relations%20presses\Mediascope%20-%20kantarmedia\Articles%20presse\2020\AVRIL\28-04-2020%20-%20L'&#233;clair%20-%20Une%20d&#233;marche%20collective%20pour%20accompagner%20le%20d&#233;confinement%20des%20habitants.pdf" TargetMode="External"/><Relationship Id="rId36" Type="http://schemas.openxmlformats.org/officeDocument/2006/relationships/hyperlink" Target="file:///\\Ntkd0\co\ZE0SF000\ENEDIS_COMMUNICATION_PYRENEES_LANDES\Relations%20presses\Mediascope%20-%20kantarmedia\Articles%20presse\2020\AVRIL\27-04-2020%20-%20Aqui%20-%20Soci&#233;t&#233;%20%20B&#233;arn%20%20Des%20employ&#233;s%20d'Enedis%20mobilis&#233;s%20pour%20l'impression%203D%20de%20visi&#232;res%20de%20protection.pdf" TargetMode="External"/><Relationship Id="rId10" Type="http://schemas.openxmlformats.org/officeDocument/2006/relationships/hyperlink" Target="http://www.aqui.fr/economies/edf,20032.html" TargetMode="External"/><Relationship Id="rId19" Type="http://schemas.openxmlformats.org/officeDocument/2006/relationships/hyperlink" Target="https://www.sudouest.fr/2020/04/15/enedis-est-au-front-en-pays-basque-landes-et-bearn-7413302-4344.php" TargetMode="External"/><Relationship Id="rId31" Type="http://schemas.openxmlformats.org/officeDocument/2006/relationships/hyperlink" Target="file:///\\Ntkd0\co\ZE0SF000\ENEDIS_COMMUNICATION_PYRENEES_LANDES\Relations%20presses\Mediascope%20-%20kantarmedia\Articles%20presse\2020\AVRIL\09-04-2020%20France%20Bleu%20Pays%20Basque%205000%20foyers%20sans%20&#233;lectricit&#233;%20&#224;%20%20(18h).pdf" TargetMode="External"/><Relationship Id="rId4" Type="http://schemas.openxmlformats.org/officeDocument/2006/relationships/hyperlink" Target="file:///\\Ntkd0\co\ZE0SF000\ENEDIS_COMMUNICATION_PYRENEES_LANDES\Relations%20presses\CP-DP%20DR%20PyL\transverse\16%20avril%20Communique%20don%20visieres%20baretous.pdf" TargetMode="External"/><Relationship Id="rId9" Type="http://schemas.openxmlformats.org/officeDocument/2006/relationships/hyperlink" Target="http://pyrenees-infos.over-blog.com/2020/04/ecopyrenees-enedis-reste-mobilise-pour-assurer-l-electricite-a-tous/pyrenees-infos.html" TargetMode="External"/><Relationship Id="rId14" Type="http://schemas.openxmlformats.org/officeDocument/2006/relationships/hyperlink" Target="file:///\\Ntkd0\co\ZE0SF000\ENEDIS_COMMUNICATION_PYRENEES_LANDES\Relations%20presses\Mediascope%20-%20kantarmedia\Articles%20presse\2020\AVRIL\10-04-2020%20-%20La%20semaien%20des%20pyr&#233;n&#233;es%20-%20Enedis%20produit%20des%20visi&#232;res%20de%20protection%20pour%20les%20professionnels%20de%20sant&#233;.pdf" TargetMode="External"/><Relationship Id="rId22" Type="http://schemas.openxmlformats.org/officeDocument/2006/relationships/hyperlink" Target="https://www.lasemainedespyrenees.fr/2020/04/23/bigorre-covid-19-comment-enedis-soutient-ses-prestataires/" TargetMode="External"/><Relationship Id="rId27" Type="http://schemas.openxmlformats.org/officeDocument/2006/relationships/hyperlink" Target="file:///\\Ntkd0\co\ZE0SF000\ENEDIS_COMMUNICATION_PYRENEES_LANDES\Relations%20presses\Mediascope%20-%20kantarmedia\Articles%20presse\2020\AVRIL\27-04-2020%20-%20Aqui%20-%20Soci&#233;t&#233;%20%20B&#233;arn%20%20Des%20employ&#233;s%20d'Enedis%20mobilis&#233;s%20pour%20l'impression%203D%20de%20visi&#232;res%20de%20protection.pdf" TargetMode="External"/><Relationship Id="rId30" Type="http://schemas.openxmlformats.org/officeDocument/2006/relationships/hyperlink" Target="https://www.bretagnedemarsan.fr/Actualites/Les-Actus-de-Bretagne/Electricite-PRUDENCE" TargetMode="External"/><Relationship Id="rId35" Type="http://schemas.openxmlformats.org/officeDocument/2006/relationships/hyperlink" Target="file:///\\Ntkd0\co\ZE0SF000\ENEDIS_COMMUNICATION_PYRENEES_LANDES\Relations%20presses\Mediascope%20-%20kantarmedia\Articles%20presse\2020\AVRIL\27-04-2020%20-%20Aqui%20-%20Soci&#233;t&#233;%20%20B&#233;arn%20%20Des%20employ&#233;s%20d'Enedis%20mobilis&#233;s%20pour%20l'impression%203D%20de%20visi&#232;res%20de%20protection.pdf" TargetMode="External"/><Relationship Id="rId8" Type="http://schemas.openxmlformats.org/officeDocument/2006/relationships/hyperlink" Target="https://www.lasemainedespyrenees.fr/2020/03/31/enedis-reste-mobilisee-pendant-la-crise-sanitaire/" TargetMode="External"/><Relationship Id="rId3" Type="http://schemas.openxmlformats.org/officeDocument/2006/relationships/hyperlink" Target="file:///\\Ntkd0\co\ZE0SF000\ENEDIS_COMMUNICATION_PYRENEES_LANDES\Relations%20presses\CP-DP%20DR%20PyL\transverse\10%20avril%202020%20-%20Enedis%20reste%20mobilis&#233;e%20pour%20assurer%20les%20activit&#233;s%20essentielles%20tout%20en%20&#233;tant%20solidaire%20des%20m&#233;tiers%20les%20plus%20expos&#233;s%20au%20COVID19%20.ms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bleu.fr/infos/economie-social/anglet-reprise-des-travaux-sur-le-chantier-du-programme-immobilier-bovero-1589974623" TargetMode="External"/><Relationship Id="rId13" Type="http://schemas.openxmlformats.org/officeDocument/2006/relationships/hyperlink" Target="file:///\\Ntkd0\co\ZE0SF000\ENEDIS_COMMUNICATION_PYRENEES_LANDES\Relations%20presses\Mediascope%20-%20kantarmedia\Articles%20presse\2020\MAI\29-05-2020-%20L'&#233;clair%20des%20pyr&#233;n&#233;es%20-%20Benoit%20Marin&#233;%20r&#233;&#233;lu%20maire.pdf" TargetMode="External"/><Relationship Id="rId18" Type="http://schemas.openxmlformats.org/officeDocument/2006/relationships/hyperlink" Target="https://www.sudouest.fr/2020/05/21/pau-les-toilettes-publiques-seront-bientot-de-nouveau-operationnelles-7502168-4344.php" TargetMode="External"/><Relationship Id="rId26" Type="http://schemas.openxmlformats.org/officeDocument/2006/relationships/hyperlink" Target="https://www.ladepeche.fr/2020/05/22/a-la-raillere-valorisation-tous-azimuts,8897978.php" TargetMode="External"/><Relationship Id="rId3" Type="http://schemas.openxmlformats.org/officeDocument/2006/relationships/hyperlink" Target="file:///\\Ntkd0\co\ZE0SF000\ENEDIS_COMMUNICATION_PYRENEES_LANDES\Relations%20presses\Mediascope%20-%20kantarmedia\Articles%20presse\2020\MAI\22-05-2020%20-%20La%20NR%20des%20pyr&#233;n&#233;es%20-%20&#192;%20La%20Raill&#232;re,%20valorisation%20tous%20azimuts.pdf" TargetMode="External"/><Relationship Id="rId21" Type="http://schemas.openxmlformats.org/officeDocument/2006/relationships/hyperlink" Target="http://www.tarbes-infos.com/spip.php?article27319" TargetMode="External"/><Relationship Id="rId7" Type="http://schemas.openxmlformats.org/officeDocument/2006/relationships/hyperlink" Target="file:///\\Ntkd0\co\ZE0SF000\ENEDIS_COMMUNICATION_PYRENEES_LANDES\Relations%20presses\Mediascope%20-%20kantarmedia\Articles%20presse\2020\MAI\19-05-2020%20-%20Sud%20Ouest%20Landes%20-%20Axione&#160;%20elle%20n&#8217;oublie%20pas%20sa%20fibre%20paloiseBient&#244;t,%20un%20site%20tout%20neuf%20&#224;%20Pau.pdf" TargetMode="External"/><Relationship Id="rId12" Type="http://schemas.openxmlformats.org/officeDocument/2006/relationships/hyperlink" Target="file:///\\Ntkd0\co\ZE0SF000\ENEDIS_COMMUNICATION_PYRENEES_LANDES\Relations%20presses\Mediascope%20-%20kantarmedia\Articles%20presse\2020\MAI\29-05-2020-%20La%20semaine%20des%20pyr&#233;n&#233;es%20-%20Vall&#233;e%20D'Aure.pdf" TargetMode="External"/><Relationship Id="rId17" Type="http://schemas.openxmlformats.org/officeDocument/2006/relationships/hyperlink" Target="https://www.alvinet.com/similaires/pontonx-sur-l-adour-une-famille-relogee-apres-l-incendie-de-son-appartement/54859904" TargetMode="External"/><Relationship Id="rId25" Type="http://schemas.openxmlformats.org/officeDocument/2006/relationships/hyperlink" Target="http://www.scoop.it.pyrenees-aure-louron.eu/p/4118741544/2020/05/30/vallee-de-couplan-enedis-fait-disparaitre-2-km-de-lignes-electriques-du-paysage" TargetMode="External"/><Relationship Id="rId2" Type="http://schemas.openxmlformats.org/officeDocument/2006/relationships/hyperlink" Target="file:///\\Ntkd0\co\ZE0SF000\ENEDIS_COMMUNICATION_PYRENEES_LANDES\Relations%20presses\CP-DP%20DR%20PyL\40\enviro\2020-05%20Baguage%20b&#233;b&#233;s%20cigognes\2020-05%20CP%20Baguage%20cigognes%20Yzossev2.docx" TargetMode="External"/><Relationship Id="rId16" Type="http://schemas.openxmlformats.org/officeDocument/2006/relationships/hyperlink" Target="file:///\\Ntkd0\co\ZE0SF000\ENEDIS_COMMUNICATION_PYRENEES_LANDES\Relations%20presses\Mediascope%20-%20kantarmedia\Articles%20presse\2020\MAI\12-05-2020%20-%20SudOuestLandes%20-%20une%20famille%20relog&#233;e.pdf" TargetMode="External"/><Relationship Id="rId20" Type="http://schemas.openxmlformats.org/officeDocument/2006/relationships/hyperlink" Target="https://www.saintvincentdepaul.fr/Actualites/Toute-l-actu/Campagne-electricite-prudence" TargetMode="External"/><Relationship Id="rId29" Type="http://schemas.openxmlformats.org/officeDocument/2006/relationships/printerSettings" Target="../printerSettings/printerSettings9.bin"/><Relationship Id="rId1" Type="http://schemas.openxmlformats.org/officeDocument/2006/relationships/hyperlink" Target="file:///\\Ntkd0\co\ZE0SF000\ENEDIS_COMMUNICATION_PYRENEES_LANDES\Relations%20presses\CP-DP%20DR%20PyL\65\Reseau\2020-05%20Aragnouet%20enfouissement\2020-05CP%20enfouissement%20Vall&#233;e%20d'Aure.pdf" TargetMode="External"/><Relationship Id="rId6" Type="http://schemas.openxmlformats.org/officeDocument/2006/relationships/hyperlink" Target="https://www.sudouest.fr/2020/05/20/pays-basque-claude-olive-est-favorable-a-un-2e-tour-des-elections-municipales-en-juin-7498831-4018.php" TargetMode="External"/><Relationship Id="rId11" Type="http://schemas.openxmlformats.org/officeDocument/2006/relationships/hyperlink" Target="https://www.lasemainedespyrenees.fr/2020/05/29/vallee-daure-enedis-fait-disparaitre-2-km-de-lignes-electriques-du-paysage/" TargetMode="External"/><Relationship Id="rId24" Type="http://schemas.openxmlformats.org/officeDocument/2006/relationships/hyperlink" Target="file:///\\Ntkd0\co\ZE0SF000\ENEDIS_COMMUNICATION_PYRENEES_LANDES\Relations%20presses\Mediascope%20-%20kantarmedia\Articles%20presse\2020\MAI\22-05-2020%20-%20%20Sud%20Ouest%20PB%20-%20Priorit&#233;%20aux%20chantiers.pdf" TargetMode="External"/><Relationship Id="rId5" Type="http://schemas.openxmlformats.org/officeDocument/2006/relationships/hyperlink" Target="http://pyrenees-infos.over-blog.com/2020/05/pau-les-toilettes-publiques-rouvrent-leurs-portes-a-pau/pau-infos.html" TargetMode="External"/><Relationship Id="rId15" Type="http://schemas.openxmlformats.org/officeDocument/2006/relationships/hyperlink" Target="https://www.sudouest.fr/2020/05/12/pontonx-sur-l-adour-une-famille-relogee-apres-l-incendie-de-son-appartement-7478961-3350.php" TargetMode="External"/><Relationship Id="rId23" Type="http://schemas.openxmlformats.org/officeDocument/2006/relationships/hyperlink" Target="file:///\\Ntkd0\co\ZE0SF000\ENEDIS_COMMUNICATION_PYRENEES_LANDES\Relations%20presses\Mediascope%20-%20kantarmedia\Articles%20presse\2020\MAI\28-05-2020-%20La%20r&#233;publique%20des%20pyr&#233;n&#233;es%20-%20Saint-Laurent-Bretagne%20Benoit%20Marin&#233;%20r&#233;&#233;lu%20maire.pdf" TargetMode="External"/><Relationship Id="rId28" Type="http://schemas.openxmlformats.org/officeDocument/2006/relationships/hyperlink" Target="https://www.ladepeche.fr/2020/05/22/a-la-raillere-valorisation-tous-azimuts,8897978.php" TargetMode="External"/><Relationship Id="rId10" Type="http://schemas.openxmlformats.org/officeDocument/2006/relationships/hyperlink" Target="file:///\\Ntkd0\co\ZE0SF000\ENEDIS_COMMUNICATION_PYRENEES_LANDES\Relations%20presses\Mediascope%20-%20kantarmedia\Articles%20presse\2020\MAI\20-05-2020%20-%20Mediabask%20-%20C'est%20reparti%20pour%20les%20travaux%20publics.pdf" TargetMode="External"/><Relationship Id="rId19" Type="http://schemas.openxmlformats.org/officeDocument/2006/relationships/hyperlink" Target="file:///\\Ntkd0\co\ZE0SF000\ENEDIS_COMMUNICATION_PYRENEES_LANDES\Relations%20presses\Mediascope%20-%20kantarmedia\Articles%20presse\2020\MAI\18-05-2020%20-%20Sud%20Ouest%20Landes%20-%20B&#233;arn&#160;%20l'entreprise%20Axione%20n'oublie%20pas%20sa%20fibre%20paloise.pdf" TargetMode="External"/><Relationship Id="rId4" Type="http://schemas.openxmlformats.org/officeDocument/2006/relationships/hyperlink" Target="https://www.alvinet.com/similaires/pau-les-toilettes-publiques-seront-bientot-de-nouveau-operationnelles/54971208" TargetMode="External"/><Relationship Id="rId9" Type="http://schemas.openxmlformats.org/officeDocument/2006/relationships/hyperlink" Target="https://www.francebleu.fr/infos/economie-social/anglet-reprise-des-travaux-sur-le-chantier-du-programme-immobilier-bovero-1589974623" TargetMode="External"/><Relationship Id="rId14" Type="http://schemas.openxmlformats.org/officeDocument/2006/relationships/hyperlink" Target="file:///\\Ntkd0\co\ZE0SF000\ENEDIS_COMMUNICATION_PYRENEES_LANDES\Relations%20presses\Mediascope%20-%20kantarmedia\Articles%20presse\2020\MAI\12-05-2020%20-%20Le%20petit%20journal%20-%20Une%20coupure%20de%20courant.pdf" TargetMode="External"/><Relationship Id="rId22" Type="http://schemas.openxmlformats.org/officeDocument/2006/relationships/hyperlink" Target="https://www.larepubliquedespyrenees.fr/2020/05/28/saint-laurent-bretagne-benoit-marine-reelu-maire,2701749.php" TargetMode="External"/><Relationship Id="rId27" Type="http://schemas.openxmlformats.org/officeDocument/2006/relationships/hyperlink" Target="https://www.nrpyrenees.fr/2020/05/22/a-la-raillere-valorisation-tous-azimuts,8897948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E204"/>
  <sheetViews>
    <sheetView showGridLines="0" topLeftCell="A25" zoomScale="60" zoomScaleNormal="60" workbookViewId="0">
      <selection activeCell="F42" sqref="F42"/>
    </sheetView>
  </sheetViews>
  <sheetFormatPr defaultColWidth="11" defaultRowHeight="15.75"/>
  <cols>
    <col min="1" max="1" width="8.75" customWidth="1"/>
    <col min="2" max="2" width="6.625" customWidth="1"/>
    <col min="3" max="3" width="26.25" customWidth="1"/>
    <col min="4" max="5" width="12.625" customWidth="1"/>
    <col min="6" max="7" width="17.625" customWidth="1"/>
    <col min="8" max="9" width="6.625" customWidth="1"/>
    <col min="10" max="12" width="12.625" customWidth="1"/>
    <col min="13" max="13" width="13.625" customWidth="1"/>
    <col min="14" max="15" width="8.625" customWidth="1"/>
    <col min="16" max="16" width="7.25" customWidth="1"/>
    <col min="17" max="17" width="7.75" customWidth="1"/>
    <col min="18" max="18" width="7.25" customWidth="1"/>
  </cols>
  <sheetData>
    <row r="1" spans="1:31" ht="27" customHeight="1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  <c r="S1" s="23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27" customHeight="1">
      <c r="A2" s="22"/>
      <c r="B2" s="1505" t="s">
        <v>0</v>
      </c>
      <c r="C2" s="1506"/>
      <c r="D2" s="1506"/>
      <c r="E2" s="1506"/>
      <c r="F2" s="1506"/>
      <c r="G2" s="1506"/>
      <c r="H2" s="1506"/>
      <c r="I2" s="1506"/>
      <c r="J2" s="1506"/>
      <c r="K2" s="1506"/>
      <c r="L2" s="1506"/>
      <c r="M2" s="1506"/>
      <c r="N2" s="1507"/>
      <c r="O2" s="22"/>
      <c r="P2" s="22"/>
      <c r="Q2" s="22"/>
      <c r="R2" s="23"/>
      <c r="S2" s="23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ht="27" customHeight="1">
      <c r="A3" s="22"/>
      <c r="B3" s="1508"/>
      <c r="C3" s="1509"/>
      <c r="D3" s="1509"/>
      <c r="E3" s="1509"/>
      <c r="F3" s="1509"/>
      <c r="G3" s="1509"/>
      <c r="H3" s="1509"/>
      <c r="I3" s="1509"/>
      <c r="J3" s="1509"/>
      <c r="K3" s="1509"/>
      <c r="L3" s="1509"/>
      <c r="M3" s="1509"/>
      <c r="N3" s="1510"/>
      <c r="O3" s="22"/>
      <c r="P3" s="22"/>
      <c r="Q3" s="22"/>
      <c r="R3" s="23"/>
      <c r="S3" s="23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ht="27" customHeight="1" thickBot="1">
      <c r="A4" s="22"/>
      <c r="B4" s="1511"/>
      <c r="C4" s="1512"/>
      <c r="D4" s="1512"/>
      <c r="E4" s="1512"/>
      <c r="F4" s="1512"/>
      <c r="G4" s="1512"/>
      <c r="H4" s="1512"/>
      <c r="I4" s="1512"/>
      <c r="J4" s="1512"/>
      <c r="K4" s="1512"/>
      <c r="L4" s="1512"/>
      <c r="M4" s="1512"/>
      <c r="N4" s="1513"/>
      <c r="O4" s="22"/>
      <c r="P4" s="22"/>
      <c r="Q4" s="22"/>
      <c r="R4" s="23"/>
      <c r="S4" s="23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27" customHeight="1" thickBo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3"/>
      <c r="S5" s="23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ht="21" customHeight="1" thickBot="1">
      <c r="A6" s="22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23"/>
      <c r="P6" s="23"/>
      <c r="Q6" s="23"/>
      <c r="R6" s="23"/>
      <c r="S6" s="23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ht="45.75" customHeight="1">
      <c r="A7" s="22"/>
      <c r="B7" s="14"/>
      <c r="C7" s="176" t="s">
        <v>1</v>
      </c>
      <c r="D7" s="177" t="s">
        <v>2</v>
      </c>
      <c r="E7" s="177" t="s">
        <v>3</v>
      </c>
      <c r="F7" s="177" t="s">
        <v>4</v>
      </c>
      <c r="G7" s="177" t="s">
        <v>5</v>
      </c>
      <c r="H7" s="177" t="s">
        <v>6</v>
      </c>
      <c r="I7" s="177" t="s">
        <v>7</v>
      </c>
      <c r="J7" s="177" t="s">
        <v>8</v>
      </c>
      <c r="K7" s="177" t="s">
        <v>9</v>
      </c>
      <c r="L7" s="177" t="s">
        <v>10</v>
      </c>
      <c r="M7" s="178" t="s">
        <v>11</v>
      </c>
      <c r="N7" s="39"/>
      <c r="O7" s="40"/>
      <c r="P7" s="1523"/>
      <c r="Q7" s="1523"/>
      <c r="R7" s="23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 ht="22.15" customHeight="1">
      <c r="A8" s="22"/>
      <c r="B8" s="14"/>
      <c r="C8" s="1516" t="s">
        <v>12</v>
      </c>
      <c r="D8" s="1517"/>
      <c r="E8" s="83"/>
      <c r="F8" s="83"/>
      <c r="G8" s="82">
        <f>BILAN_LANDES!G8+BILAN_PA!G8+BILAN_HP!G8</f>
        <v>311</v>
      </c>
      <c r="H8" s="83"/>
      <c r="I8" s="83"/>
      <c r="J8" s="83"/>
      <c r="K8" s="83"/>
      <c r="L8" s="83"/>
      <c r="M8" s="179"/>
      <c r="N8" s="39"/>
      <c r="O8" s="40"/>
      <c r="P8" s="1009"/>
      <c r="Q8" s="1009"/>
      <c r="R8" s="23"/>
      <c r="S8" s="23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ht="22.15" customHeight="1">
      <c r="A9" s="22"/>
      <c r="B9" s="14"/>
      <c r="C9" s="1516" t="s">
        <v>13</v>
      </c>
      <c r="D9" s="1517"/>
      <c r="E9" s="83"/>
      <c r="F9" s="83"/>
      <c r="G9" s="82">
        <f>BILAN_LANDES!G9+BILAN_PA!G9+BILAN_HP!G9</f>
        <v>528</v>
      </c>
      <c r="H9" s="83"/>
      <c r="I9" s="83"/>
      <c r="J9" s="83"/>
      <c r="K9" s="83"/>
      <c r="L9" s="83"/>
      <c r="M9" s="179"/>
      <c r="N9" s="39"/>
      <c r="O9" s="40"/>
      <c r="P9" s="1009"/>
      <c r="Q9" s="1009"/>
      <c r="R9" s="23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 ht="22.15" customHeight="1">
      <c r="A10" s="22"/>
      <c r="B10" s="14"/>
      <c r="C10" s="1516" t="s">
        <v>14</v>
      </c>
      <c r="D10" s="1517"/>
      <c r="E10" s="83"/>
      <c r="F10" s="83"/>
      <c r="G10" s="82">
        <f>BILAN_LANDES!G10+BILAN_PA!G10+BILAN_HP!G10</f>
        <v>554</v>
      </c>
      <c r="H10" s="83"/>
      <c r="I10" s="83"/>
      <c r="J10" s="83"/>
      <c r="K10" s="83"/>
      <c r="L10" s="83"/>
      <c r="M10" s="179"/>
      <c r="N10" s="39"/>
      <c r="O10" s="40"/>
      <c r="P10" s="1009"/>
      <c r="Q10" s="1009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ht="22.15" customHeight="1" thickBot="1">
      <c r="A11" s="22"/>
      <c r="B11" s="14"/>
      <c r="C11" s="1526" t="s">
        <v>15</v>
      </c>
      <c r="D11" s="1527"/>
      <c r="E11" s="180"/>
      <c r="F11" s="180"/>
      <c r="G11" s="82">
        <f>BILAN_LANDES!G11+BILAN_PA!G11+BILAN_HP!G11</f>
        <v>505</v>
      </c>
      <c r="H11" s="180"/>
      <c r="I11" s="180"/>
      <c r="J11" s="180"/>
      <c r="K11" s="180"/>
      <c r="L11" s="180"/>
      <c r="M11" s="181"/>
      <c r="N11" s="39"/>
      <c r="O11" s="40"/>
      <c r="P11" s="1009"/>
      <c r="Q11" s="1009"/>
      <c r="R11" s="23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ht="22.15" customHeight="1" thickBot="1">
      <c r="A12" s="22"/>
      <c r="B12" s="14"/>
      <c r="C12" s="126"/>
      <c r="D12" s="51"/>
      <c r="E12" s="127"/>
      <c r="F12" s="128"/>
      <c r="G12" s="127"/>
      <c r="H12" s="127"/>
      <c r="I12" s="127"/>
      <c r="J12" s="127"/>
      <c r="K12" s="127"/>
      <c r="L12" s="127"/>
      <c r="M12" s="127"/>
      <c r="N12" s="39"/>
      <c r="O12" s="40"/>
      <c r="P12" s="1009"/>
      <c r="Q12" s="1009"/>
      <c r="R12" s="23"/>
      <c r="S12" s="23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ht="22.15" customHeight="1" thickBot="1">
      <c r="A13" s="22"/>
      <c r="B13" s="14"/>
      <c r="C13" s="1519">
        <v>2016</v>
      </c>
      <c r="D13" s="138" t="s">
        <v>16</v>
      </c>
      <c r="E13" s="676">
        <f>BILAN_LANDES!E13+BILAN_PA!E13+BILAN_HP!E13</f>
        <v>0</v>
      </c>
      <c r="F13" s="676">
        <f>BILAN_LANDES!F13+BILAN_PA!F13+BILAN_HP!F13</f>
        <v>0</v>
      </c>
      <c r="G13" s="676">
        <f>BILAN_LANDES!G13+BILAN_PA!G13+BILAN_HP!G13</f>
        <v>121</v>
      </c>
      <c r="H13" s="675">
        <f>BILAN_LANDES!H13+BILAN_PA!H13+BILAN_HP!H13</f>
        <v>0</v>
      </c>
      <c r="I13" s="674">
        <f>BILAN_LANDES!I13+BILAN_PA!I13+BILAN_HP!I13</f>
        <v>0</v>
      </c>
      <c r="J13" s="676">
        <f>BILAN_LANDES!J13+BILAN_PA!J13+BILAN_HP!J13</f>
        <v>118</v>
      </c>
      <c r="K13" s="676">
        <f>BILAN_LANDES!K13+BILAN_PA!K13+BILAN_HP!K13</f>
        <v>0</v>
      </c>
      <c r="L13" s="676">
        <f>BILAN_LANDES!L13+BILAN_PA!L13+BILAN_HP!L13</f>
        <v>2</v>
      </c>
      <c r="M13" s="676">
        <f>BILAN_LANDES!M13+BILAN_PA!M13+BILAN_HP!M13</f>
        <v>2</v>
      </c>
      <c r="N13" s="39"/>
      <c r="O13" s="40"/>
      <c r="P13" s="1009"/>
      <c r="Q13" s="1009"/>
      <c r="R13" s="23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ht="22.15" customHeight="1" thickBot="1">
      <c r="A14" s="22"/>
      <c r="B14" s="14"/>
      <c r="C14" s="1520"/>
      <c r="D14" s="44" t="s">
        <v>17</v>
      </c>
      <c r="E14" s="676">
        <f>BILAN_LANDES!E14+BILAN_PA!E14+BILAN_HP!E14</f>
        <v>0</v>
      </c>
      <c r="F14" s="676">
        <f>BILAN_LANDES!F14+BILAN_PA!F14+BILAN_HP!F14</f>
        <v>0</v>
      </c>
      <c r="G14" s="676">
        <f>BILAN_LANDES!G14+BILAN_PA!G14+BILAN_HP!G14</f>
        <v>182</v>
      </c>
      <c r="H14" s="675">
        <f>BILAN_LANDES!H14+BILAN_PA!H14+BILAN_HP!H14</f>
        <v>0</v>
      </c>
      <c r="I14" s="674">
        <f>BILAN_LANDES!I14+BILAN_PA!I14+BILAN_HP!I14</f>
        <v>0</v>
      </c>
      <c r="J14" s="676">
        <f>BILAN_LANDES!J14+BILAN_PA!J14+BILAN_HP!J14</f>
        <v>181</v>
      </c>
      <c r="K14" s="676">
        <f>BILAN_LANDES!K14+BILAN_PA!K14+BILAN_HP!K14</f>
        <v>0</v>
      </c>
      <c r="L14" s="676">
        <f>BILAN_LANDES!L14+BILAN_PA!L14+BILAN_HP!L14</f>
        <v>8</v>
      </c>
      <c r="M14" s="676">
        <f>BILAN_LANDES!M14+BILAN_PA!M14+BILAN_HP!M14</f>
        <v>2</v>
      </c>
      <c r="N14" s="39"/>
      <c r="O14" s="40"/>
      <c r="P14" s="1009"/>
      <c r="Q14" s="1009"/>
      <c r="R14" s="23"/>
      <c r="S14" s="23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ht="22.15" customHeight="1" thickBot="1">
      <c r="A15" s="22"/>
      <c r="B15" s="14"/>
      <c r="C15" s="1520"/>
      <c r="D15" s="44" t="s">
        <v>18</v>
      </c>
      <c r="E15" s="676">
        <f>BILAN_LANDES!E15+BILAN_PA!E15+BILAN_HP!E15</f>
        <v>17</v>
      </c>
      <c r="F15" s="676">
        <f>BILAN_LANDES!F15+BILAN_PA!F15+BILAN_HP!F15</f>
        <v>0</v>
      </c>
      <c r="G15" s="676">
        <f>BILAN_LANDES!G15+BILAN_PA!G15+BILAN_HP!G15</f>
        <v>110</v>
      </c>
      <c r="H15" s="675">
        <f>BILAN_LANDES!H15+BILAN_PA!H15+BILAN_HP!H15</f>
        <v>0</v>
      </c>
      <c r="I15" s="674">
        <f>BILAN_LANDES!I15+BILAN_PA!I15+BILAN_HP!I15</f>
        <v>0</v>
      </c>
      <c r="J15" s="676">
        <f>BILAN_LANDES!J15+BILAN_PA!J15+BILAN_HP!J15</f>
        <v>110</v>
      </c>
      <c r="K15" s="676">
        <f>BILAN_LANDES!K15+BILAN_PA!K15+BILAN_HP!K15</f>
        <v>0</v>
      </c>
      <c r="L15" s="676">
        <f>BILAN_LANDES!L15+BILAN_PA!L15+BILAN_HP!L15</f>
        <v>2</v>
      </c>
      <c r="M15" s="676">
        <f>BILAN_LANDES!M15+BILAN_PA!M15+BILAN_HP!M15</f>
        <v>6</v>
      </c>
      <c r="N15" s="39"/>
      <c r="O15" s="40"/>
      <c r="P15" s="1009"/>
      <c r="Q15" s="1009"/>
      <c r="R15" s="23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ht="22.15" customHeight="1" thickBot="1">
      <c r="A16" s="22"/>
      <c r="B16" s="14"/>
      <c r="C16" s="1520"/>
      <c r="D16" s="44" t="s">
        <v>19</v>
      </c>
      <c r="E16" s="676">
        <f>BILAN_LANDES!E16+BILAN_PA!E16+BILAN_HP!E16</f>
        <v>40</v>
      </c>
      <c r="F16" s="676">
        <f>BILAN_LANDES!F16+BILAN_PA!F16+BILAN_HP!F16</f>
        <v>0</v>
      </c>
      <c r="G16" s="676">
        <f>BILAN_LANDES!G16+BILAN_PA!G16+BILAN_HP!G16</f>
        <v>96</v>
      </c>
      <c r="H16" s="675">
        <f>BILAN_LANDES!H16+BILAN_PA!H16+BILAN_HP!H16</f>
        <v>0</v>
      </c>
      <c r="I16" s="674">
        <f>BILAN_LANDES!I16+BILAN_PA!I16+BILAN_HP!I16</f>
        <v>0</v>
      </c>
      <c r="J16" s="676">
        <f>BILAN_LANDES!J16+BILAN_PA!J16+BILAN_HP!J16</f>
        <v>96</v>
      </c>
      <c r="K16" s="676">
        <f>BILAN_LANDES!K16+BILAN_PA!K16+BILAN_HP!K16</f>
        <v>0</v>
      </c>
      <c r="L16" s="676">
        <f>BILAN_LANDES!L16+BILAN_PA!L16+BILAN_HP!L16</f>
        <v>2</v>
      </c>
      <c r="M16" s="676">
        <f>BILAN_LANDES!M16+BILAN_PA!M16+BILAN_HP!M16</f>
        <v>1</v>
      </c>
      <c r="N16" s="39"/>
      <c r="O16" s="40"/>
      <c r="P16" s="1009"/>
      <c r="Q16" s="1009"/>
      <c r="R16" s="23"/>
      <c r="S16" s="23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ht="21.75" customHeight="1" thickBot="1">
      <c r="A17" s="22"/>
      <c r="B17" s="14"/>
      <c r="C17" s="1521" t="s">
        <v>20</v>
      </c>
      <c r="D17" s="1522"/>
      <c r="E17" s="677">
        <f>BILAN_LANDES!E17+BILAN_PA!E17+BILAN_HP!E17</f>
        <v>57</v>
      </c>
      <c r="F17" s="677">
        <f>BILAN_LANDES!F17+BILAN_PA!F17+BILAN_HP!F17</f>
        <v>0</v>
      </c>
      <c r="G17" s="677">
        <f>BILAN_LANDES!G17+BILAN_PA!G17+BILAN_HP!G17</f>
        <v>509</v>
      </c>
      <c r="H17" s="675">
        <f>BILAN_LANDES!H17+BILAN_PA!H17+BILAN_HP!H17</f>
        <v>0</v>
      </c>
      <c r="I17" s="674">
        <f>BILAN_LANDES!I17+BILAN_PA!I17+BILAN_HP!I17</f>
        <v>0</v>
      </c>
      <c r="J17" s="677">
        <f>BILAN_LANDES!J17+BILAN_PA!J17+BILAN_HP!J17</f>
        <v>505</v>
      </c>
      <c r="K17" s="677">
        <f>BILAN_LANDES!K17+BILAN_PA!K17+BILAN_HP!K17</f>
        <v>0</v>
      </c>
      <c r="L17" s="677">
        <f>BILAN_LANDES!L17+BILAN_PA!L17+BILAN_HP!L17</f>
        <v>14</v>
      </c>
      <c r="M17" s="677">
        <f>BILAN_LANDES!M17+BILAN_PA!M17+BILAN_HP!M17</f>
        <v>11</v>
      </c>
      <c r="N17" s="39"/>
      <c r="O17" s="40"/>
      <c r="P17" s="1009"/>
      <c r="Q17" s="1009"/>
      <c r="R17" s="23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ht="21.75" customHeight="1" thickBot="1">
      <c r="A18" s="22"/>
      <c r="B18" s="14"/>
      <c r="C18" s="126"/>
      <c r="D18" s="51"/>
      <c r="E18" s="678"/>
      <c r="F18" s="678"/>
      <c r="G18" s="678"/>
      <c r="H18" s="678"/>
      <c r="I18" s="678"/>
      <c r="J18" s="678"/>
      <c r="K18" s="678"/>
      <c r="L18" s="678"/>
      <c r="M18" s="678"/>
      <c r="N18" s="39"/>
      <c r="O18" s="40"/>
      <c r="P18" s="1009"/>
      <c r="Q18" s="1009"/>
      <c r="R18" s="23"/>
      <c r="S18" s="23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ht="22.15" customHeight="1" thickBot="1">
      <c r="A19" s="22"/>
      <c r="B19" s="14"/>
      <c r="C19" s="1519">
        <v>2017</v>
      </c>
      <c r="D19" s="132" t="s">
        <v>16</v>
      </c>
      <c r="E19" s="679">
        <f>BILAN_LANDES!E19+BILAN_PA!E19+BILAN_HP!E19</f>
        <v>19</v>
      </c>
      <c r="F19" s="679">
        <f>BILAN_LANDES!F19+BILAN_PA!F19+BILAN_HP!F19</f>
        <v>0</v>
      </c>
      <c r="G19" s="679">
        <f>BILAN_LANDES!G19+BILAN_PA!G19+BILAN_HP!G19</f>
        <v>94</v>
      </c>
      <c r="H19" s="680">
        <f>BILAN_LANDES!H19+BILAN_PA!H19+BILAN_HP!H19</f>
        <v>0</v>
      </c>
      <c r="I19" s="681">
        <f>BILAN_LANDES!I19+BILAN_PA!I19+BILAN_HP!I19</f>
        <v>0</v>
      </c>
      <c r="J19" s="679">
        <f>BILAN_LANDES!J19+BILAN_PA!J19+BILAN_HP!J19</f>
        <v>97</v>
      </c>
      <c r="K19" s="679">
        <f>BILAN_LANDES!K19+BILAN_PA!K19+BILAN_HP!K19</f>
        <v>0</v>
      </c>
      <c r="L19" s="679">
        <f>BILAN_LANDES!L19+BILAN_PA!L19+BILAN_HP!L19</f>
        <v>12</v>
      </c>
      <c r="M19" s="679">
        <f>BILAN_LANDES!M19+BILAN_PA!M19+BILAN_HP!M19</f>
        <v>0</v>
      </c>
      <c r="N19" s="38"/>
      <c r="O19" s="36"/>
      <c r="P19" s="36"/>
      <c r="Q19" s="36"/>
      <c r="R19" s="23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22.15" customHeight="1" thickBot="1">
      <c r="A20" s="22"/>
      <c r="B20" s="14"/>
      <c r="C20" s="1520"/>
      <c r="D20" s="20" t="s">
        <v>17</v>
      </c>
      <c r="E20" s="676">
        <f>BILAN_LANDES!E20+BILAN_PA!E20+BILAN_HP!E20</f>
        <v>20</v>
      </c>
      <c r="F20" s="676">
        <f>BILAN_LANDES!F20+BILAN_PA!F20+BILAN_HP!F20</f>
        <v>0</v>
      </c>
      <c r="G20" s="676">
        <f>BILAN_LANDES!G20+BILAN_PA!G20+BILAN_HP!G20</f>
        <v>109</v>
      </c>
      <c r="H20" s="675">
        <f>BILAN_LANDES!H20+BILAN_PA!H20+BILAN_HP!H20</f>
        <v>0</v>
      </c>
      <c r="I20" s="674">
        <f>BILAN_LANDES!I20+BILAN_PA!I20+BILAN_HP!I20</f>
        <v>0</v>
      </c>
      <c r="J20" s="676">
        <f>BILAN_LANDES!J20+BILAN_PA!J20+BILAN_HP!J20</f>
        <v>101</v>
      </c>
      <c r="K20" s="676">
        <f>BILAN_LANDES!K20+BILAN_PA!K20+BILAN_HP!K20</f>
        <v>0</v>
      </c>
      <c r="L20" s="676">
        <f>BILAN_LANDES!L20+BILAN_PA!L20+BILAN_HP!L20</f>
        <v>2</v>
      </c>
      <c r="M20" s="676">
        <f>BILAN_LANDES!M20+BILAN_PA!M20+BILAN_HP!M20</f>
        <v>1</v>
      </c>
      <c r="N20" s="38"/>
      <c r="O20" s="36"/>
      <c r="P20" s="36"/>
      <c r="Q20" s="36"/>
      <c r="R20" s="23"/>
      <c r="S20" s="23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22.15" customHeight="1" thickBot="1">
      <c r="A21" s="22"/>
      <c r="B21" s="14"/>
      <c r="C21" s="1520"/>
      <c r="D21" s="20" t="s">
        <v>18</v>
      </c>
      <c r="E21" s="676">
        <f>BILAN_LANDES!E21+BILAN_PA!E21+BILAN_HP!E21</f>
        <v>14</v>
      </c>
      <c r="F21" s="676">
        <f>BILAN_LANDES!F21+BILAN_PA!F21+BILAN_HP!F21</f>
        <v>0</v>
      </c>
      <c r="G21" s="676">
        <f>BILAN_LANDES!G21+BILAN_PA!G21+BILAN_HP!G21</f>
        <v>90</v>
      </c>
      <c r="H21" s="675">
        <f>BILAN_LANDES!H21+BILAN_PA!H21+BILAN_HP!H21</f>
        <v>0</v>
      </c>
      <c r="I21" s="674">
        <f>BILAN_LANDES!I21+BILAN_PA!I21+BILAN_HP!I21</f>
        <v>0</v>
      </c>
      <c r="J21" s="676">
        <f>BILAN_LANDES!J21+BILAN_PA!J21+BILAN_HP!J21</f>
        <v>82</v>
      </c>
      <c r="K21" s="676">
        <f>BILAN_LANDES!K21+BILAN_PA!K21+BILAN_HP!K21</f>
        <v>8</v>
      </c>
      <c r="L21" s="676">
        <f>BILAN_LANDES!L21+BILAN_PA!L21+BILAN_HP!L21</f>
        <v>0</v>
      </c>
      <c r="M21" s="676">
        <f>BILAN_LANDES!M21+BILAN_PA!M21+BILAN_HP!M21</f>
        <v>0</v>
      </c>
      <c r="N21" s="38"/>
      <c r="O21" s="36"/>
      <c r="P21" s="36"/>
      <c r="Q21" s="36"/>
      <c r="R21" s="23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ht="22.15" customHeight="1" thickBot="1">
      <c r="A22" s="22"/>
      <c r="B22" s="14"/>
      <c r="C22" s="1520"/>
      <c r="D22" s="20" t="s">
        <v>19</v>
      </c>
      <c r="E22" s="676">
        <f>BILAN_LANDES!E22+BILAN_PA!E22+BILAN_HP!E22</f>
        <v>21</v>
      </c>
      <c r="F22" s="676">
        <f>BILAN_LANDES!F22+BILAN_PA!F22+BILAN_HP!F22</f>
        <v>0</v>
      </c>
      <c r="G22" s="676">
        <f>BILAN_LANDES!G22+BILAN_PA!G22+BILAN_HP!G22</f>
        <v>155</v>
      </c>
      <c r="H22" s="675">
        <f>BILAN_LANDES!H22+BILAN_PA!H22+BILAN_HP!H22</f>
        <v>0</v>
      </c>
      <c r="I22" s="674">
        <f>BILAN_LANDES!I22+BILAN_PA!I22+BILAN_HP!I22</f>
        <v>0</v>
      </c>
      <c r="J22" s="676">
        <f>BILAN_LANDES!J22+BILAN_PA!J22+BILAN_HP!J22</f>
        <v>129</v>
      </c>
      <c r="K22" s="676">
        <f>BILAN_LANDES!K22+BILAN_PA!K22+BILAN_HP!K22</f>
        <v>16</v>
      </c>
      <c r="L22" s="676">
        <f>BILAN_LANDES!L22+BILAN_PA!L22+BILAN_HP!L22</f>
        <v>6</v>
      </c>
      <c r="M22" s="676">
        <f>BILAN_LANDES!M22+BILAN_PA!M22+BILAN_HP!M22</f>
        <v>1</v>
      </c>
      <c r="N22" s="38"/>
      <c r="O22" s="36"/>
      <c r="P22" s="36"/>
      <c r="Q22" s="36"/>
      <c r="R22" s="23"/>
      <c r="S22" s="23"/>
      <c r="T22" s="22" t="s">
        <v>21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ht="22.5" customHeight="1" thickBot="1">
      <c r="A23" s="22"/>
      <c r="B23" s="14"/>
      <c r="C23" s="1521" t="s">
        <v>22</v>
      </c>
      <c r="D23" s="1522"/>
      <c r="E23" s="677">
        <f>BILAN_LANDES!E23+BILAN_PA!E23+BILAN_HP!E23</f>
        <v>74</v>
      </c>
      <c r="F23" s="677">
        <f>BILAN_LANDES!F23+BILAN_PA!F23+BILAN_HP!F23</f>
        <v>0</v>
      </c>
      <c r="G23" s="677">
        <f>BILAN_LANDES!G23+BILAN_PA!G23+BILAN_HP!G23</f>
        <v>448</v>
      </c>
      <c r="H23" s="675">
        <f>BILAN_LANDES!H23+BILAN_PA!H23+BILAN_HP!H23</f>
        <v>0</v>
      </c>
      <c r="I23" s="674">
        <f>BILAN_LANDES!I23+BILAN_PA!I23+BILAN_HP!I23</f>
        <v>0</v>
      </c>
      <c r="J23" s="677">
        <f>BILAN_LANDES!J23+BILAN_PA!J23+BILAN_HP!J23</f>
        <v>409</v>
      </c>
      <c r="K23" s="677">
        <f>BILAN_LANDES!K23+BILAN_PA!K23+BILAN_HP!K23</f>
        <v>24</v>
      </c>
      <c r="L23" s="677">
        <f>BILAN_LANDES!L23+BILAN_PA!L23+BILAN_HP!L23</f>
        <v>20</v>
      </c>
      <c r="M23" s="677">
        <f>BILAN_LANDES!M23+BILAN_PA!M23+BILAN_HP!M23</f>
        <v>2</v>
      </c>
      <c r="N23" s="38"/>
      <c r="O23" s="36"/>
      <c r="P23" s="36"/>
      <c r="Q23" s="36"/>
      <c r="R23" s="23"/>
      <c r="S23" s="23"/>
      <c r="T23" s="22" t="s">
        <v>23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ht="22.5" customHeight="1" thickBot="1">
      <c r="A24" s="22"/>
      <c r="B24" s="14"/>
      <c r="C24" s="126"/>
      <c r="D24" s="51"/>
      <c r="E24" s="678"/>
      <c r="F24" s="678"/>
      <c r="G24" s="678"/>
      <c r="H24" s="678"/>
      <c r="I24" s="678"/>
      <c r="J24" s="678"/>
      <c r="K24" s="678"/>
      <c r="L24" s="678"/>
      <c r="M24" s="678"/>
      <c r="N24" s="38"/>
      <c r="O24" s="36"/>
      <c r="P24" s="36"/>
      <c r="Q24" s="36"/>
      <c r="R24" s="23"/>
      <c r="S24" s="23"/>
      <c r="T24" s="22" t="s">
        <v>24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ht="22.15" customHeight="1" thickBot="1">
      <c r="A25" s="22"/>
      <c r="B25" s="14"/>
      <c r="C25" s="1519">
        <v>2018</v>
      </c>
      <c r="D25" s="170" t="s">
        <v>16</v>
      </c>
      <c r="E25" s="679">
        <f>BILAN_LANDES!E25+BILAN_PA!E25+BILAN_HP!E25</f>
        <v>17</v>
      </c>
      <c r="F25" s="679">
        <f>BILAN_LANDES!F25+BILAN_PA!F25+BILAN_HP!F25</f>
        <v>45</v>
      </c>
      <c r="G25" s="679">
        <f>BILAN_LANDES!G25+BILAN_PA!G25+BILAN_HP!G25</f>
        <v>147</v>
      </c>
      <c r="H25" s="680">
        <f>BILAN_LANDES!H25+BILAN_PA!H25+BILAN_HP!H25</f>
        <v>114</v>
      </c>
      <c r="I25" s="681">
        <f>BILAN_LANDES!I25+BILAN_PA!I25+BILAN_HP!I25</f>
        <v>32</v>
      </c>
      <c r="J25" s="679">
        <f>BILAN_LANDES!J25+BILAN_PA!J25+BILAN_HP!J25</f>
        <v>101</v>
      </c>
      <c r="K25" s="679">
        <f>BILAN_LANDES!K25+BILAN_PA!K25+BILAN_HP!K25</f>
        <v>39</v>
      </c>
      <c r="L25" s="679">
        <f>BILAN_LANDES!L25+BILAN_PA!L25+BILAN_HP!L25</f>
        <v>6</v>
      </c>
      <c r="M25" s="679">
        <f>BILAN_LANDES!M25+BILAN_PA!M25+BILAN_HP!M25</f>
        <v>0</v>
      </c>
      <c r="N25" s="52"/>
      <c r="O25" s="1020"/>
      <c r="P25" s="1013"/>
      <c r="Q25" s="1013"/>
      <c r="R25" s="23"/>
      <c r="S25" s="23"/>
      <c r="T25" s="22" t="s">
        <v>25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ht="22.15" customHeight="1" thickBot="1">
      <c r="A26" s="22"/>
      <c r="B26" s="14"/>
      <c r="C26" s="1520"/>
      <c r="D26" s="10" t="s">
        <v>17</v>
      </c>
      <c r="E26" s="676">
        <f>BILAN_LANDES!E26+BILAN_PA!E26+BILAN_HP!E26</f>
        <v>30</v>
      </c>
      <c r="F26" s="676">
        <f>BILAN_LANDES!F26+BILAN_PA!F26+BILAN_HP!F26</f>
        <v>86</v>
      </c>
      <c r="G26" s="676">
        <f>BILAN_LANDES!G26+BILAN_PA!G26+BILAN_HP!G26</f>
        <v>247</v>
      </c>
      <c r="H26" s="675">
        <f>BILAN_LANDES!H26+BILAN_PA!H26+BILAN_HP!H26</f>
        <v>167</v>
      </c>
      <c r="I26" s="674">
        <f>BILAN_LANDES!I26+BILAN_PA!I26+BILAN_HP!I26</f>
        <v>74</v>
      </c>
      <c r="J26" s="676">
        <f>BILAN_LANDES!J26+BILAN_PA!J26+BILAN_HP!J26</f>
        <v>146</v>
      </c>
      <c r="K26" s="676">
        <f>BILAN_LANDES!K26+BILAN_PA!K26+BILAN_HP!K26</f>
        <v>72</v>
      </c>
      <c r="L26" s="676">
        <f>BILAN_LANDES!L26+BILAN_PA!L26+BILAN_HP!L26</f>
        <v>25</v>
      </c>
      <c r="M26" s="676">
        <f>BILAN_LANDES!M26+BILAN_PA!M26+BILAN_HP!M26</f>
        <v>4</v>
      </c>
      <c r="N26" s="52"/>
      <c r="O26" s="1020"/>
      <c r="P26" s="1013"/>
      <c r="Q26" s="41"/>
      <c r="R26" s="23"/>
      <c r="S26" s="23"/>
      <c r="T26" s="22" t="s">
        <v>26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ht="22.15" customHeight="1" thickBot="1">
      <c r="A27" s="22"/>
      <c r="B27" s="14"/>
      <c r="C27" s="1520"/>
      <c r="D27" s="10" t="s">
        <v>18</v>
      </c>
      <c r="E27" s="676">
        <f>BILAN_LANDES!E27+BILAN_PA!E27+BILAN_HP!E27</f>
        <v>25</v>
      </c>
      <c r="F27" s="676">
        <f>BILAN_LANDES!F27+BILAN_PA!F27+BILAN_HP!F27</f>
        <v>65</v>
      </c>
      <c r="G27" s="676">
        <f>BILAN_LANDES!G27+BILAN_PA!G27+BILAN_HP!G27</f>
        <v>144</v>
      </c>
      <c r="H27" s="675">
        <f>BILAN_LANDES!H27+BILAN_PA!H27+BILAN_HP!H27</f>
        <v>118</v>
      </c>
      <c r="I27" s="674">
        <f>BILAN_LANDES!I27+BILAN_PA!I27+BILAN_HP!I27</f>
        <v>24</v>
      </c>
      <c r="J27" s="676">
        <f>BILAN_LANDES!J27+BILAN_PA!J27+BILAN_HP!J27</f>
        <v>90</v>
      </c>
      <c r="K27" s="676">
        <f>BILAN_LANDES!K27+BILAN_PA!K27+BILAN_HP!K27</f>
        <v>45</v>
      </c>
      <c r="L27" s="676">
        <f>BILAN_LANDES!L27+BILAN_PA!L27+BILAN_HP!L27</f>
        <v>8</v>
      </c>
      <c r="M27" s="676">
        <f>BILAN_LANDES!M27+BILAN_PA!M27+BILAN_HP!M27</f>
        <v>1</v>
      </c>
      <c r="N27" s="52"/>
      <c r="O27" s="1020"/>
      <c r="P27" s="1013"/>
      <c r="Q27" s="37"/>
      <c r="R27" s="23"/>
      <c r="S27" s="23"/>
      <c r="T27" s="22" t="s">
        <v>27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ht="22.15" customHeight="1" thickBot="1">
      <c r="A28" s="22"/>
      <c r="B28" s="14"/>
      <c r="C28" s="1520"/>
      <c r="D28" s="21" t="s">
        <v>19</v>
      </c>
      <c r="E28" s="676">
        <f>BILAN_LANDES!E28+BILAN_PA!E28+BILAN_HP!E28</f>
        <v>25</v>
      </c>
      <c r="F28" s="676">
        <f>BILAN_LANDES!F28+BILAN_PA!F28+BILAN_HP!F28</f>
        <v>60</v>
      </c>
      <c r="G28" s="676">
        <f>BILAN_LANDES!G28+BILAN_PA!G28+BILAN_HP!G28</f>
        <v>105</v>
      </c>
      <c r="H28" s="675">
        <f>BILAN_LANDES!H28+BILAN_PA!H28+BILAN_HP!H28</f>
        <v>84</v>
      </c>
      <c r="I28" s="674">
        <f>BILAN_LANDES!I28+BILAN_PA!I28+BILAN_HP!I28</f>
        <v>21</v>
      </c>
      <c r="J28" s="676">
        <f>BILAN_LANDES!J28+BILAN_PA!J28+BILAN_HP!J28</f>
        <v>76</v>
      </c>
      <c r="K28" s="676">
        <f>BILAN_LANDES!K28+BILAN_PA!K28+BILAN_HP!K28</f>
        <v>23</v>
      </c>
      <c r="L28" s="676">
        <f>BILAN_LANDES!L28+BILAN_PA!L28+BILAN_HP!L28</f>
        <v>4</v>
      </c>
      <c r="M28" s="676">
        <f>BILAN_LANDES!M28+BILAN_PA!M28+BILAN_HP!M28</f>
        <v>0</v>
      </c>
      <c r="N28" s="52"/>
      <c r="O28" s="1013"/>
      <c r="P28" s="1013"/>
      <c r="Q28" s="1013"/>
      <c r="R28" s="23"/>
      <c r="S28" s="23"/>
      <c r="T28" s="22" t="s">
        <v>28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22.5" customHeight="1" thickBot="1">
      <c r="A29" s="22"/>
      <c r="B29" s="14"/>
      <c r="C29" s="1528" t="s">
        <v>29</v>
      </c>
      <c r="D29" s="1529"/>
      <c r="E29" s="677">
        <f>BILAN_LANDES!E29+BILAN_PA!E29+BILAN_HP!E29</f>
        <v>97</v>
      </c>
      <c r="F29" s="677">
        <f>BILAN_LANDES!F29+BILAN_PA!F29+BILAN_HP!F29</f>
        <v>256</v>
      </c>
      <c r="G29" s="677">
        <f>BILAN_LANDES!G29+BILAN_PA!G29+BILAN_HP!G29</f>
        <v>643</v>
      </c>
      <c r="H29" s="675">
        <f>BILAN_LANDES!H29+BILAN_PA!H29+BILAN_HP!H29</f>
        <v>483</v>
      </c>
      <c r="I29" s="674">
        <f>BILAN_LANDES!I29+BILAN_PA!I29+BILAN_HP!I29</f>
        <v>151</v>
      </c>
      <c r="J29" s="677">
        <f>BILAN_LANDES!J29+BILAN_PA!J29+BILAN_HP!J29</f>
        <v>413</v>
      </c>
      <c r="K29" s="677">
        <f>BILAN_LANDES!K29+BILAN_PA!K29+BILAN_HP!K29</f>
        <v>179</v>
      </c>
      <c r="L29" s="677">
        <f>BILAN_LANDES!L29+BILAN_PA!L29+BILAN_HP!L29</f>
        <v>43</v>
      </c>
      <c r="M29" s="677">
        <f>BILAN_LANDES!M29+BILAN_PA!M29+BILAN_HP!M29</f>
        <v>5</v>
      </c>
      <c r="N29" s="16"/>
      <c r="O29" s="1013"/>
      <c r="P29" s="1013"/>
      <c r="Q29" s="1013"/>
      <c r="R29" s="23"/>
      <c r="S29" s="23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ht="22.5" customHeight="1" thickBot="1">
      <c r="A30" s="22"/>
      <c r="B30" s="14"/>
      <c r="C30" s="50"/>
      <c r="D30" s="50"/>
      <c r="E30" s="678"/>
      <c r="F30" s="678"/>
      <c r="G30" s="678"/>
      <c r="H30" s="678"/>
      <c r="I30" s="678"/>
      <c r="J30" s="678"/>
      <c r="K30" s="678"/>
      <c r="L30" s="678"/>
      <c r="M30" s="678"/>
      <c r="N30" s="16"/>
      <c r="O30" s="1013"/>
      <c r="P30" s="1013"/>
      <c r="Q30" s="1013"/>
      <c r="R30" s="23"/>
      <c r="S30" s="23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ht="22.5" customHeight="1" thickBot="1">
      <c r="A31" s="22"/>
      <c r="B31" s="14"/>
      <c r="C31" s="1519">
        <v>2019</v>
      </c>
      <c r="D31" s="170" t="s">
        <v>16</v>
      </c>
      <c r="E31" s="679">
        <f>BILAN_LANDES!E31+BILAN_PA!E31+BILAN_HP!E31</f>
        <v>35</v>
      </c>
      <c r="F31" s="679">
        <f>BILAN_LANDES!F31+BILAN_PA!F31+BILAN_HP!F31</f>
        <v>150</v>
      </c>
      <c r="G31" s="679">
        <f>BILAN_LANDES!G31+BILAN_PA!G31+BILAN_HP!G31</f>
        <v>193</v>
      </c>
      <c r="H31" s="680">
        <f>BILAN_LANDES!H31+BILAN_PA!H31+BILAN_HP!H31</f>
        <v>176</v>
      </c>
      <c r="I31" s="681">
        <f>BILAN_LANDES!I31+BILAN_PA!I31+BILAN_HP!I31</f>
        <v>17</v>
      </c>
      <c r="J31" s="679">
        <f>BILAN_LANDES!J31+BILAN_PA!J31+BILAN_HP!J31</f>
        <v>111</v>
      </c>
      <c r="K31" s="679">
        <f>BILAN_LANDES!K31+BILAN_PA!K31+BILAN_HP!K31</f>
        <v>69</v>
      </c>
      <c r="L31" s="679">
        <f>BILAN_LANDES!L31+BILAN_PA!L31+BILAN_HP!L31</f>
        <v>8</v>
      </c>
      <c r="M31" s="679">
        <f>BILAN_LANDES!M31+BILAN_PA!M31+BILAN_HP!M31</f>
        <v>4</v>
      </c>
      <c r="N31" s="16"/>
      <c r="O31" s="1013"/>
      <c r="P31" s="1013"/>
      <c r="Q31" s="1013"/>
      <c r="R31" s="23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ht="22.5" customHeight="1" thickBot="1">
      <c r="A32" s="22"/>
      <c r="B32" s="14"/>
      <c r="C32" s="1520"/>
      <c r="D32" s="268" t="s">
        <v>17</v>
      </c>
      <c r="E32" s="676">
        <f>BILAN_LANDES!E32+BILAN_PA!E32+BILAN_HP!E32</f>
        <v>39</v>
      </c>
      <c r="F32" s="676">
        <f>BILAN_LANDES!F32+BILAN_PA!F32+BILAN_HP!F32</f>
        <v>95</v>
      </c>
      <c r="G32" s="676">
        <f>BILAN_LANDES!G32+BILAN_PA!G32+BILAN_HP!G32</f>
        <v>136</v>
      </c>
      <c r="H32" s="675">
        <f>BILAN_LANDES!H32+BILAN_PA!H32+BILAN_HP!H32</f>
        <v>105</v>
      </c>
      <c r="I32" s="674">
        <f>BILAN_LANDES!I32+BILAN_PA!I32+BILAN_HP!I32</f>
        <v>30</v>
      </c>
      <c r="J32" s="676">
        <f>BILAN_LANDES!J32+BILAN_PA!J32+BILAN_HP!J32</f>
        <v>66</v>
      </c>
      <c r="K32" s="676">
        <f>BILAN_LANDES!K32+BILAN_PA!K32+BILAN_HP!K32</f>
        <v>58</v>
      </c>
      <c r="L32" s="676">
        <f>BILAN_LANDES!L32+BILAN_PA!L32+BILAN_HP!L32</f>
        <v>10</v>
      </c>
      <c r="M32" s="676">
        <f>BILAN_LANDES!M32+BILAN_PA!M32+BILAN_HP!M32</f>
        <v>2</v>
      </c>
      <c r="N32" s="16"/>
      <c r="O32" s="1013" t="s">
        <v>30</v>
      </c>
      <c r="P32" s="1013"/>
      <c r="Q32" s="1013"/>
      <c r="R32" s="23"/>
      <c r="S32" s="23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ht="22.5" customHeight="1" thickBot="1">
      <c r="A33" s="22"/>
      <c r="B33" s="14"/>
      <c r="C33" s="1520"/>
      <c r="D33" s="268" t="s">
        <v>18</v>
      </c>
      <c r="E33" s="676">
        <f>BILAN_LANDES!E33+BILAN_PA!E33+BILAN_HP!E33</f>
        <v>43</v>
      </c>
      <c r="F33" s="676">
        <f>BILAN_LANDES!F33+BILAN_PA!F33+BILAN_HP!F33</f>
        <v>111</v>
      </c>
      <c r="G33" s="676">
        <f>BILAN_LANDES!G33+BILAN_PA!G33+BILAN_HP!G33</f>
        <v>131</v>
      </c>
      <c r="H33" s="675">
        <f>BILAN_LANDES!H33+BILAN_PA!H33+BILAN_HP!H33</f>
        <v>114</v>
      </c>
      <c r="I33" s="674">
        <f>BILAN_LANDES!I33+BILAN_PA!I33+BILAN_HP!I33</f>
        <v>12</v>
      </c>
      <c r="J33" s="676">
        <f>BILAN_LANDES!J33+BILAN_PA!J33+BILAN_HP!J33</f>
        <v>60</v>
      </c>
      <c r="K33" s="676">
        <f>BILAN_LANDES!K33+BILAN_PA!K33+BILAN_HP!K33</f>
        <v>56</v>
      </c>
      <c r="L33" s="676">
        <f>BILAN_LANDES!L33+BILAN_PA!L33+BILAN_HP!L33</f>
        <v>11</v>
      </c>
      <c r="M33" s="676">
        <f>BILAN_LANDES!M33+BILAN_PA!M33+BILAN_HP!M33</f>
        <v>0</v>
      </c>
      <c r="N33" s="16"/>
      <c r="O33" s="1013"/>
      <c r="P33" s="1013"/>
      <c r="Q33" s="1013"/>
      <c r="R33" s="23"/>
      <c r="S33" s="23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ht="22.5" customHeight="1" thickBot="1">
      <c r="A34" s="22"/>
      <c r="B34" s="14"/>
      <c r="C34" s="1520"/>
      <c r="D34" s="21" t="s">
        <v>19</v>
      </c>
      <c r="E34" s="676">
        <f>BILAN_LANDES!E34+BILAN_PA!E34+BILAN_HP!E34</f>
        <v>46</v>
      </c>
      <c r="F34" s="676">
        <f>BILAN_LANDES!F34+BILAN_PA!F34+BILAN_HP!F34</f>
        <v>160</v>
      </c>
      <c r="G34" s="676">
        <f>BILAN_LANDES!G34+BILAN_PA!G34+BILAN_HP!G34</f>
        <v>223</v>
      </c>
      <c r="H34" s="675">
        <f>BILAN_LANDES!H34+BILAN_PA!H34+BILAN_HP!H34</f>
        <v>209</v>
      </c>
      <c r="I34" s="674">
        <f>BILAN_LANDES!I34+BILAN_PA!I34+BILAN_HP!I34</f>
        <v>11</v>
      </c>
      <c r="J34" s="676">
        <f>BILAN_LANDES!J34+BILAN_PA!J34+BILAN_HP!J34</f>
        <v>129</v>
      </c>
      <c r="K34" s="676">
        <f>BILAN_LANDES!K34+BILAN_PA!K34+BILAN_HP!K34</f>
        <v>59</v>
      </c>
      <c r="L34" s="676">
        <f>BILAN_LANDES!L34+BILAN_PA!L34+BILAN_HP!L34</f>
        <v>28</v>
      </c>
      <c r="M34" s="676">
        <f>BILAN_LANDES!M34+BILAN_PA!M34+BILAN_HP!M34</f>
        <v>5</v>
      </c>
      <c r="N34" s="16"/>
      <c r="O34" s="1013"/>
      <c r="P34" s="1013"/>
      <c r="Q34" s="1013"/>
      <c r="R34" s="23"/>
      <c r="S34" s="23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ht="22.5" customHeight="1" thickBot="1">
      <c r="A35" s="22"/>
      <c r="B35" s="14"/>
      <c r="C35" s="1521" t="s">
        <v>31</v>
      </c>
      <c r="D35" s="1522"/>
      <c r="E35" s="677">
        <f>BILAN_LANDES!E35+BILAN_PA!E35+BILAN_HP!E35</f>
        <v>163</v>
      </c>
      <c r="F35" s="677">
        <f>BILAN_LANDES!F35+BILAN_PA!F35+BILAN_HP!F35</f>
        <v>516</v>
      </c>
      <c r="G35" s="677">
        <f>BILAN_LANDES!G35+BILAN_PA!G35+BILAN_HP!G35</f>
        <v>683</v>
      </c>
      <c r="H35" s="675">
        <f>BILAN_LANDES!H35+BILAN_PA!H35+BILAN_HP!H35</f>
        <v>604</v>
      </c>
      <c r="I35" s="674">
        <f>BILAN_LANDES!I35+BILAN_PA!I35+BILAN_HP!I35</f>
        <v>70</v>
      </c>
      <c r="J35" s="677">
        <f>BILAN_LANDES!J35+BILAN_PA!J35+BILAN_HP!J35</f>
        <v>366</v>
      </c>
      <c r="K35" s="677">
        <f>BILAN_LANDES!K35+BILAN_PA!K35+BILAN_HP!K35</f>
        <v>242</v>
      </c>
      <c r="L35" s="677">
        <f>BILAN_LANDES!L35+BILAN_PA!L35+BILAN_HP!L35</f>
        <v>57</v>
      </c>
      <c r="M35" s="677">
        <f>BILAN_LANDES!M35+BILAN_PA!M35+BILAN_HP!M35</f>
        <v>11</v>
      </c>
      <c r="N35" s="16"/>
      <c r="O35" s="1013"/>
      <c r="P35" s="1013"/>
      <c r="Q35" s="1013"/>
      <c r="R35" s="23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s="594" customFormat="1" ht="22.5" customHeight="1" thickBot="1">
      <c r="B36" s="14"/>
      <c r="C36" s="50"/>
      <c r="D36" s="50"/>
      <c r="E36" s="678"/>
      <c r="F36" s="678"/>
      <c r="G36" s="678"/>
      <c r="H36" s="678"/>
      <c r="I36" s="678"/>
      <c r="J36" s="678"/>
      <c r="K36" s="678"/>
      <c r="L36" s="678"/>
      <c r="M36" s="678"/>
      <c r="N36" s="16"/>
      <c r="O36" s="1025"/>
      <c r="P36" s="1025"/>
      <c r="Q36" s="1025"/>
      <c r="R36" s="48"/>
      <c r="S36" s="48"/>
    </row>
    <row r="37" spans="1:31" ht="22.5" customHeight="1" thickBot="1">
      <c r="A37" s="22"/>
      <c r="B37" s="14"/>
      <c r="C37" s="1519">
        <v>2020</v>
      </c>
      <c r="D37" s="170" t="s">
        <v>16</v>
      </c>
      <c r="E37" s="679">
        <f>BILAN_LANDES!E37+BILAN_PA!E37+BILAN_HP!E37</f>
        <v>34</v>
      </c>
      <c r="F37" s="679">
        <f>BILAN_LANDES!F37+BILAN_PA!F37+BILAN_HP!F37</f>
        <v>145</v>
      </c>
      <c r="G37" s="679">
        <f>BILAN_LANDES!G37+BILAN_PA!G37+BILAN_HP!G37</f>
        <v>181</v>
      </c>
      <c r="H37" s="680">
        <f>BILAN_LANDES!H37+BILAN_PA!H37+BILAN_HP!H37</f>
        <v>167</v>
      </c>
      <c r="I37" s="681">
        <f>BILAN_LANDES!I37+BILAN_PA!I37+BILAN_HP!I37</f>
        <v>14</v>
      </c>
      <c r="J37" s="679">
        <f>BILAN_LANDES!J37+BILAN_PA!J37+BILAN_HP!J37</f>
        <v>95</v>
      </c>
      <c r="K37" s="679">
        <f>BILAN_LANDES!K37+BILAN_PA!K37+BILAN_HP!K37</f>
        <v>78</v>
      </c>
      <c r="L37" s="679">
        <f>BILAN_LANDES!L37+BILAN_PA!L37+BILAN_HP!L37</f>
        <v>5</v>
      </c>
      <c r="M37" s="679">
        <f>BILAN_LANDES!M37+BILAN_PA!M37+BILAN_HP!M37</f>
        <v>3</v>
      </c>
      <c r="N37" s="16"/>
      <c r="O37" s="1013"/>
      <c r="P37" s="1013"/>
      <c r="Q37" s="1013"/>
      <c r="R37" s="23"/>
      <c r="S37" s="23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ht="22.5" customHeight="1" thickBot="1">
      <c r="A38" s="22"/>
      <c r="B38" s="14"/>
      <c r="C38" s="1520"/>
      <c r="D38" s="268" t="s">
        <v>17</v>
      </c>
      <c r="E38" s="676">
        <f>BILAN_LANDES!E38+BILAN_PA!E38+BILAN_HP!E38</f>
        <v>33</v>
      </c>
      <c r="F38" s="676">
        <f>BILAN_LANDES!F38+BILAN_PA!F38+BILAN_HP!F38</f>
        <v>103</v>
      </c>
      <c r="G38" s="676">
        <f>BILAN_LANDES!G38+BILAN_PA!G38+BILAN_HP!G38</f>
        <v>159</v>
      </c>
      <c r="H38" s="675">
        <f>BILAN_LANDES!H38+BILAN_PA!H38+BILAN_HP!H38</f>
        <v>144</v>
      </c>
      <c r="I38" s="674">
        <f>BILAN_LANDES!I38+BILAN_PA!I38+BILAN_HP!I38</f>
        <v>11</v>
      </c>
      <c r="J38" s="676">
        <f>BILAN_LANDES!J38+BILAN_PA!J38+BILAN_HP!J38</f>
        <v>66</v>
      </c>
      <c r="K38" s="676">
        <f>BILAN_LANDES!K38+BILAN_PA!K38+BILAN_HP!K38</f>
        <v>78</v>
      </c>
      <c r="L38" s="676">
        <f>BILAN_LANDES!L38+BILAN_PA!L38+BILAN_HP!L38</f>
        <v>14</v>
      </c>
      <c r="M38" s="676">
        <f>BILAN_LANDES!M38+BILAN_PA!M38+BILAN_HP!M38</f>
        <v>1</v>
      </c>
      <c r="N38" s="16"/>
      <c r="O38" s="1013"/>
      <c r="P38" s="1013"/>
      <c r="Q38" s="1013"/>
      <c r="R38" s="23"/>
      <c r="S38" s="23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ht="22.5" customHeight="1" thickBot="1">
      <c r="A39" s="22"/>
      <c r="B39" s="14"/>
      <c r="C39" s="1520"/>
      <c r="D39" s="268" t="s">
        <v>18</v>
      </c>
      <c r="E39" s="676">
        <f>BILAN_LANDES!E39+BILAN_PA!E39+BILAN_HP!E39</f>
        <v>27</v>
      </c>
      <c r="F39" s="676">
        <f>BILAN_LANDES!F39+BILAN_PA!F39+BILAN_HP!F39</f>
        <v>89</v>
      </c>
      <c r="G39" s="704">
        <f>SUM(BILAN_LANDES!G39+BILAN_PA!G39+BILAN_HP!G39)</f>
        <v>121</v>
      </c>
      <c r="H39" s="675">
        <f>BILAN_LANDES!H39+BILAN_PA!H39+BILAN_HP!H39</f>
        <v>120</v>
      </c>
      <c r="I39" s="674">
        <f>BILAN_LANDES!I39+BILAN_PA!I39+BILAN_HP!I39</f>
        <v>1</v>
      </c>
      <c r="J39" s="676">
        <f>BILAN_LANDES!J39+BILAN_PA!J39+BILAN_HP!J39</f>
        <v>63</v>
      </c>
      <c r="K39" s="676">
        <f>BILAN_LANDES!K39+BILAN_PA!K39+BILAN_HP!K39</f>
        <v>37</v>
      </c>
      <c r="L39" s="676">
        <f>BILAN_LANDES!L39+BILAN_PA!L39+BILAN_HP!L39</f>
        <v>21</v>
      </c>
      <c r="M39" s="676">
        <f>BILAN_LANDES!M39+BILAN_PA!M39+BILAN_HP!M39</f>
        <v>0</v>
      </c>
      <c r="N39" s="16"/>
      <c r="O39" s="1013"/>
      <c r="P39" s="1013"/>
      <c r="Q39" s="1013"/>
      <c r="R39" s="23"/>
      <c r="S39" s="23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ht="22.5" customHeight="1" thickBot="1">
      <c r="A40" s="22"/>
      <c r="B40" s="14"/>
      <c r="C40" s="1520"/>
      <c r="D40" s="21" t="s">
        <v>19</v>
      </c>
      <c r="E40" s="676">
        <f>BILAN_LANDES!E40+BILAN_PA!E40+BILAN_HP!E40</f>
        <v>51</v>
      </c>
      <c r="F40" s="676">
        <f>BILAN_LANDES!F40+BILAN_PA!F40+BILAN_HP!F40</f>
        <v>231</v>
      </c>
      <c r="G40" s="704">
        <f>SUM(BILAN_LANDES!G40+BILAN_PA!G40+BILAN_HP!G40)</f>
        <v>327</v>
      </c>
      <c r="H40" s="675">
        <f>BILAN_LANDES!H40+BILAN_PA!H40+BILAN_HP!H40</f>
        <v>297</v>
      </c>
      <c r="I40" s="674">
        <f>BILAN_LANDES!I40+BILAN_PA!I40+BILAN_HP!I40</f>
        <v>19</v>
      </c>
      <c r="J40" s="676">
        <f>BILAN_LANDES!J40+BILAN_PA!J40+BILAN_HP!J40</f>
        <v>150</v>
      </c>
      <c r="K40" s="676">
        <f>BILAN_LANDES!K40+BILAN_PA!K40+BILAN_HP!K40</f>
        <v>112</v>
      </c>
      <c r="L40" s="676">
        <f>BILAN_LANDES!L40+BILAN_PA!L40+BILAN_HP!L40</f>
        <v>57</v>
      </c>
      <c r="M40" s="676">
        <f>BILAN_LANDES!M40+BILAN_PA!M40+BILAN_HP!M40</f>
        <v>8</v>
      </c>
      <c r="N40" s="16"/>
      <c r="O40" s="1013"/>
      <c r="P40" s="1013"/>
      <c r="Q40" s="1013"/>
      <c r="R40" s="23"/>
      <c r="S40" s="23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ht="22.5" customHeight="1" thickBot="1">
      <c r="A41" s="22"/>
      <c r="B41" s="14"/>
      <c r="C41" s="1521" t="s">
        <v>32</v>
      </c>
      <c r="D41" s="1522"/>
      <c r="E41" s="677">
        <f>BILAN_LANDES!E41+BILAN_PA!E41+BILAN_HP!E41</f>
        <v>145</v>
      </c>
      <c r="F41" s="677">
        <f>BILAN_LANDES!F41+BILAN_PA!F41+BILAN_HP!F41</f>
        <v>568</v>
      </c>
      <c r="G41" s="677">
        <f>BILAN_LANDES!G41+BILAN_PA!G41+BILAN_HP!G41</f>
        <v>788</v>
      </c>
      <c r="H41" s="675">
        <f>BILAN_LANDES!H41+BILAN_PA!H41+BILAN_HP!H41</f>
        <v>728</v>
      </c>
      <c r="I41" s="674">
        <f>BILAN_LANDES!I41+BILAN_PA!I41+BILAN_HP!I41</f>
        <v>45</v>
      </c>
      <c r="J41" s="677">
        <f>BILAN_LANDES!J41+BILAN_PA!J41+BILAN_HP!J41</f>
        <v>374</v>
      </c>
      <c r="K41" s="677">
        <f>BILAN_LANDES!K41+BILAN_PA!K41+BILAN_HP!K41</f>
        <v>305</v>
      </c>
      <c r="L41" s="677">
        <f>BILAN_LANDES!L41+BILAN_PA!L41+BILAN_HP!L41</f>
        <v>97</v>
      </c>
      <c r="M41" s="677">
        <f>BILAN_LANDES!M41+BILAN_PA!M41+BILAN_HP!M41</f>
        <v>12</v>
      </c>
      <c r="N41" s="16"/>
      <c r="O41" s="1013"/>
      <c r="P41" s="1013"/>
      <c r="Q41" s="1013"/>
      <c r="R41" s="23"/>
      <c r="S41" s="23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ht="31.5" customHeight="1">
      <c r="A42" s="22"/>
      <c r="B42" s="14"/>
      <c r="C42" s="50"/>
      <c r="D42" s="51"/>
      <c r="E42" s="1025"/>
      <c r="F42" s="1025"/>
      <c r="G42" s="48"/>
      <c r="H42" s="48"/>
      <c r="I42" s="48"/>
      <c r="J42" s="1025"/>
      <c r="K42" s="1025"/>
      <c r="L42" s="1025"/>
      <c r="M42" s="1025"/>
      <c r="N42" s="16"/>
      <c r="O42" s="1013"/>
      <c r="P42" s="1013"/>
      <c r="Q42" s="1013"/>
      <c r="R42" s="23"/>
      <c r="S42" s="23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ht="31.5" customHeight="1">
      <c r="A43" s="22"/>
      <c r="B43" s="104"/>
      <c r="C43" s="105"/>
      <c r="D43" s="106"/>
      <c r="E43" s="107"/>
      <c r="F43" s="107"/>
      <c r="G43" s="108"/>
      <c r="H43" s="108"/>
      <c r="I43" s="108"/>
      <c r="J43" s="107"/>
      <c r="K43" s="107"/>
      <c r="L43" s="107"/>
      <c r="M43" s="107"/>
      <c r="N43" s="109"/>
      <c r="O43" s="1013"/>
      <c r="P43" s="1013"/>
      <c r="Q43" s="1013"/>
      <c r="R43" s="23"/>
      <c r="S43" s="23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ht="31.5" customHeight="1">
      <c r="A44" s="22"/>
      <c r="B44" s="110"/>
      <c r="C44" s="111"/>
      <c r="D44" s="112"/>
      <c r="E44" s="113"/>
      <c r="F44" s="113"/>
      <c r="G44" s="114"/>
      <c r="H44" s="114"/>
      <c r="I44" s="114"/>
      <c r="J44" s="113"/>
      <c r="K44" s="113"/>
      <c r="L44" s="113"/>
      <c r="M44" s="113"/>
      <c r="N44" s="115"/>
      <c r="O44" s="1013"/>
      <c r="P44" s="1013"/>
      <c r="Q44" s="1013"/>
      <c r="R44" s="23"/>
      <c r="S44" s="23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ht="26.25" customHeight="1">
      <c r="A45" s="22"/>
      <c r="B45" s="14"/>
      <c r="C45" s="50"/>
      <c r="D45" s="51"/>
      <c r="E45" s="1025"/>
      <c r="F45" s="1025"/>
      <c r="G45" s="48"/>
      <c r="H45" s="48"/>
      <c r="I45" s="78"/>
      <c r="J45" s="75"/>
      <c r="K45" s="75"/>
      <c r="L45" s="75"/>
      <c r="M45" s="75"/>
      <c r="N45" s="76"/>
      <c r="O45" s="1013"/>
      <c r="P45" s="1013"/>
      <c r="Q45" s="1013"/>
      <c r="R45" s="23"/>
      <c r="S45" s="23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ht="33.75" customHeight="1">
      <c r="A46" s="22"/>
      <c r="B46" s="14"/>
      <c r="C46" s="1496" t="s">
        <v>33</v>
      </c>
      <c r="D46" s="1496"/>
      <c r="E46" s="1496"/>
      <c r="F46" s="1496"/>
      <c r="G46" s="1496"/>
      <c r="H46" s="48"/>
      <c r="I46" s="79"/>
      <c r="J46" s="1497" t="s">
        <v>34</v>
      </c>
      <c r="K46" s="1497"/>
      <c r="L46" s="1497"/>
      <c r="M46" s="1497"/>
      <c r="N46" s="72"/>
      <c r="O46" s="1013"/>
      <c r="P46" s="1013"/>
      <c r="Q46" s="1013"/>
      <c r="R46" s="23"/>
      <c r="S46" s="23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ht="27" customHeight="1">
      <c r="A47" s="22"/>
      <c r="B47" s="14"/>
      <c r="C47" s="103"/>
      <c r="D47" s="103"/>
      <c r="E47" s="103"/>
      <c r="F47" s="103"/>
      <c r="G47" s="48"/>
      <c r="H47" s="48"/>
      <c r="I47" s="79"/>
      <c r="J47" s="1525"/>
      <c r="K47" s="1525"/>
      <c r="L47" s="1525"/>
      <c r="M47" s="1525"/>
      <c r="N47" s="74"/>
      <c r="O47" s="22"/>
      <c r="P47" s="22"/>
      <c r="Q47" s="22"/>
      <c r="R47" s="26"/>
      <c r="S47" s="23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1:31" ht="22.5" customHeight="1">
      <c r="A48" s="22"/>
      <c r="B48" s="14"/>
      <c r="C48" s="85"/>
      <c r="D48" s="85"/>
      <c r="E48" s="85"/>
      <c r="F48" s="85"/>
      <c r="G48" s="85"/>
      <c r="H48" s="48"/>
      <c r="I48" s="79"/>
      <c r="J48" s="497">
        <v>2018</v>
      </c>
      <c r="K48" s="1042" t="s">
        <v>35</v>
      </c>
      <c r="L48" s="1042" t="s">
        <v>36</v>
      </c>
      <c r="M48" s="1042" t="s">
        <v>37</v>
      </c>
      <c r="N48" s="74"/>
      <c r="O48" s="22"/>
      <c r="P48" s="22"/>
      <c r="Q48" s="22"/>
      <c r="R48" s="26"/>
      <c r="S48" s="23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 ht="27.75" customHeight="1">
      <c r="A49" s="23"/>
      <c r="B49" s="14"/>
      <c r="C49" s="48"/>
      <c r="D49" s="48"/>
      <c r="E49" s="48"/>
      <c r="F49" s="48"/>
      <c r="G49" s="48"/>
      <c r="H49" s="48"/>
      <c r="I49" s="79"/>
      <c r="J49" s="59" t="s">
        <v>38</v>
      </c>
      <c r="K49" s="9">
        <v>56</v>
      </c>
      <c r="L49" s="9">
        <v>1816</v>
      </c>
      <c r="M49" s="60">
        <v>0.01</v>
      </c>
      <c r="N49" s="74"/>
      <c r="O49" s="23"/>
      <c r="P49" s="22"/>
      <c r="Q49" s="22"/>
      <c r="R49" s="26"/>
      <c r="S49" s="23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ht="22.5" customHeight="1">
      <c r="A50" s="23"/>
      <c r="B50" s="14"/>
      <c r="C50" s="1503" t="s">
        <v>39</v>
      </c>
      <c r="D50" s="1504"/>
      <c r="E50" s="48"/>
      <c r="F50" s="48"/>
      <c r="G50" s="48"/>
      <c r="H50" s="48"/>
      <c r="I50" s="79"/>
      <c r="J50" s="59" t="s">
        <v>40</v>
      </c>
      <c r="K50" s="9">
        <v>65</v>
      </c>
      <c r="L50" s="9">
        <v>1851</v>
      </c>
      <c r="M50" s="60">
        <v>1.2E-2</v>
      </c>
      <c r="N50" s="74"/>
      <c r="O50" s="23"/>
      <c r="P50" s="86"/>
      <c r="Q50" s="24"/>
      <c r="R50" s="219"/>
      <c r="S50" s="2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ht="24.75" customHeight="1">
      <c r="A51" s="23"/>
      <c r="B51" s="14"/>
      <c r="C51" s="1502"/>
      <c r="D51" s="1502"/>
      <c r="E51" s="49"/>
      <c r="F51" s="49"/>
      <c r="G51" s="49"/>
      <c r="H51" s="1027"/>
      <c r="I51" s="80"/>
      <c r="J51" s="59" t="s">
        <v>41</v>
      </c>
      <c r="K51" s="9">
        <v>102</v>
      </c>
      <c r="L51" s="9">
        <v>2066</v>
      </c>
      <c r="M51" s="60">
        <v>1.9E-2</v>
      </c>
      <c r="N51" s="73"/>
      <c r="O51" s="26"/>
      <c r="P51" s="86"/>
      <c r="Q51" s="25"/>
      <c r="R51" s="1013"/>
      <c r="S51" s="23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ht="26.25" customHeight="1">
      <c r="A52" s="23"/>
      <c r="B52" s="14"/>
      <c r="C52" s="26"/>
      <c r="D52" s="26"/>
      <c r="E52" s="49"/>
      <c r="F52" s="49"/>
      <c r="G52" s="49"/>
      <c r="H52" s="1027"/>
      <c r="I52" s="80"/>
      <c r="J52" s="297" t="s">
        <v>42</v>
      </c>
      <c r="K52" s="298">
        <f>13+32+49</f>
        <v>94</v>
      </c>
      <c r="L52" s="298">
        <v>2028</v>
      </c>
      <c r="M52" s="299">
        <v>2.3E-2</v>
      </c>
      <c r="N52" s="73"/>
      <c r="O52" s="26"/>
      <c r="P52" s="86"/>
      <c r="Q52" s="25"/>
      <c r="R52" s="1013"/>
      <c r="S52" s="23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ht="26.25" customHeight="1">
      <c r="A53" s="23"/>
      <c r="B53" s="14"/>
      <c r="C53" s="26"/>
      <c r="D53" s="26"/>
      <c r="E53" s="49"/>
      <c r="F53" s="49"/>
      <c r="G53" s="49"/>
      <c r="H53" s="1027"/>
      <c r="I53" s="80"/>
      <c r="J53" s="498">
        <v>2019</v>
      </c>
      <c r="K53" s="498"/>
      <c r="L53" s="498"/>
      <c r="M53" s="499"/>
      <c r="N53" s="73"/>
      <c r="O53" s="26"/>
      <c r="P53" s="86"/>
      <c r="Q53" s="25"/>
      <c r="R53" s="1013"/>
      <c r="S53" s="23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ht="26.25" customHeight="1">
      <c r="A54" s="23"/>
      <c r="B54" s="14"/>
      <c r="C54" s="26"/>
      <c r="D54" s="26"/>
      <c r="E54" s="49"/>
      <c r="F54" s="49"/>
      <c r="G54" s="49"/>
      <c r="H54" s="1027"/>
      <c r="I54" s="80"/>
      <c r="J54" s="558" t="s">
        <v>38</v>
      </c>
      <c r="K54" s="298">
        <f>19+16+20</f>
        <v>55</v>
      </c>
      <c r="L54" s="298">
        <v>2029</v>
      </c>
      <c r="M54" s="299">
        <v>1.9E-2</v>
      </c>
      <c r="N54" s="73"/>
      <c r="O54" s="26"/>
      <c r="P54" s="86"/>
      <c r="Q54" s="25"/>
      <c r="R54" s="1013"/>
      <c r="S54" s="23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ht="27.75" customHeight="1">
      <c r="A55" s="23"/>
      <c r="B55" s="14"/>
      <c r="C55" s="26"/>
      <c r="D55" s="26"/>
      <c r="E55" s="49"/>
      <c r="F55" s="49"/>
      <c r="G55" s="49"/>
      <c r="H55" s="1027"/>
      <c r="I55" s="80"/>
      <c r="J55" s="502" t="s">
        <v>40</v>
      </c>
      <c r="K55" s="500">
        <v>120</v>
      </c>
      <c r="L55" s="500">
        <v>2154</v>
      </c>
      <c r="M55" s="501">
        <v>2.5000000000000001E-2</v>
      </c>
      <c r="N55" s="73"/>
      <c r="O55" s="26"/>
      <c r="P55" s="86"/>
      <c r="Q55" s="25"/>
      <c r="R55" s="1013"/>
      <c r="S55" s="23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ht="25.5" customHeight="1">
      <c r="A56" s="23"/>
      <c r="B56" s="14"/>
      <c r="C56" s="26"/>
      <c r="D56" s="26"/>
      <c r="E56" s="49"/>
      <c r="F56" s="49"/>
      <c r="G56" s="49"/>
      <c r="H56" s="1027"/>
      <c r="I56" s="80"/>
      <c r="J56" s="502" t="s">
        <v>41</v>
      </c>
      <c r="K56" s="298">
        <v>87</v>
      </c>
      <c r="L56" s="298">
        <v>2340</v>
      </c>
      <c r="M56" s="501">
        <v>1.6E-2</v>
      </c>
      <c r="N56" s="73"/>
      <c r="O56" s="26"/>
      <c r="P56" s="86"/>
      <c r="Q56" s="25"/>
      <c r="R56" s="1013"/>
      <c r="S56" s="23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ht="26.25" customHeight="1">
      <c r="A57" s="23"/>
      <c r="B57" s="14"/>
      <c r="C57" s="49"/>
      <c r="D57" s="49"/>
      <c r="E57" s="49"/>
      <c r="F57" s="49"/>
      <c r="G57" s="49"/>
      <c r="H57" s="1027"/>
      <c r="I57" s="81"/>
      <c r="J57" s="502" t="s">
        <v>42</v>
      </c>
      <c r="K57" s="298">
        <v>120</v>
      </c>
      <c r="L57" s="298">
        <v>2560</v>
      </c>
      <c r="M57" s="501">
        <v>1.7000000000000001E-2</v>
      </c>
      <c r="N57" s="77"/>
      <c r="O57" s="26"/>
      <c r="P57" s="86"/>
      <c r="Q57" s="25"/>
      <c r="R57" s="1013"/>
      <c r="S57" s="23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ht="15" customHeight="1">
      <c r="A58" s="23"/>
      <c r="B58" s="104"/>
      <c r="C58" s="116"/>
      <c r="D58" s="116"/>
      <c r="E58" s="116"/>
      <c r="F58" s="116"/>
      <c r="G58" s="116"/>
      <c r="H58" s="117"/>
      <c r="I58" s="117"/>
      <c r="J58" s="116"/>
      <c r="K58" s="116"/>
      <c r="L58" s="116"/>
      <c r="M58" s="116"/>
      <c r="N58" s="118"/>
      <c r="O58" s="26"/>
      <c r="P58" s="86"/>
      <c r="Q58" s="25"/>
      <c r="R58" s="1013"/>
      <c r="S58" s="23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ht="15" customHeight="1">
      <c r="A59" s="23"/>
      <c r="B59" s="119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2"/>
      <c r="O59" s="26"/>
      <c r="P59" s="86"/>
      <c r="Q59" s="25"/>
      <c r="R59" s="1013"/>
      <c r="S59" s="23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ht="15" customHeight="1">
      <c r="A60" s="23"/>
      <c r="B60" s="119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2"/>
      <c r="O60" s="26"/>
      <c r="P60" s="86"/>
      <c r="Q60" s="25"/>
      <c r="R60" s="1013"/>
      <c r="S60" s="23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ht="15" customHeight="1">
      <c r="A61" s="23"/>
      <c r="B61" s="110"/>
      <c r="C61" s="123"/>
      <c r="D61" s="123"/>
      <c r="E61" s="123"/>
      <c r="F61" s="123"/>
      <c r="G61" s="123"/>
      <c r="H61" s="124"/>
      <c r="I61" s="124"/>
      <c r="J61" s="123"/>
      <c r="K61" s="123"/>
      <c r="L61" s="123"/>
      <c r="M61" s="123"/>
      <c r="N61" s="125"/>
      <c r="O61" s="26"/>
      <c r="P61" s="86"/>
      <c r="Q61" s="25"/>
      <c r="R61" s="1013"/>
      <c r="S61" s="23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>
      <c r="A62" s="23"/>
      <c r="B62" s="14"/>
      <c r="C62" s="49"/>
      <c r="D62" s="49"/>
      <c r="E62" s="49"/>
      <c r="F62" s="49"/>
      <c r="G62" s="49"/>
      <c r="H62" s="1027"/>
      <c r="I62" s="1027"/>
      <c r="J62" s="49"/>
      <c r="K62" s="49"/>
      <c r="L62" s="49"/>
      <c r="M62" s="49"/>
      <c r="N62" s="15"/>
      <c r="O62" s="26"/>
      <c r="P62" s="86"/>
      <c r="Q62" s="25"/>
      <c r="R62" s="1013"/>
      <c r="S62" s="23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>
      <c r="A63" s="23"/>
      <c r="B63" s="14"/>
      <c r="C63" s="49"/>
      <c r="D63" s="49"/>
      <c r="E63" s="49"/>
      <c r="F63" s="49"/>
      <c r="G63" s="49"/>
      <c r="H63" s="1027"/>
      <c r="I63" s="1027"/>
      <c r="J63" s="49"/>
      <c r="K63" s="49"/>
      <c r="L63" s="49"/>
      <c r="M63" s="49"/>
      <c r="N63" s="15"/>
      <c r="O63" s="26"/>
      <c r="P63" s="86"/>
      <c r="Q63" s="25"/>
      <c r="R63" s="1013"/>
      <c r="S63" s="1006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>
      <c r="A64" s="23"/>
      <c r="B64" s="14"/>
      <c r="C64" s="1518" t="s">
        <v>43</v>
      </c>
      <c r="D64" s="1518"/>
      <c r="E64" s="1518"/>
      <c r="F64" s="1518"/>
      <c r="G64" s="1518"/>
      <c r="H64" s="1518"/>
      <c r="I64" s="1518"/>
      <c r="J64" s="1518"/>
      <c r="K64" s="1518"/>
      <c r="L64" s="1518"/>
      <c r="M64" s="1518"/>
      <c r="N64" s="15"/>
      <c r="O64" s="26"/>
      <c r="P64" s="86"/>
      <c r="Q64" s="25"/>
      <c r="R64" s="1013"/>
      <c r="S64" s="23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>
      <c r="A65" s="23"/>
      <c r="B65" s="14"/>
      <c r="C65" s="1518"/>
      <c r="D65" s="1518"/>
      <c r="E65" s="1518"/>
      <c r="F65" s="1518"/>
      <c r="G65" s="1518"/>
      <c r="H65" s="1518"/>
      <c r="I65" s="1518"/>
      <c r="J65" s="1518"/>
      <c r="K65" s="1518"/>
      <c r="L65" s="1518"/>
      <c r="M65" s="1518"/>
      <c r="N65" s="15"/>
      <c r="O65" s="26"/>
      <c r="P65" s="86"/>
      <c r="Q65" s="25"/>
      <c r="R65" s="1013"/>
      <c r="S65" s="23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>
      <c r="A66" s="23"/>
      <c r="B66" s="14"/>
      <c r="C66" s="49"/>
      <c r="D66" s="49"/>
      <c r="E66" s="49"/>
      <c r="F66" s="49"/>
      <c r="G66" s="49"/>
      <c r="H66" s="1027"/>
      <c r="I66" s="1027"/>
      <c r="J66" s="49"/>
      <c r="K66" s="49"/>
      <c r="L66" s="49"/>
      <c r="M66" s="49"/>
      <c r="N66" s="15"/>
      <c r="O66" s="26"/>
      <c r="P66" s="86"/>
      <c r="Q66" s="25"/>
      <c r="R66" s="1013"/>
      <c r="S66" s="23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ht="15.75" customHeight="1">
      <c r="A67" s="23"/>
      <c r="B67" s="14"/>
      <c r="C67" s="1514"/>
      <c r="D67" s="1514"/>
      <c r="E67" s="1514"/>
      <c r="F67" s="1514"/>
      <c r="G67" s="1012"/>
      <c r="H67" s="1012"/>
      <c r="I67" s="1514"/>
      <c r="J67" s="1514"/>
      <c r="K67" s="70"/>
      <c r="L67" s="1514"/>
      <c r="M67" s="1514"/>
      <c r="N67" s="15"/>
      <c r="O67" s="26"/>
      <c r="P67" s="86"/>
      <c r="Q67" s="25"/>
      <c r="R67" s="1013"/>
      <c r="S67" s="23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>
      <c r="A68" s="23"/>
      <c r="B68" s="14"/>
      <c r="C68" s="70"/>
      <c r="D68" s="70"/>
      <c r="E68" s="70"/>
      <c r="F68" s="70"/>
      <c r="G68" s="70"/>
      <c r="H68" s="71"/>
      <c r="I68" s="1515"/>
      <c r="J68" s="1515"/>
      <c r="K68" s="70"/>
      <c r="L68" s="70"/>
      <c r="M68" s="49"/>
      <c r="N68" s="15"/>
      <c r="O68" s="26"/>
      <c r="P68" s="86"/>
      <c r="Q68" s="25"/>
      <c r="R68" s="1013"/>
      <c r="S68" s="23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>
      <c r="A69" s="23"/>
      <c r="B69" s="14"/>
      <c r="C69" s="70"/>
      <c r="D69" s="70"/>
      <c r="E69" s="70"/>
      <c r="F69" s="70"/>
      <c r="G69" s="70"/>
      <c r="H69" s="71"/>
      <c r="I69" s="1515"/>
      <c r="J69" s="1515"/>
      <c r="K69" s="70"/>
      <c r="L69" s="70"/>
      <c r="M69" s="49"/>
      <c r="N69" s="15"/>
      <c r="O69" s="26"/>
      <c r="P69" s="86"/>
      <c r="Q69" s="25"/>
      <c r="R69" s="1013"/>
      <c r="S69" s="23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>
      <c r="A70" s="23"/>
      <c r="B70" s="14"/>
      <c r="C70" s="49"/>
      <c r="D70" s="49"/>
      <c r="E70" s="49"/>
      <c r="F70" s="49"/>
      <c r="G70" s="49"/>
      <c r="H70" s="1027"/>
      <c r="I70" s="1027"/>
      <c r="J70" s="49"/>
      <c r="K70" s="49"/>
      <c r="L70" s="49"/>
      <c r="M70" s="49"/>
      <c r="N70" s="15"/>
      <c r="O70" s="26"/>
      <c r="P70" s="86"/>
      <c r="Q70" s="25"/>
      <c r="R70" s="1013"/>
      <c r="S70" s="23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>
      <c r="A71" s="23"/>
      <c r="B71" s="14"/>
      <c r="C71" s="49"/>
      <c r="D71" s="49"/>
      <c r="E71" s="49"/>
      <c r="F71" s="49"/>
      <c r="G71" s="49"/>
      <c r="H71" s="1027"/>
      <c r="I71" s="1027"/>
      <c r="J71" s="49"/>
      <c r="K71" s="49"/>
      <c r="L71" s="49"/>
      <c r="M71" s="49"/>
      <c r="N71" s="15"/>
      <c r="O71" s="26"/>
      <c r="P71" s="86"/>
      <c r="Q71" s="25"/>
      <c r="R71" s="1013"/>
      <c r="S71" s="23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>
      <c r="A72" s="23"/>
      <c r="B72" s="14"/>
      <c r="C72" s="49"/>
      <c r="D72" s="49"/>
      <c r="E72" s="49"/>
      <c r="F72" s="49"/>
      <c r="G72" s="49"/>
      <c r="H72" s="1027"/>
      <c r="I72" s="1027"/>
      <c r="J72" s="49"/>
      <c r="K72" s="49"/>
      <c r="L72" s="49"/>
      <c r="M72" s="49"/>
      <c r="N72" s="15"/>
      <c r="O72" s="26"/>
      <c r="P72" s="86"/>
      <c r="Q72" s="25"/>
      <c r="R72" s="1013"/>
      <c r="S72" s="23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>
      <c r="A73" s="23"/>
      <c r="B73" s="14"/>
      <c r="C73" s="49"/>
      <c r="D73" s="49"/>
      <c r="E73" s="49"/>
      <c r="F73" s="49"/>
      <c r="G73" s="49"/>
      <c r="H73" s="1027"/>
      <c r="I73" s="1027"/>
      <c r="J73" s="49"/>
      <c r="K73" s="49"/>
      <c r="L73" s="49"/>
      <c r="M73" s="49"/>
      <c r="N73" s="15"/>
      <c r="O73" s="26"/>
      <c r="P73" s="86"/>
      <c r="Q73" s="25"/>
      <c r="R73" s="1013"/>
      <c r="S73" s="23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>
      <c r="A74" s="23"/>
      <c r="B74" s="14"/>
      <c r="C74" s="49"/>
      <c r="D74" s="49"/>
      <c r="E74" s="49"/>
      <c r="F74" s="49"/>
      <c r="G74" s="49"/>
      <c r="H74" s="1027"/>
      <c r="I74" s="1027"/>
      <c r="J74" s="49"/>
      <c r="K74" s="49"/>
      <c r="L74" s="49"/>
      <c r="M74" s="49"/>
      <c r="N74" s="15"/>
      <c r="O74" s="26"/>
      <c r="P74" s="86"/>
      <c r="Q74" s="25"/>
      <c r="R74" s="1013"/>
      <c r="S74" s="23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>
      <c r="A75" s="23"/>
      <c r="B75" s="14"/>
      <c r="C75" s="49"/>
      <c r="D75" s="49"/>
      <c r="E75" s="49"/>
      <c r="F75" s="49"/>
      <c r="G75" s="49"/>
      <c r="H75" s="1027"/>
      <c r="I75" s="1027"/>
      <c r="J75" s="49"/>
      <c r="K75" s="49"/>
      <c r="L75" s="49"/>
      <c r="M75" s="49"/>
      <c r="N75" s="15"/>
      <c r="O75" s="26"/>
      <c r="P75" s="86"/>
      <c r="Q75" s="25"/>
      <c r="R75" s="1013"/>
      <c r="S75" s="23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>
      <c r="A76" s="23"/>
      <c r="B76" s="14"/>
      <c r="C76" s="49"/>
      <c r="D76" s="49"/>
      <c r="E76" s="49"/>
      <c r="F76" s="49"/>
      <c r="G76" s="49"/>
      <c r="H76" s="1027"/>
      <c r="I76" s="1027"/>
      <c r="J76" s="49"/>
      <c r="K76" s="49"/>
      <c r="L76" s="49"/>
      <c r="M76" s="49"/>
      <c r="N76" s="15"/>
      <c r="O76" s="26"/>
      <c r="P76" s="86"/>
      <c r="Q76" s="25"/>
      <c r="R76" s="1013"/>
      <c r="S76" s="23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>
      <c r="A77" s="23"/>
      <c r="B77" s="14"/>
      <c r="C77" s="49"/>
      <c r="D77" s="49"/>
      <c r="E77" s="49"/>
      <c r="F77" s="49"/>
      <c r="G77" s="49"/>
      <c r="H77" s="1027"/>
      <c r="I77" s="1027"/>
      <c r="J77" s="49"/>
      <c r="K77" s="49"/>
      <c r="L77" s="49"/>
      <c r="M77" s="49"/>
      <c r="N77" s="15"/>
      <c r="O77" s="26"/>
      <c r="P77" s="86"/>
      <c r="Q77" s="25"/>
      <c r="R77" s="1013"/>
      <c r="S77" s="23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>
      <c r="A78" s="23"/>
      <c r="B78" s="14"/>
      <c r="C78" s="49"/>
      <c r="D78" s="49"/>
      <c r="E78" s="49"/>
      <c r="F78" s="49"/>
      <c r="G78" s="49"/>
      <c r="H78" s="1027"/>
      <c r="I78" s="1027"/>
      <c r="J78" s="49"/>
      <c r="K78" s="49"/>
      <c r="L78" s="49"/>
      <c r="M78" s="49"/>
      <c r="N78" s="15"/>
      <c r="O78" s="26"/>
      <c r="P78" s="86"/>
      <c r="Q78" s="25"/>
      <c r="R78" s="1013"/>
      <c r="S78" s="23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>
      <c r="A79" s="23"/>
      <c r="B79" s="14"/>
      <c r="C79" s="49"/>
      <c r="D79" s="49"/>
      <c r="E79" s="49"/>
      <c r="F79" s="49"/>
      <c r="G79" s="49"/>
      <c r="H79" s="1027"/>
      <c r="I79" s="1027"/>
      <c r="J79" s="49"/>
      <c r="K79" s="49"/>
      <c r="L79" s="49"/>
      <c r="M79" s="49"/>
      <c r="N79" s="15"/>
      <c r="O79" s="26"/>
      <c r="P79" s="86"/>
      <c r="Q79" s="25"/>
      <c r="R79" s="1013"/>
      <c r="S79" s="23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>
      <c r="A80" s="23"/>
      <c r="B80" s="14"/>
      <c r="C80" s="49"/>
      <c r="D80" s="49"/>
      <c r="E80" s="49"/>
      <c r="F80" s="49"/>
      <c r="G80" s="49"/>
      <c r="H80" s="1027"/>
      <c r="I80" s="1027"/>
      <c r="J80" s="49"/>
      <c r="K80" s="49"/>
      <c r="L80" s="49"/>
      <c r="M80" s="49"/>
      <c r="N80" s="15"/>
      <c r="O80" s="26"/>
      <c r="P80" s="86"/>
      <c r="Q80" s="25"/>
      <c r="R80" s="1013"/>
      <c r="S80" s="23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>
      <c r="A81" s="23"/>
      <c r="B81" s="14"/>
      <c r="C81" s="49"/>
      <c r="D81" s="49"/>
      <c r="E81" s="49"/>
      <c r="F81" s="49"/>
      <c r="G81" s="49"/>
      <c r="H81" s="1027"/>
      <c r="I81" s="1027"/>
      <c r="J81" s="49"/>
      <c r="K81" s="49"/>
      <c r="L81" s="49"/>
      <c r="M81" s="49"/>
      <c r="N81" s="15"/>
      <c r="O81" s="26"/>
      <c r="P81" s="86"/>
      <c r="Q81" s="25"/>
      <c r="R81" s="1013"/>
      <c r="S81" s="23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ht="21" customHeight="1">
      <c r="A82" s="23"/>
      <c r="B82" s="14"/>
      <c r="C82" s="1499"/>
      <c r="D82" s="1499"/>
      <c r="E82" s="1499"/>
      <c r="F82" s="1499"/>
      <c r="G82" s="1499"/>
      <c r="H82" s="1499"/>
      <c r="I82" s="1499"/>
      <c r="J82" s="49"/>
      <c r="K82" s="49"/>
      <c r="L82" s="49"/>
      <c r="M82" s="49"/>
      <c r="N82" s="15"/>
      <c r="O82" s="26"/>
      <c r="P82" s="86"/>
      <c r="Q82" s="25"/>
      <c r="R82" s="1013"/>
      <c r="S82" s="23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>
      <c r="A83" s="23"/>
      <c r="B83" s="14"/>
      <c r="C83" s="1499"/>
      <c r="D83" s="1499"/>
      <c r="E83" s="1499"/>
      <c r="F83" s="1499"/>
      <c r="G83" s="1499"/>
      <c r="H83" s="1499"/>
      <c r="I83" s="1499"/>
      <c r="J83" s="49"/>
      <c r="K83" s="49"/>
      <c r="L83" s="49"/>
      <c r="M83" s="49"/>
      <c r="N83" s="15"/>
      <c r="O83" s="26"/>
      <c r="P83" s="86"/>
      <c r="Q83" s="25"/>
      <c r="R83" s="1013"/>
      <c r="S83" s="23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ht="21.75" customHeight="1">
      <c r="A84" s="23"/>
      <c r="B84" s="14"/>
      <c r="C84" s="1499"/>
      <c r="D84" s="1499"/>
      <c r="E84" s="1499"/>
      <c r="F84" s="1499"/>
      <c r="G84" s="1499"/>
      <c r="H84" s="1499"/>
      <c r="I84" s="1027"/>
      <c r="J84" s="49"/>
      <c r="K84" s="49"/>
      <c r="L84" s="49"/>
      <c r="M84" s="49"/>
      <c r="N84" s="15"/>
      <c r="O84" s="26"/>
      <c r="P84" s="86"/>
      <c r="Q84" s="25"/>
      <c r="R84" s="1013"/>
      <c r="S84" s="23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>
      <c r="A85" s="23"/>
      <c r="B85" s="14"/>
      <c r="C85" s="49"/>
      <c r="D85" s="49"/>
      <c r="E85" s="49"/>
      <c r="F85" s="49"/>
      <c r="G85" s="49"/>
      <c r="H85" s="1027"/>
      <c r="I85" s="1027"/>
      <c r="J85" s="49"/>
      <c r="K85" s="49"/>
      <c r="L85" s="49"/>
      <c r="M85" s="49"/>
      <c r="N85" s="15"/>
      <c r="O85" s="26"/>
      <c r="P85" s="86"/>
      <c r="Q85" s="25"/>
      <c r="R85" s="1013"/>
      <c r="S85" s="23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>
      <c r="A86" s="23"/>
      <c r="B86" s="14"/>
      <c r="C86" s="49"/>
      <c r="D86" s="49"/>
      <c r="E86" s="49"/>
      <c r="F86" s="49"/>
      <c r="G86" s="49"/>
      <c r="H86" s="1027"/>
      <c r="I86" s="1027"/>
      <c r="J86" s="49"/>
      <c r="K86" s="49"/>
      <c r="L86" s="49"/>
      <c r="M86" s="49"/>
      <c r="N86" s="15"/>
      <c r="O86" s="26"/>
      <c r="P86" s="86"/>
      <c r="Q86" s="25"/>
      <c r="R86" s="1013"/>
      <c r="S86" s="23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>
      <c r="A87" s="23"/>
      <c r="B87" s="14"/>
      <c r="C87" s="1518" t="s">
        <v>44</v>
      </c>
      <c r="D87" s="1518"/>
      <c r="E87" s="1518"/>
      <c r="F87" s="1518"/>
      <c r="G87" s="1518"/>
      <c r="H87" s="1518"/>
      <c r="I87" s="1518"/>
      <c r="J87" s="1518"/>
      <c r="K87" s="1518"/>
      <c r="L87" s="1518"/>
      <c r="M87" s="1518"/>
      <c r="N87" s="15"/>
      <c r="O87" s="26"/>
      <c r="P87" s="86"/>
      <c r="Q87" s="25"/>
      <c r="R87" s="1013"/>
      <c r="S87" s="23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>
      <c r="A88" s="23"/>
      <c r="B88" s="14"/>
      <c r="C88" s="1518"/>
      <c r="D88" s="1518"/>
      <c r="E88" s="1518"/>
      <c r="F88" s="1518"/>
      <c r="G88" s="1518"/>
      <c r="H88" s="1518"/>
      <c r="I88" s="1518"/>
      <c r="J88" s="1518"/>
      <c r="K88" s="1518"/>
      <c r="L88" s="1518"/>
      <c r="M88" s="1518"/>
      <c r="N88" s="15"/>
      <c r="O88" s="26"/>
      <c r="P88" s="86"/>
      <c r="Q88" s="25"/>
      <c r="R88" s="1013"/>
      <c r="S88" s="23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>
      <c r="A89" s="23"/>
      <c r="B89" s="14"/>
      <c r="C89" s="49"/>
      <c r="D89" s="49"/>
      <c r="E89" s="49"/>
      <c r="F89" s="49"/>
      <c r="G89" s="49"/>
      <c r="H89" s="1027"/>
      <c r="I89" s="1027"/>
      <c r="J89" s="49"/>
      <c r="K89" s="49"/>
      <c r="L89" s="49"/>
      <c r="M89" s="49"/>
      <c r="N89" s="15"/>
      <c r="O89" s="26"/>
      <c r="P89" s="86"/>
      <c r="Q89" s="25"/>
      <c r="R89" s="1013"/>
      <c r="S89" s="23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>
      <c r="A90" s="23"/>
      <c r="B90" s="14"/>
      <c r="C90" s="49"/>
      <c r="D90" s="49"/>
      <c r="E90" s="49"/>
      <c r="F90" s="49"/>
      <c r="G90" s="49"/>
      <c r="H90" s="1027"/>
      <c r="I90" s="1027"/>
      <c r="J90" s="49"/>
      <c r="K90" s="49"/>
      <c r="L90" s="49"/>
      <c r="M90" s="49"/>
      <c r="N90" s="15"/>
      <c r="O90" s="26"/>
      <c r="P90" s="86"/>
      <c r="Q90" s="25"/>
      <c r="R90" s="1013"/>
      <c r="S90" s="23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>
      <c r="A91" s="23"/>
      <c r="B91" s="14"/>
      <c r="C91" s="49"/>
      <c r="D91" s="49"/>
      <c r="E91" s="49"/>
      <c r="F91" s="49"/>
      <c r="G91" s="49"/>
      <c r="H91" s="1027"/>
      <c r="I91" s="1027"/>
      <c r="J91" s="49"/>
      <c r="K91" s="49"/>
      <c r="L91" s="49"/>
      <c r="M91" s="49"/>
      <c r="N91" s="15"/>
      <c r="O91" s="26"/>
      <c r="P91" s="86"/>
      <c r="Q91" s="25"/>
      <c r="R91" s="1013"/>
      <c r="S91" s="23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>
      <c r="A92" s="23"/>
      <c r="B92" s="14"/>
      <c r="C92" s="49"/>
      <c r="D92" s="49"/>
      <c r="E92" s="49"/>
      <c r="F92" s="49"/>
      <c r="G92" s="49"/>
      <c r="H92" s="1027"/>
      <c r="I92" s="1027"/>
      <c r="J92" s="49"/>
      <c r="K92" s="49"/>
      <c r="L92" s="49"/>
      <c r="M92" s="49"/>
      <c r="N92" s="15"/>
      <c r="O92" s="26"/>
      <c r="P92" s="86"/>
      <c r="Q92" s="25"/>
      <c r="R92" s="1013"/>
      <c r="S92" s="23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>
      <c r="A93" s="23"/>
      <c r="B93" s="14"/>
      <c r="C93" s="49"/>
      <c r="D93" s="49"/>
      <c r="E93" s="49"/>
      <c r="F93" s="49"/>
      <c r="G93" s="49"/>
      <c r="H93" s="1027"/>
      <c r="I93" s="1027"/>
      <c r="J93" s="49"/>
      <c r="K93" s="49"/>
      <c r="L93" s="49"/>
      <c r="M93" s="49"/>
      <c r="N93" s="15"/>
      <c r="O93" s="26"/>
      <c r="P93" s="86"/>
      <c r="Q93" s="25"/>
      <c r="R93" s="1013"/>
      <c r="S93" s="23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>
      <c r="A94" s="23"/>
      <c r="B94" s="14"/>
      <c r="C94" s="49"/>
      <c r="D94" s="49"/>
      <c r="E94" s="49"/>
      <c r="F94" s="49"/>
      <c r="G94" s="49"/>
      <c r="H94" s="1027"/>
      <c r="I94" s="1027"/>
      <c r="J94" s="49"/>
      <c r="K94" s="49"/>
      <c r="L94" s="49"/>
      <c r="M94" s="49"/>
      <c r="N94" s="15"/>
      <c r="O94" s="26"/>
      <c r="P94" s="86"/>
      <c r="Q94" s="25"/>
      <c r="R94" s="1013"/>
      <c r="S94" s="23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>
      <c r="A95" s="23"/>
      <c r="B95" s="14"/>
      <c r="C95" s="49"/>
      <c r="D95" s="49"/>
      <c r="E95" s="49"/>
      <c r="F95" s="49"/>
      <c r="G95" s="49"/>
      <c r="H95" s="1027"/>
      <c r="I95" s="1027"/>
      <c r="J95" s="49"/>
      <c r="K95" s="49"/>
      <c r="L95" s="49"/>
      <c r="M95" s="49"/>
      <c r="N95" s="15"/>
      <c r="O95" s="26"/>
      <c r="P95" s="86"/>
      <c r="Q95" s="25"/>
      <c r="R95" s="1013"/>
      <c r="S95" s="23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>
      <c r="A96" s="23"/>
      <c r="B96" s="14"/>
      <c r="C96" s="49"/>
      <c r="D96" s="49"/>
      <c r="E96" s="49"/>
      <c r="F96" s="49"/>
      <c r="G96" s="49"/>
      <c r="H96" s="1027"/>
      <c r="I96" s="1027"/>
      <c r="J96" s="49"/>
      <c r="K96" s="49"/>
      <c r="L96" s="49"/>
      <c r="M96" s="49"/>
      <c r="N96" s="15"/>
      <c r="O96" s="26"/>
      <c r="P96" s="86"/>
      <c r="Q96" s="25"/>
      <c r="R96" s="1013"/>
      <c r="S96" s="23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>
      <c r="A97" s="23"/>
      <c r="B97" s="14"/>
      <c r="C97" s="49"/>
      <c r="D97" s="49"/>
      <c r="E97" s="49"/>
      <c r="F97" s="49"/>
      <c r="G97" s="49"/>
      <c r="H97" s="1027"/>
      <c r="I97" s="1027"/>
      <c r="J97" s="49"/>
      <c r="K97" s="49"/>
      <c r="L97" s="49"/>
      <c r="M97" s="49"/>
      <c r="N97" s="15"/>
      <c r="O97" s="26"/>
      <c r="P97" s="86"/>
      <c r="Q97" s="25"/>
      <c r="R97" s="1013"/>
      <c r="S97" s="23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>
      <c r="A98" s="23"/>
      <c r="B98" s="14"/>
      <c r="C98" s="49"/>
      <c r="D98" s="49"/>
      <c r="E98" s="49"/>
      <c r="F98" s="49"/>
      <c r="G98" s="49"/>
      <c r="H98" s="1027"/>
      <c r="I98" s="1027"/>
      <c r="J98" s="49"/>
      <c r="K98" s="49"/>
      <c r="L98" s="49"/>
      <c r="M98" s="49"/>
      <c r="N98" s="15"/>
      <c r="O98" s="26"/>
      <c r="P98" s="86"/>
      <c r="Q98" s="25"/>
      <c r="R98" s="1013"/>
      <c r="S98" s="23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>
      <c r="A99" s="23"/>
      <c r="B99" s="14"/>
      <c r="C99" s="49"/>
      <c r="D99" s="49"/>
      <c r="E99" s="49"/>
      <c r="F99" s="49"/>
      <c r="G99" s="49"/>
      <c r="H99" s="1027"/>
      <c r="I99" s="1027"/>
      <c r="J99" s="49"/>
      <c r="K99" s="49"/>
      <c r="L99" s="49"/>
      <c r="M99" s="49"/>
      <c r="N99" s="15"/>
      <c r="O99" s="26"/>
      <c r="P99" s="86"/>
      <c r="Q99" s="25"/>
      <c r="R99" s="1013"/>
      <c r="S99" s="23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>
      <c r="A100" s="23"/>
      <c r="B100" s="14"/>
      <c r="C100" s="49"/>
      <c r="D100" s="49"/>
      <c r="E100" s="49"/>
      <c r="F100" s="49"/>
      <c r="G100" s="49"/>
      <c r="H100" s="1027"/>
      <c r="I100" s="1027"/>
      <c r="J100" s="49"/>
      <c r="K100" s="49"/>
      <c r="L100" s="49"/>
      <c r="M100" s="49"/>
      <c r="N100" s="15"/>
      <c r="O100" s="26"/>
      <c r="P100" s="86"/>
      <c r="Q100" s="25"/>
      <c r="R100" s="1013"/>
      <c r="S100" s="23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>
      <c r="A101" s="23"/>
      <c r="B101" s="14"/>
      <c r="C101" s="49"/>
      <c r="D101" s="49"/>
      <c r="E101" s="49"/>
      <c r="F101" s="49"/>
      <c r="G101" s="49"/>
      <c r="H101" s="1027"/>
      <c r="I101" s="1027"/>
      <c r="J101" s="49"/>
      <c r="K101" s="49"/>
      <c r="L101" s="49"/>
      <c r="M101" s="49"/>
      <c r="N101" s="15"/>
      <c r="O101" s="26"/>
      <c r="P101" s="86"/>
      <c r="Q101" s="25"/>
      <c r="R101" s="1013"/>
      <c r="S101" s="23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>
      <c r="A102" s="23"/>
      <c r="B102" s="14"/>
      <c r="C102" s="49"/>
      <c r="D102" s="49"/>
      <c r="E102" s="49"/>
      <c r="F102" s="49"/>
      <c r="G102" s="49"/>
      <c r="H102" s="1027"/>
      <c r="I102" s="1027"/>
      <c r="J102" s="49"/>
      <c r="K102" s="49"/>
      <c r="L102" s="49"/>
      <c r="M102" s="49"/>
      <c r="N102" s="15"/>
      <c r="O102" s="26"/>
      <c r="P102" s="86"/>
      <c r="Q102" s="25"/>
      <c r="R102" s="1013"/>
      <c r="S102" s="23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>
      <c r="A103" s="23"/>
      <c r="B103" s="14"/>
      <c r="C103" s="49"/>
      <c r="D103" s="49"/>
      <c r="E103" s="49"/>
      <c r="F103" s="49"/>
      <c r="G103" s="49"/>
      <c r="H103" s="1027"/>
      <c r="I103" s="1027"/>
      <c r="J103" s="49"/>
      <c r="K103" s="49"/>
      <c r="L103" s="49"/>
      <c r="M103" s="49"/>
      <c r="N103" s="15"/>
      <c r="O103" s="26"/>
      <c r="P103" s="86"/>
      <c r="Q103" s="25"/>
      <c r="R103" s="1013"/>
      <c r="S103" s="23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>
      <c r="A104" s="23"/>
      <c r="B104" s="14"/>
      <c r="C104" s="1530"/>
      <c r="D104" s="1530"/>
      <c r="E104" s="1530"/>
      <c r="F104" s="1530"/>
      <c r="G104" s="1530"/>
      <c r="H104" s="1530"/>
      <c r="I104" s="1530"/>
      <c r="J104" s="1530"/>
      <c r="K104" s="1530"/>
      <c r="L104" s="1530"/>
      <c r="M104" s="1530"/>
      <c r="N104" s="15"/>
      <c r="O104" s="26"/>
      <c r="P104" s="86"/>
      <c r="Q104" s="25"/>
      <c r="R104" s="1013"/>
      <c r="S104" s="23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>
      <c r="A105" s="23"/>
      <c r="B105" s="14"/>
      <c r="C105" s="1530"/>
      <c r="D105" s="1530"/>
      <c r="E105" s="1530"/>
      <c r="F105" s="1530"/>
      <c r="G105" s="1530"/>
      <c r="H105" s="1530"/>
      <c r="I105" s="1530"/>
      <c r="J105" s="1530"/>
      <c r="K105" s="1530"/>
      <c r="L105" s="1530"/>
      <c r="M105" s="1530"/>
      <c r="N105" s="15"/>
      <c r="O105" s="26"/>
      <c r="P105" s="86"/>
      <c r="Q105" s="25"/>
      <c r="R105" s="1013"/>
      <c r="S105" s="23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>
      <c r="A106" s="23"/>
      <c r="B106" s="14"/>
      <c r="C106" s="49"/>
      <c r="D106" s="49"/>
      <c r="E106" s="49"/>
      <c r="F106" s="49"/>
      <c r="G106" s="49"/>
      <c r="H106" s="1027"/>
      <c r="I106" s="1027"/>
      <c r="J106" s="49"/>
      <c r="K106" s="49"/>
      <c r="L106" s="49"/>
      <c r="M106" s="49"/>
      <c r="N106" s="15"/>
      <c r="O106" s="26"/>
      <c r="P106" s="86"/>
      <c r="Q106" s="25"/>
      <c r="R106" s="1013"/>
      <c r="S106" s="23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>
      <c r="A107" s="23"/>
      <c r="B107" s="14"/>
      <c r="C107" s="49"/>
      <c r="D107" s="49"/>
      <c r="E107" s="49"/>
      <c r="F107" s="49"/>
      <c r="G107" s="49"/>
      <c r="H107" s="1027"/>
      <c r="I107" s="1027"/>
      <c r="J107" s="49"/>
      <c r="K107" s="49"/>
      <c r="L107" s="49"/>
      <c r="M107" s="49"/>
      <c r="N107" s="15"/>
      <c r="O107" s="26"/>
      <c r="P107" s="86"/>
      <c r="Q107" s="25"/>
      <c r="R107" s="1013"/>
      <c r="S107" s="23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>
      <c r="A108" s="23"/>
      <c r="B108" s="14"/>
      <c r="C108" s="49"/>
      <c r="D108" s="49"/>
      <c r="E108" s="49"/>
      <c r="F108" s="49"/>
      <c r="G108" s="49"/>
      <c r="H108" s="1027"/>
      <c r="I108" s="1027"/>
      <c r="J108" s="49"/>
      <c r="K108" s="49"/>
      <c r="L108" s="49"/>
      <c r="M108" s="49"/>
      <c r="N108" s="15"/>
      <c r="O108" s="26"/>
      <c r="P108" s="86"/>
      <c r="Q108" s="25"/>
      <c r="R108" s="1013"/>
      <c r="S108" s="23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>
      <c r="A109" s="23"/>
      <c r="B109" s="14"/>
      <c r="C109" s="49"/>
      <c r="D109" s="49"/>
      <c r="E109" s="49"/>
      <c r="F109" s="49"/>
      <c r="G109" s="49"/>
      <c r="H109" s="1027"/>
      <c r="I109" s="1027"/>
      <c r="J109" s="49"/>
      <c r="K109" s="49"/>
      <c r="L109" s="49"/>
      <c r="M109" s="49"/>
      <c r="N109" s="15"/>
      <c r="O109" s="26"/>
      <c r="P109" s="86"/>
      <c r="Q109" s="25"/>
      <c r="R109" s="1013"/>
      <c r="S109" s="23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>
      <c r="A110" s="23"/>
      <c r="B110" s="14"/>
      <c r="C110" s="49"/>
      <c r="D110" s="49"/>
      <c r="E110" s="49"/>
      <c r="F110" s="49"/>
      <c r="G110" s="49"/>
      <c r="H110" s="1027"/>
      <c r="I110" s="1027"/>
      <c r="J110" s="49"/>
      <c r="K110" s="49"/>
      <c r="L110" s="49"/>
      <c r="M110" s="49"/>
      <c r="N110" s="15"/>
      <c r="O110" s="26"/>
      <c r="P110" s="86"/>
      <c r="Q110" s="25"/>
      <c r="R110" s="1013"/>
      <c r="S110" s="23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>
      <c r="A111" s="23"/>
      <c r="B111" s="14"/>
      <c r="C111" s="49"/>
      <c r="D111" s="49"/>
      <c r="E111" s="49"/>
      <c r="F111" s="49"/>
      <c r="G111" s="49"/>
      <c r="H111" s="1027"/>
      <c r="I111" s="1027"/>
      <c r="J111" s="49"/>
      <c r="K111" s="49"/>
      <c r="L111" s="49"/>
      <c r="M111" s="49"/>
      <c r="N111" s="15"/>
      <c r="O111" s="26"/>
      <c r="P111" s="86"/>
      <c r="Q111" s="25"/>
      <c r="R111" s="1013"/>
      <c r="S111" s="23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>
      <c r="A112" s="23"/>
      <c r="B112" s="14"/>
      <c r="C112" s="49"/>
      <c r="D112" s="49"/>
      <c r="E112" s="49"/>
      <c r="F112" s="49"/>
      <c r="G112" s="49"/>
      <c r="H112" s="1027"/>
      <c r="I112" s="1027"/>
      <c r="J112" s="49"/>
      <c r="K112" s="49"/>
      <c r="L112" s="49"/>
      <c r="M112" s="49"/>
      <c r="N112" s="15"/>
      <c r="O112" s="26"/>
      <c r="P112" s="86"/>
      <c r="Q112" s="25"/>
      <c r="R112" s="1013"/>
      <c r="S112" s="23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>
      <c r="A113" s="23"/>
      <c r="B113" s="14"/>
      <c r="C113" s="49"/>
      <c r="D113" s="49"/>
      <c r="E113" s="49"/>
      <c r="F113" s="49"/>
      <c r="G113" s="49"/>
      <c r="H113" s="1027"/>
      <c r="I113" s="1027"/>
      <c r="J113" s="49"/>
      <c r="K113" s="49"/>
      <c r="L113" s="49"/>
      <c r="M113" s="49"/>
      <c r="N113" s="15"/>
      <c r="O113" s="26"/>
      <c r="P113" s="86"/>
      <c r="Q113" s="25"/>
      <c r="R113" s="1013"/>
      <c r="S113" s="23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>
      <c r="A114" s="23"/>
      <c r="B114" s="14"/>
      <c r="C114" s="49"/>
      <c r="D114" s="49"/>
      <c r="E114" s="49"/>
      <c r="F114" s="49"/>
      <c r="G114" s="49"/>
      <c r="H114" s="1027"/>
      <c r="I114" s="1027"/>
      <c r="J114" s="49"/>
      <c r="K114" s="49"/>
      <c r="L114" s="49"/>
      <c r="M114" s="49"/>
      <c r="N114" s="15"/>
      <c r="O114" s="26"/>
      <c r="P114" s="86"/>
      <c r="Q114" s="25"/>
      <c r="R114" s="1013"/>
      <c r="S114" s="23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>
      <c r="A115" s="23"/>
      <c r="B115" s="14"/>
      <c r="C115" s="49"/>
      <c r="D115" s="49"/>
      <c r="E115" s="49"/>
      <c r="F115" s="49"/>
      <c r="G115" s="49"/>
      <c r="H115" s="1027"/>
      <c r="I115" s="1027"/>
      <c r="J115" s="49"/>
      <c r="K115" s="49"/>
      <c r="L115" s="49"/>
      <c r="M115" s="49"/>
      <c r="N115" s="15"/>
      <c r="O115" s="26"/>
      <c r="P115" s="86"/>
      <c r="Q115" s="25"/>
      <c r="R115" s="1013"/>
      <c r="S115" s="23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>
      <c r="A116" s="23"/>
      <c r="B116" s="14"/>
      <c r="C116" s="49"/>
      <c r="D116" s="49"/>
      <c r="E116" s="49"/>
      <c r="F116" s="49"/>
      <c r="G116" s="49"/>
      <c r="H116" s="1027"/>
      <c r="I116" s="1027"/>
      <c r="J116" s="49"/>
      <c r="K116" s="49"/>
      <c r="L116" s="49"/>
      <c r="M116" s="49"/>
      <c r="N116" s="15"/>
      <c r="O116" s="26"/>
      <c r="P116" s="86"/>
      <c r="Q116" s="25"/>
      <c r="R116" s="1013"/>
      <c r="S116" s="23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>
      <c r="A117" s="23"/>
      <c r="B117" s="14"/>
      <c r="C117" s="49"/>
      <c r="D117" s="49"/>
      <c r="E117" s="49"/>
      <c r="F117" s="49"/>
      <c r="G117" s="49"/>
      <c r="H117" s="1027"/>
      <c r="I117" s="1027"/>
      <c r="J117" s="49"/>
      <c r="K117" s="49"/>
      <c r="L117" s="49"/>
      <c r="M117" s="49"/>
      <c r="N117" s="15"/>
      <c r="O117" s="26"/>
      <c r="P117" s="86"/>
      <c r="Q117" s="25"/>
      <c r="R117" s="1013"/>
      <c r="S117" s="23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>
      <c r="A118" s="23"/>
      <c r="B118" s="14"/>
      <c r="C118" s="49"/>
      <c r="D118" s="49"/>
      <c r="E118" s="49"/>
      <c r="F118" s="49"/>
      <c r="G118" s="49"/>
      <c r="H118" s="1027"/>
      <c r="I118" s="1027"/>
      <c r="J118" s="49"/>
      <c r="K118" s="49"/>
      <c r="L118" s="49"/>
      <c r="M118" s="49"/>
      <c r="N118" s="15"/>
      <c r="O118" s="26"/>
      <c r="P118" s="86"/>
      <c r="Q118" s="25"/>
      <c r="R118" s="1013"/>
      <c r="S118" s="23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>
      <c r="A119" s="23"/>
      <c r="B119" s="14"/>
      <c r="C119" s="49"/>
      <c r="D119" s="49"/>
      <c r="E119" s="49"/>
      <c r="F119" s="49"/>
      <c r="G119" s="49"/>
      <c r="H119" s="1027"/>
      <c r="I119" s="1027"/>
      <c r="J119" s="49"/>
      <c r="K119" s="49"/>
      <c r="L119" s="49"/>
      <c r="M119" s="49"/>
      <c r="N119" s="15"/>
      <c r="O119" s="26"/>
      <c r="P119" s="86"/>
      <c r="Q119" s="25"/>
      <c r="R119" s="1013"/>
      <c r="S119" s="23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>
      <c r="A120" s="23"/>
      <c r="B120" s="14"/>
      <c r="C120" s="49"/>
      <c r="D120" s="49"/>
      <c r="E120" s="49"/>
      <c r="F120" s="49"/>
      <c r="G120" s="49"/>
      <c r="H120" s="1027"/>
      <c r="I120" s="1027"/>
      <c r="J120" s="49"/>
      <c r="K120" s="49"/>
      <c r="L120" s="49"/>
      <c r="M120" s="49"/>
      <c r="N120" s="15"/>
      <c r="O120" s="26"/>
      <c r="P120" s="86"/>
      <c r="Q120" s="25"/>
      <c r="R120" s="1013"/>
      <c r="S120" s="23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>
      <c r="A121" s="23"/>
      <c r="B121" s="14"/>
      <c r="C121" s="49"/>
      <c r="D121" s="49"/>
      <c r="E121" s="49"/>
      <c r="F121" s="49"/>
      <c r="G121" s="49"/>
      <c r="H121" s="1027"/>
      <c r="I121" s="1027"/>
      <c r="J121" s="49"/>
      <c r="K121" s="49"/>
      <c r="L121" s="49"/>
      <c r="M121" s="49"/>
      <c r="N121" s="15"/>
      <c r="O121" s="26"/>
      <c r="P121" s="86"/>
      <c r="Q121" s="25"/>
      <c r="R121" s="1013"/>
      <c r="S121" s="23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>
      <c r="A122" s="23"/>
      <c r="B122" s="14"/>
      <c r="C122" s="49"/>
      <c r="D122" s="49"/>
      <c r="E122" s="49"/>
      <c r="F122" s="49"/>
      <c r="G122" s="49"/>
      <c r="H122" s="1027"/>
      <c r="I122" s="1027"/>
      <c r="J122" s="49"/>
      <c r="K122" s="49"/>
      <c r="L122" s="49"/>
      <c r="M122" s="49"/>
      <c r="N122" s="15"/>
      <c r="O122" s="26"/>
      <c r="P122" s="86"/>
      <c r="Q122" s="25"/>
      <c r="R122" s="1013"/>
      <c r="S122" s="23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>
      <c r="A123" s="23"/>
      <c r="B123" s="14"/>
      <c r="C123" s="49"/>
      <c r="D123" s="49"/>
      <c r="E123" s="49"/>
      <c r="F123" s="49"/>
      <c r="G123" s="49"/>
      <c r="H123" s="1027"/>
      <c r="I123" s="1027"/>
      <c r="J123" s="49"/>
      <c r="K123" s="49"/>
      <c r="L123" s="49"/>
      <c r="M123" s="49"/>
      <c r="N123" s="15"/>
      <c r="O123" s="26"/>
      <c r="P123" s="86"/>
      <c r="Q123" s="25"/>
      <c r="R123" s="1013"/>
      <c r="S123" s="23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>
      <c r="A124" s="23"/>
      <c r="B124" s="14"/>
      <c r="C124" s="49"/>
      <c r="D124" s="49"/>
      <c r="E124" s="49"/>
      <c r="F124" s="49"/>
      <c r="G124" s="49"/>
      <c r="H124" s="1027"/>
      <c r="I124" s="1027"/>
      <c r="J124" s="49"/>
      <c r="K124" s="49"/>
      <c r="L124" s="49"/>
      <c r="M124" s="49"/>
      <c r="N124" s="15"/>
      <c r="O124" s="26"/>
      <c r="P124" s="86"/>
      <c r="Q124" s="25"/>
      <c r="R124" s="1013"/>
      <c r="S124" s="23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>
      <c r="A125" s="23"/>
      <c r="B125" s="14"/>
      <c r="C125" s="49"/>
      <c r="D125" s="49"/>
      <c r="E125" s="49"/>
      <c r="F125" s="49"/>
      <c r="G125" s="49"/>
      <c r="H125" s="1027"/>
      <c r="I125" s="1027"/>
      <c r="J125" s="49"/>
      <c r="K125" s="49"/>
      <c r="L125" s="49"/>
      <c r="M125" s="49"/>
      <c r="N125" s="15"/>
      <c r="O125" s="26"/>
      <c r="P125" s="86"/>
      <c r="Q125" s="25"/>
      <c r="R125" s="1013"/>
      <c r="S125" s="23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>
      <c r="A126" s="23"/>
      <c r="B126" s="14"/>
      <c r="C126" s="49"/>
      <c r="D126" s="49"/>
      <c r="E126" s="49"/>
      <c r="F126" s="49"/>
      <c r="G126" s="49"/>
      <c r="H126" s="1027"/>
      <c r="I126" s="1027"/>
      <c r="J126" s="49"/>
      <c r="K126" s="49"/>
      <c r="L126" s="49"/>
      <c r="M126" s="49"/>
      <c r="N126" s="15"/>
      <c r="O126" s="26"/>
      <c r="P126" s="86"/>
      <c r="Q126" s="25"/>
      <c r="R126" s="1013"/>
      <c r="S126" s="23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>
      <c r="A127" s="23"/>
      <c r="B127" s="14"/>
      <c r="C127" s="49"/>
      <c r="D127" s="49"/>
      <c r="E127" s="49"/>
      <c r="F127" s="49"/>
      <c r="G127" s="49"/>
      <c r="H127" s="1027"/>
      <c r="I127" s="1027"/>
      <c r="J127" s="49"/>
      <c r="K127" s="49"/>
      <c r="L127" s="49"/>
      <c r="M127" s="49"/>
      <c r="N127" s="15"/>
      <c r="O127" s="26"/>
      <c r="P127" s="86"/>
      <c r="Q127" s="25"/>
      <c r="R127" s="1013"/>
      <c r="S127" s="23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>
      <c r="A128" s="23"/>
      <c r="B128" s="14"/>
      <c r="C128" s="49"/>
      <c r="D128" s="49"/>
      <c r="E128" s="49"/>
      <c r="F128" s="49"/>
      <c r="G128" s="49"/>
      <c r="H128" s="1027"/>
      <c r="I128" s="1027"/>
      <c r="J128" s="49"/>
      <c r="K128" s="49"/>
      <c r="L128" s="49"/>
      <c r="M128" s="49"/>
      <c r="N128" s="15"/>
      <c r="O128" s="26"/>
      <c r="P128" s="86"/>
      <c r="Q128" s="25"/>
      <c r="R128" s="1013"/>
      <c r="S128" s="23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>
      <c r="A129" s="23"/>
      <c r="B129" s="14"/>
      <c r="C129" s="49"/>
      <c r="D129" s="49"/>
      <c r="E129" s="49"/>
      <c r="F129" s="49"/>
      <c r="G129" s="49"/>
      <c r="H129" s="1027"/>
      <c r="I129" s="1027"/>
      <c r="J129" s="49"/>
      <c r="K129" s="49"/>
      <c r="L129" s="49"/>
      <c r="M129" s="49"/>
      <c r="N129" s="15"/>
      <c r="O129" s="26"/>
      <c r="P129" s="86"/>
      <c r="Q129" s="25"/>
      <c r="R129" s="1013"/>
      <c r="S129" s="23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>
      <c r="A130" s="23"/>
      <c r="B130" s="14"/>
      <c r="C130" s="49"/>
      <c r="D130" s="49"/>
      <c r="E130" s="49"/>
      <c r="F130" s="49"/>
      <c r="G130" s="49"/>
      <c r="H130" s="1027"/>
      <c r="I130" s="1027"/>
      <c r="J130" s="49"/>
      <c r="K130" s="49"/>
      <c r="L130" s="49"/>
      <c r="M130" s="49"/>
      <c r="N130" s="15"/>
      <c r="O130" s="26"/>
      <c r="P130" s="86"/>
      <c r="Q130" s="25"/>
      <c r="R130" s="1013"/>
      <c r="S130" s="23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>
      <c r="A131" s="23"/>
      <c r="B131" s="14"/>
      <c r="C131" s="49"/>
      <c r="D131" s="49"/>
      <c r="E131" s="49"/>
      <c r="F131" s="49"/>
      <c r="G131" s="49"/>
      <c r="H131" s="1027"/>
      <c r="I131" s="1027"/>
      <c r="J131" s="49"/>
      <c r="K131" s="49"/>
      <c r="L131" s="49"/>
      <c r="M131" s="49"/>
      <c r="N131" s="15"/>
      <c r="O131" s="26"/>
      <c r="P131" s="86"/>
      <c r="Q131" s="25"/>
      <c r="R131" s="1013"/>
      <c r="S131" s="23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ht="16.5" thickBot="1">
      <c r="A132" s="23"/>
      <c r="B132" s="17"/>
      <c r="C132" s="1010"/>
      <c r="D132" s="1010"/>
      <c r="E132" s="1010"/>
      <c r="F132" s="1524"/>
      <c r="G132" s="1524"/>
      <c r="H132" s="1010"/>
      <c r="I132" s="1010"/>
      <c r="J132" s="1010"/>
      <c r="K132" s="1010"/>
      <c r="L132" s="1010"/>
      <c r="M132" s="53"/>
      <c r="N132" s="54"/>
      <c r="O132" s="219"/>
      <c r="P132" s="86"/>
      <c r="Q132" s="27"/>
      <c r="R132" s="1013"/>
      <c r="S132" s="23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>
      <c r="A133" s="23"/>
      <c r="B133" s="23"/>
      <c r="C133" s="34"/>
      <c r="D133" s="1013"/>
      <c r="E133" s="1013"/>
      <c r="F133" s="1501"/>
      <c r="G133" s="1501"/>
      <c r="H133" s="1013"/>
      <c r="I133" s="1013"/>
      <c r="J133" s="1013"/>
      <c r="K133" s="219"/>
      <c r="L133" s="35"/>
      <c r="M133" s="1013"/>
      <c r="N133" s="35"/>
      <c r="O133" s="1013"/>
      <c r="P133" s="86"/>
      <c r="Q133" s="28"/>
      <c r="R133" s="1013"/>
      <c r="S133" s="23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>
      <c r="A134" s="23"/>
      <c r="B134" s="23"/>
      <c r="C134" s="34"/>
      <c r="D134" s="1020"/>
      <c r="E134" s="1020"/>
      <c r="F134" s="1500"/>
      <c r="G134" s="1500"/>
      <c r="H134" s="1020"/>
      <c r="I134" s="1020"/>
      <c r="J134" s="1013"/>
      <c r="K134" s="219"/>
      <c r="L134" s="35"/>
      <c r="M134" s="1013"/>
      <c r="N134" s="1013"/>
      <c r="O134" s="1013"/>
      <c r="P134" s="86"/>
      <c r="Q134" s="28"/>
      <c r="R134" s="1013"/>
      <c r="S134" s="23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ht="79.5" customHeight="1">
      <c r="A135" s="23"/>
      <c r="B135" s="23"/>
      <c r="C135" s="34"/>
      <c r="D135" s="1013"/>
      <c r="E135" s="1013"/>
      <c r="F135" s="1501"/>
      <c r="G135" s="1501"/>
      <c r="H135" s="1013"/>
      <c r="I135" s="1013"/>
      <c r="J135" s="1013"/>
      <c r="K135" s="219"/>
      <c r="L135" s="35"/>
      <c r="M135" s="1013"/>
      <c r="N135" s="1013"/>
      <c r="O135" s="1013"/>
      <c r="P135" s="86"/>
      <c r="Q135" s="28"/>
      <c r="R135" s="1013"/>
      <c r="S135" s="23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>
      <c r="A136" s="23"/>
      <c r="B136" s="23"/>
      <c r="C136" s="34"/>
      <c r="D136" s="1013"/>
      <c r="E136" s="1013"/>
      <c r="F136" s="1501"/>
      <c r="G136" s="1501"/>
      <c r="H136" s="1013"/>
      <c r="I136" s="1013"/>
      <c r="J136" s="1013"/>
      <c r="K136" s="219"/>
      <c r="L136" s="35"/>
      <c r="M136" s="1013"/>
      <c r="N136" s="1013"/>
      <c r="O136" s="1013"/>
      <c r="P136" s="86"/>
      <c r="Q136" s="28"/>
      <c r="R136" s="1013"/>
      <c r="S136" s="23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>
      <c r="A137" s="23"/>
      <c r="B137" s="23"/>
      <c r="C137" s="45"/>
      <c r="D137" s="1013"/>
      <c r="E137" s="1013"/>
      <c r="F137" s="1501"/>
      <c r="G137" s="1501"/>
      <c r="H137" s="1013"/>
      <c r="I137" s="1013"/>
      <c r="J137" s="1013"/>
      <c r="K137" s="1013"/>
      <c r="L137" s="1013"/>
      <c r="M137" s="1013"/>
      <c r="N137" s="1013"/>
      <c r="O137" s="1013"/>
      <c r="P137" s="86"/>
      <c r="Q137" s="28"/>
      <c r="R137" s="1013"/>
      <c r="S137" s="23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>
      <c r="A138" s="23"/>
      <c r="B138" s="23"/>
      <c r="C138" s="45"/>
      <c r="D138" s="1013"/>
      <c r="E138" s="1013"/>
      <c r="F138" s="1013"/>
      <c r="G138" s="1013"/>
      <c r="H138" s="1013"/>
      <c r="I138" s="1013"/>
      <c r="J138" s="1013"/>
      <c r="K138" s="1013"/>
      <c r="L138" s="1013"/>
      <c r="M138" s="1013"/>
      <c r="N138" s="1013"/>
      <c r="O138" s="1013"/>
      <c r="P138" s="86"/>
      <c r="Q138" s="28"/>
      <c r="R138" s="1013"/>
      <c r="S138" s="23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>
      <c r="A139" s="23"/>
      <c r="B139" s="23"/>
      <c r="C139" s="45"/>
      <c r="D139" s="1013"/>
      <c r="E139" s="1013"/>
      <c r="F139" s="1013"/>
      <c r="G139" s="1013"/>
      <c r="H139" s="1013"/>
      <c r="I139" s="1013"/>
      <c r="J139" s="1013"/>
      <c r="K139" s="1013"/>
      <c r="L139" s="1013"/>
      <c r="M139" s="1013"/>
      <c r="N139" s="1013"/>
      <c r="O139" s="1013"/>
      <c r="P139" s="86"/>
      <c r="Q139" s="28"/>
      <c r="R139" s="1013"/>
      <c r="S139" s="23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>
      <c r="A140" s="23"/>
      <c r="B140" s="23"/>
      <c r="C140" s="45"/>
      <c r="D140" s="1013"/>
      <c r="E140" s="1013"/>
      <c r="F140" s="1013"/>
      <c r="G140" s="1013"/>
      <c r="H140" s="1013"/>
      <c r="I140" s="1013"/>
      <c r="J140" s="1013"/>
      <c r="K140" s="1013"/>
      <c r="L140" s="1013"/>
      <c r="M140" s="1013"/>
      <c r="N140" s="1013"/>
      <c r="O140" s="1013"/>
      <c r="P140" s="86"/>
      <c r="Q140" s="28"/>
      <c r="R140" s="1013"/>
      <c r="S140" s="23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>
      <c r="A141" s="23"/>
      <c r="B141" s="23"/>
      <c r="C141" s="45"/>
      <c r="D141" s="1013"/>
      <c r="E141" s="1013"/>
      <c r="F141" s="1013"/>
      <c r="G141" s="1013"/>
      <c r="H141" s="1013"/>
      <c r="I141" s="1013"/>
      <c r="J141" s="1013"/>
      <c r="K141" s="1013"/>
      <c r="L141" s="1013"/>
      <c r="M141" s="1013"/>
      <c r="N141" s="1013"/>
      <c r="O141" s="1013"/>
      <c r="P141" s="86"/>
      <c r="Q141" s="28"/>
      <c r="R141" s="1013"/>
      <c r="S141" s="23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spans="1:31">
      <c r="A142" s="23"/>
      <c r="B142" s="23"/>
      <c r="C142" s="45"/>
      <c r="D142" s="1013"/>
      <c r="E142" s="1013"/>
      <c r="F142" s="1013"/>
      <c r="G142" s="1013"/>
      <c r="H142" s="1013"/>
      <c r="I142" s="1013"/>
      <c r="J142" s="1013"/>
      <c r="K142" s="1013"/>
      <c r="L142" s="1013"/>
      <c r="M142" s="1013"/>
      <c r="N142" s="1013"/>
      <c r="O142" s="1013"/>
      <c r="P142" s="86"/>
      <c r="Q142" s="28"/>
      <c r="R142" s="1013"/>
      <c r="S142" s="23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>
      <c r="A143" s="23"/>
      <c r="B143" s="23"/>
      <c r="C143" s="45"/>
      <c r="D143" s="1013"/>
      <c r="E143" s="1013"/>
      <c r="F143" s="1013"/>
      <c r="G143" s="1013"/>
      <c r="H143" s="1013"/>
      <c r="I143" s="1013"/>
      <c r="J143" s="1013"/>
      <c r="K143" s="1013"/>
      <c r="L143" s="1013"/>
      <c r="M143" s="1013"/>
      <c r="N143" s="1013"/>
      <c r="O143" s="1013"/>
      <c r="P143" s="86"/>
      <c r="Q143" s="28"/>
      <c r="R143" s="1013"/>
      <c r="S143" s="23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ht="32.25" customHeight="1">
      <c r="A144" s="23"/>
      <c r="B144" s="23"/>
      <c r="C144" s="32"/>
      <c r="D144" s="1013"/>
      <c r="E144" s="1013"/>
      <c r="F144" s="1013"/>
      <c r="G144" s="1013"/>
      <c r="H144" s="1013"/>
      <c r="I144" s="1013"/>
      <c r="J144" s="1013"/>
      <c r="K144" s="1013"/>
      <c r="L144" s="1013"/>
      <c r="M144" s="1013"/>
      <c r="N144" s="1013"/>
      <c r="O144" s="1013"/>
      <c r="P144" s="86"/>
      <c r="Q144" s="29"/>
      <c r="R144" s="23"/>
      <c r="S144" s="23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ht="15.75" customHeight="1">
      <c r="A145" s="23"/>
      <c r="B145" s="23"/>
      <c r="C145" s="32"/>
      <c r="D145" s="1013"/>
      <c r="E145" s="1013"/>
      <c r="F145" s="1013"/>
      <c r="G145" s="1013"/>
      <c r="H145" s="1013"/>
      <c r="I145" s="1013"/>
      <c r="J145" s="1013"/>
      <c r="K145" s="1013"/>
      <c r="L145" s="1013"/>
      <c r="M145" s="1013"/>
      <c r="N145" s="1013"/>
      <c r="O145" s="1013"/>
      <c r="P145" s="1013"/>
      <c r="Q145" s="1013"/>
      <c r="R145" s="23"/>
      <c r="S145" s="23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>
      <c r="A146" s="23"/>
      <c r="B146" s="23"/>
      <c r="C146" s="1498"/>
      <c r="D146" s="1498"/>
      <c r="E146" s="1043"/>
      <c r="F146" s="32"/>
      <c r="G146" s="32"/>
      <c r="H146" s="32"/>
      <c r="I146" s="32"/>
      <c r="J146" s="32"/>
      <c r="K146" s="32"/>
      <c r="L146" s="32"/>
      <c r="M146" s="32"/>
      <c r="N146" s="32"/>
      <c r="O146" s="1013"/>
      <c r="P146" s="1013"/>
      <c r="Q146" s="1013"/>
      <c r="R146" s="23"/>
      <c r="S146" s="23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>
      <c r="A147" s="23"/>
      <c r="B147" s="23"/>
      <c r="C147" s="1498"/>
      <c r="D147" s="1498"/>
      <c r="E147" s="1043"/>
      <c r="F147" s="32"/>
      <c r="G147" s="32"/>
      <c r="H147" s="32"/>
      <c r="I147" s="32"/>
      <c r="J147" s="32"/>
      <c r="K147" s="32"/>
      <c r="L147" s="32"/>
      <c r="M147" s="32"/>
      <c r="N147" s="32"/>
      <c r="O147" s="1013"/>
      <c r="P147" s="1013"/>
      <c r="Q147" s="1013"/>
      <c r="R147" s="23"/>
      <c r="S147" s="23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ht="31.5" customHeight="1">
      <c r="A148" s="23"/>
      <c r="B148" s="23"/>
      <c r="C148" s="1498"/>
      <c r="D148" s="1498"/>
      <c r="E148" s="1043"/>
      <c r="F148" s="32"/>
      <c r="G148" s="32"/>
      <c r="H148" s="32"/>
      <c r="I148" s="32"/>
      <c r="J148" s="32"/>
      <c r="K148" s="32"/>
      <c r="L148" s="32"/>
      <c r="M148" s="32"/>
      <c r="N148" s="32"/>
      <c r="O148" s="23"/>
      <c r="P148" s="218"/>
      <c r="Q148" s="23"/>
      <c r="R148" s="23"/>
      <c r="S148" s="23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>
      <c r="A149" s="23"/>
      <c r="B149" s="23"/>
      <c r="C149" s="47"/>
      <c r="D149" s="1013"/>
      <c r="E149" s="1013"/>
      <c r="F149" s="1013"/>
      <c r="G149" s="1013"/>
      <c r="H149" s="1013"/>
      <c r="I149" s="1013"/>
      <c r="J149" s="1013"/>
      <c r="K149" s="219"/>
      <c r="L149" s="35"/>
      <c r="M149" s="1013"/>
      <c r="N149" s="31"/>
      <c r="O149" s="31"/>
      <c r="P149" s="218"/>
      <c r="Q149" s="31"/>
      <c r="R149" s="23"/>
      <c r="S149" s="23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spans="1:31">
      <c r="A150" s="23"/>
      <c r="B150" s="23"/>
      <c r="C150" s="47"/>
      <c r="D150" s="1013"/>
      <c r="E150" s="1013"/>
      <c r="F150" s="1013"/>
      <c r="G150" s="1013"/>
      <c r="H150" s="1013"/>
      <c r="I150" s="1013"/>
      <c r="J150" s="1013"/>
      <c r="K150" s="219"/>
      <c r="L150" s="1013"/>
      <c r="M150" s="1013"/>
      <c r="N150" s="31"/>
      <c r="O150" s="31"/>
      <c r="P150" s="218"/>
      <c r="Q150" s="31"/>
      <c r="R150" s="23"/>
      <c r="S150" s="23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>
      <c r="A151" s="23"/>
      <c r="B151" s="23"/>
      <c r="C151" s="47"/>
      <c r="D151" s="1013"/>
      <c r="E151" s="1013"/>
      <c r="F151" s="1013"/>
      <c r="G151" s="1013"/>
      <c r="H151" s="1013"/>
      <c r="I151" s="1013"/>
      <c r="J151" s="1013"/>
      <c r="K151" s="1013"/>
      <c r="L151" s="1013"/>
      <c r="M151" s="1013"/>
      <c r="N151" s="31"/>
      <c r="O151" s="31"/>
      <c r="P151" s="218"/>
      <c r="Q151" s="31"/>
      <c r="R151" s="23"/>
      <c r="S151" s="23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ht="16.5" thickBot="1">
      <c r="A152" s="23"/>
      <c r="B152" s="23"/>
      <c r="C152" s="47"/>
      <c r="D152" s="1013"/>
      <c r="E152" s="1013"/>
      <c r="F152" s="1013"/>
      <c r="G152" s="1013"/>
      <c r="H152" s="1013"/>
      <c r="I152" s="1013"/>
      <c r="J152" s="1013"/>
      <c r="K152" s="1013"/>
      <c r="L152" s="1013"/>
      <c r="M152" s="1013"/>
      <c r="N152" s="31"/>
      <c r="O152" s="31"/>
      <c r="P152" s="218"/>
      <c r="Q152" s="31"/>
      <c r="R152" s="23"/>
      <c r="S152" s="23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>
      <c r="A153" s="23"/>
      <c r="B153" s="23"/>
      <c r="C153" s="1490" t="s">
        <v>45</v>
      </c>
      <c r="D153" s="1491"/>
      <c r="E153" s="1491"/>
      <c r="F153" s="1491"/>
      <c r="G153" s="1491"/>
      <c r="H153" s="1491"/>
      <c r="I153" s="1491"/>
      <c r="J153" s="1491"/>
      <c r="K153" s="1491"/>
      <c r="L153" s="1491"/>
      <c r="M153" s="1491"/>
      <c r="N153" s="1491"/>
      <c r="O153" s="1491"/>
      <c r="P153" s="1491"/>
      <c r="Q153" s="1491"/>
      <c r="R153" s="1492"/>
      <c r="S153" s="23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ht="16.5" thickBot="1">
      <c r="A154" s="23"/>
      <c r="B154" s="23"/>
      <c r="C154" s="1493"/>
      <c r="D154" s="1494"/>
      <c r="E154" s="1494"/>
      <c r="F154" s="1494"/>
      <c r="G154" s="1494"/>
      <c r="H154" s="1494"/>
      <c r="I154" s="1494"/>
      <c r="J154" s="1494"/>
      <c r="K154" s="1494"/>
      <c r="L154" s="1494"/>
      <c r="M154" s="1494"/>
      <c r="N154" s="1494"/>
      <c r="O154" s="1494"/>
      <c r="P154" s="1494"/>
      <c r="Q154" s="1494"/>
      <c r="R154" s="1495"/>
      <c r="S154" s="23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spans="1:31">
      <c r="A155" s="23"/>
      <c r="B155" s="23"/>
      <c r="C155" s="251"/>
      <c r="D155" s="1488" t="s">
        <v>38</v>
      </c>
      <c r="E155" s="1489"/>
      <c r="F155" s="252"/>
      <c r="G155" s="1486" t="s">
        <v>40</v>
      </c>
      <c r="H155" s="1487"/>
      <c r="I155" s="252"/>
      <c r="J155" s="1486" t="s">
        <v>41</v>
      </c>
      <c r="K155" s="1487"/>
      <c r="L155" s="252"/>
      <c r="M155" s="1486" t="s">
        <v>42</v>
      </c>
      <c r="N155" s="1487"/>
      <c r="O155" s="18"/>
      <c r="P155" s="1486" t="s">
        <v>46</v>
      </c>
      <c r="Q155" s="1487"/>
      <c r="R155" s="250"/>
      <c r="S155" s="23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ht="20.25" customHeight="1">
      <c r="A156" s="23"/>
      <c r="B156" s="23"/>
      <c r="C156" s="253" t="s">
        <v>47</v>
      </c>
      <c r="D156" s="1044">
        <f>SUM(BILAN_LANDES!D127+BILAN_PA!D127+BILAN_HP!D127)</f>
        <v>14</v>
      </c>
      <c r="E156" s="1045">
        <f>SUM(BILAN_LANDES!E127+BILAN_PA!E127+BILAN_HP!E127)</f>
        <v>0</v>
      </c>
      <c r="F156" s="1046">
        <f t="shared" ref="F156:F163" si="0">SUM(D156:E156)</f>
        <v>14</v>
      </c>
      <c r="G156" s="1047">
        <f>SUM(BILAN_PA!G127+BILAN_HP!G127+BILAN_LANDES!G127)</f>
        <v>9</v>
      </c>
      <c r="H156" s="1048">
        <f>SUM(BILAN_LANDES!H127+BILAN_PA!H127+BILAN_HP!H127)</f>
        <v>0</v>
      </c>
      <c r="I156" s="1046"/>
      <c r="J156" s="1047">
        <f>BILAN_LANDES!J127+BILAN_PA!J127+BILAN_HP!J127</f>
        <v>5</v>
      </c>
      <c r="K156" s="1048">
        <f>BILAN_LANDES!K127+BILAN_PA!K127+BILAN_HP!K127</f>
        <v>0</v>
      </c>
      <c r="L156" s="1049"/>
      <c r="M156" s="1047">
        <f>BILAN_LANDES!M127+BILAN_PA!M127+BILAN_HP!M127</f>
        <v>69</v>
      </c>
      <c r="N156" s="1048">
        <f>BILAN_LANDES!N127+BILAN_PA!N127+BILAN_HP!N127</f>
        <v>0</v>
      </c>
      <c r="O156" s="1046"/>
      <c r="P156" s="1044">
        <f t="shared" ref="P156:Q163" si="1">SUM(D156,G156,J156,M156)</f>
        <v>97</v>
      </c>
      <c r="Q156" s="1045">
        <f t="shared" si="1"/>
        <v>0</v>
      </c>
      <c r="R156" s="1050">
        <f t="shared" ref="R156:R164" si="2">SUM(P156:Q156)</f>
        <v>97</v>
      </c>
      <c r="S156" s="23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ht="15.75" customHeight="1">
      <c r="A157" s="23"/>
      <c r="B157" s="23"/>
      <c r="C157" s="253" t="s">
        <v>48</v>
      </c>
      <c r="D157" s="1044">
        <f>SUM(BILAN_LANDES!D128+BILAN_PA!D128+BILAN_HP!D128)</f>
        <v>0</v>
      </c>
      <c r="E157" s="1045">
        <f>SUM(BILAN_LANDES!E128+BILAN_PA!E128+BILAN_HP!E128)</f>
        <v>0</v>
      </c>
      <c r="F157" s="1046">
        <f t="shared" si="0"/>
        <v>0</v>
      </c>
      <c r="G157" s="1047">
        <f>SUM(BILAN_PA!G128+BILAN_HP!G128+BILAN_LANDES!G128)</f>
        <v>4</v>
      </c>
      <c r="H157" s="1048">
        <f>SUM(BILAN_LANDES!H128+BILAN_PA!H128+BILAN_HP!H128)</f>
        <v>1</v>
      </c>
      <c r="I157" s="1046"/>
      <c r="J157" s="1047">
        <f>BILAN_LANDES!J128+BILAN_PA!J128+BILAN_HP!J128</f>
        <v>3</v>
      </c>
      <c r="K157" s="1048">
        <f>BILAN_LANDES!K128+BILAN_PA!K128+BILAN_HP!K128</f>
        <v>0</v>
      </c>
      <c r="L157" s="1046"/>
      <c r="M157" s="1047">
        <f>BILAN_LANDES!M128+BILAN_PA!M128+BILAN_HP!M128</f>
        <v>4</v>
      </c>
      <c r="N157" s="1048">
        <f>BILAN_LANDES!N128+BILAN_PA!N128+BILAN_HP!N128</f>
        <v>0</v>
      </c>
      <c r="O157" s="1046"/>
      <c r="P157" s="1044">
        <f t="shared" si="1"/>
        <v>11</v>
      </c>
      <c r="Q157" s="1045">
        <f t="shared" si="1"/>
        <v>1</v>
      </c>
      <c r="R157" s="1050">
        <f t="shared" si="2"/>
        <v>12</v>
      </c>
      <c r="S157" s="23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ht="15.75" customHeight="1">
      <c r="A158" s="23"/>
      <c r="B158" s="23"/>
      <c r="C158" s="253" t="s">
        <v>49</v>
      </c>
      <c r="D158" s="1044">
        <f>SUM(BILAN_LANDES!D129+BILAN_PA!D129+BILAN_HP!D129)</f>
        <v>3</v>
      </c>
      <c r="E158" s="1045">
        <f>SUM(BILAN_LANDES!E129+BILAN_PA!E129+BILAN_HP!E129)</f>
        <v>0</v>
      </c>
      <c r="F158" s="1046">
        <f t="shared" si="0"/>
        <v>3</v>
      </c>
      <c r="G158" s="1047">
        <f>SUM(BILAN_PA!G129+BILAN_HP!G129+BILAN_LANDES!G129)</f>
        <v>1</v>
      </c>
      <c r="H158" s="1048">
        <f>SUM(BILAN_LANDES!H129+BILAN_PA!H129+BILAN_HP!H129)</f>
        <v>0</v>
      </c>
      <c r="I158" s="1046"/>
      <c r="J158" s="1047">
        <f>BILAN_LANDES!J129+BILAN_PA!J129+BILAN_HP!J129</f>
        <v>25</v>
      </c>
      <c r="K158" s="1048">
        <f>BILAN_LANDES!K129+BILAN_PA!K129+BILAN_HP!K129</f>
        <v>0</v>
      </c>
      <c r="L158" s="1046"/>
      <c r="M158" s="1047">
        <f>BILAN_LANDES!M129+BILAN_PA!M129+BILAN_HP!M129</f>
        <v>33</v>
      </c>
      <c r="N158" s="1048">
        <f>BILAN_LANDES!N129+BILAN_PA!N129+BILAN_HP!N129</f>
        <v>0</v>
      </c>
      <c r="O158" s="1046"/>
      <c r="P158" s="1044">
        <f t="shared" si="1"/>
        <v>62</v>
      </c>
      <c r="Q158" s="1045">
        <f t="shared" si="1"/>
        <v>0</v>
      </c>
      <c r="R158" s="1050">
        <f t="shared" si="2"/>
        <v>62</v>
      </c>
      <c r="S158" s="23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>
      <c r="A159" s="23"/>
      <c r="B159" s="23"/>
      <c r="C159" s="253" t="s">
        <v>50</v>
      </c>
      <c r="D159" s="1044">
        <f>SUM(BILAN_LANDES!D130+BILAN_PA!D130+BILAN_HP!D130)</f>
        <v>16</v>
      </c>
      <c r="E159" s="1045">
        <f>SUM(BILAN_LANDES!E130+BILAN_PA!E130+BILAN_HP!E130)</f>
        <v>5</v>
      </c>
      <c r="F159" s="1046">
        <f t="shared" si="0"/>
        <v>21</v>
      </c>
      <c r="G159" s="1047">
        <f>SUM(BILAN_PA!G130+BILAN_HP!G130+BILAN_LANDES!G130)</f>
        <v>48</v>
      </c>
      <c r="H159" s="1048">
        <f>SUM(BILAN_LANDES!H130+BILAN_PA!H130+BILAN_HP!H130)</f>
        <v>0</v>
      </c>
      <c r="I159" s="1046"/>
      <c r="J159" s="1047">
        <f>BILAN_LANDES!J130+BILAN_PA!J130+BILAN_HP!J130</f>
        <v>4</v>
      </c>
      <c r="K159" s="1048">
        <f>BILAN_LANDES!K130+BILAN_PA!K130+BILAN_HP!K130</f>
        <v>0</v>
      </c>
      <c r="L159" s="1046"/>
      <c r="M159" s="1047">
        <f>BILAN_LANDES!M130+BILAN_PA!M130+BILAN_HP!M130</f>
        <v>17</v>
      </c>
      <c r="N159" s="1048">
        <f>BILAN_LANDES!N130+BILAN_PA!N130+BILAN_HP!N130</f>
        <v>0</v>
      </c>
      <c r="O159" s="1046"/>
      <c r="P159" s="1044">
        <f t="shared" si="1"/>
        <v>85</v>
      </c>
      <c r="Q159" s="1045">
        <f t="shared" si="1"/>
        <v>5</v>
      </c>
      <c r="R159" s="1050">
        <f t="shared" si="2"/>
        <v>90</v>
      </c>
      <c r="S159" s="23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ht="17.25" customHeight="1">
      <c r="A160" s="23"/>
      <c r="B160" s="23"/>
      <c r="C160" s="253" t="s">
        <v>51</v>
      </c>
      <c r="D160" s="1044">
        <f>SUM(BILAN_LANDES!D131+BILAN_PA!D131+BILAN_HP!D131)</f>
        <v>97</v>
      </c>
      <c r="E160" s="1045">
        <f>SUM(BILAN_LANDES!E131+BILAN_PA!E131+BILAN_HP!E131)</f>
        <v>1</v>
      </c>
      <c r="F160" s="1046">
        <f t="shared" si="0"/>
        <v>98</v>
      </c>
      <c r="G160" s="1047">
        <f>SUM(BILAN_PA!G131+BILAN_HP!G131+BILAN_LANDES!G131)</f>
        <v>25</v>
      </c>
      <c r="H160" s="1048">
        <f>SUM(BILAN_LANDES!H131+BILAN_PA!H131+BILAN_HP!H131)</f>
        <v>0</v>
      </c>
      <c r="I160" s="1046"/>
      <c r="J160" s="1047">
        <f>BILAN_LANDES!J131+BILAN_PA!J131+BILAN_HP!J131</f>
        <v>39</v>
      </c>
      <c r="K160" s="1048">
        <f>BILAN_LANDES!K131+BILAN_PA!K131+BILAN_HP!K131</f>
        <v>1</v>
      </c>
      <c r="L160" s="1046"/>
      <c r="M160" s="1047">
        <f>BILAN_LANDES!M131+BILAN_PA!M131+BILAN_HP!M131</f>
        <v>103</v>
      </c>
      <c r="N160" s="1048">
        <f>BILAN_LANDES!N131+BILAN_PA!N131+BILAN_HP!N131</f>
        <v>11</v>
      </c>
      <c r="O160" s="1046"/>
      <c r="P160" s="1044">
        <f t="shared" si="1"/>
        <v>264</v>
      </c>
      <c r="Q160" s="1045">
        <f t="shared" si="1"/>
        <v>13</v>
      </c>
      <c r="R160" s="1050">
        <f t="shared" si="2"/>
        <v>277</v>
      </c>
      <c r="S160" s="23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>
      <c r="A161" s="23"/>
      <c r="B161" s="23"/>
      <c r="C161" s="253" t="s">
        <v>52</v>
      </c>
      <c r="D161" s="1044">
        <f>SUM(BILAN_LANDES!D132+BILAN_PA!D132+BILAN_HP!D132)</f>
        <v>26</v>
      </c>
      <c r="E161" s="1045">
        <f>SUM(BILAN_LANDES!E132+BILAN_PA!E132+BILAN_HP!E132)</f>
        <v>1</v>
      </c>
      <c r="F161" s="1046">
        <f t="shared" si="0"/>
        <v>27</v>
      </c>
      <c r="G161" s="1047">
        <f>SUM(BILAN_PA!G132+BILAN_HP!G132+BILAN_LANDES!G132)</f>
        <v>40</v>
      </c>
      <c r="H161" s="1048">
        <f>SUM(BILAN_LANDES!H132+BILAN_PA!H132+BILAN_HP!H132)</f>
        <v>0</v>
      </c>
      <c r="I161" s="1046"/>
      <c r="J161" s="1047">
        <f>BILAN_LANDES!J132+BILAN_PA!J132+BILAN_HP!J132</f>
        <v>26</v>
      </c>
      <c r="K161" s="1048">
        <f>BILAN_LANDES!K132+BILAN_PA!K132+BILAN_HP!K132</f>
        <v>0</v>
      </c>
      <c r="L161" s="1046"/>
      <c r="M161" s="1047">
        <f>BILAN_LANDES!M132+BILAN_PA!M132+BILAN_HP!M132</f>
        <v>56</v>
      </c>
      <c r="N161" s="1048">
        <f>BILAN_LANDES!N132+BILAN_PA!N132+BILAN_HP!N132</f>
        <v>2</v>
      </c>
      <c r="O161" s="1046"/>
      <c r="P161" s="1044">
        <f t="shared" si="1"/>
        <v>148</v>
      </c>
      <c r="Q161" s="1045">
        <f t="shared" si="1"/>
        <v>3</v>
      </c>
      <c r="R161" s="1050">
        <f t="shared" si="2"/>
        <v>151</v>
      </c>
      <c r="S161" s="23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>
      <c r="A162" s="23"/>
      <c r="B162" s="23"/>
      <c r="C162" s="253" t="s">
        <v>53</v>
      </c>
      <c r="D162" s="1044">
        <f>SUM(BILAN_LANDES!D133+BILAN_PA!D133+BILAN_HP!D133)</f>
        <v>7</v>
      </c>
      <c r="E162" s="1045">
        <f>SUM(BILAN_LANDES!E133+BILAN_PA!E133+BILAN_HP!E133)</f>
        <v>7</v>
      </c>
      <c r="F162" s="1046">
        <f t="shared" si="0"/>
        <v>14</v>
      </c>
      <c r="G162" s="1047">
        <f>SUM(BILAN_PA!G133+BILAN_HP!G133+BILAN_LANDES!G133)</f>
        <v>6</v>
      </c>
      <c r="H162" s="1048">
        <f>SUM(BILAN_LANDES!H133+BILAN_PA!H133+BILAN_HP!H133)</f>
        <v>10</v>
      </c>
      <c r="I162" s="1046"/>
      <c r="J162" s="1047">
        <f>BILAN_LANDES!J133+BILAN_PA!J133+BILAN_HP!J133</f>
        <v>18</v>
      </c>
      <c r="K162" s="1048">
        <f>BILAN_LANDES!K133+BILAN_PA!K133+BILAN_HP!K133</f>
        <v>0</v>
      </c>
      <c r="L162" s="1046"/>
      <c r="M162" s="1047">
        <f>BILAN_LANDES!M133+BILAN_PA!M133+BILAN_HP!M133</f>
        <v>14</v>
      </c>
      <c r="N162" s="1048">
        <f>BILAN_LANDES!N133+BILAN_PA!N133+BILAN_HP!N133</f>
        <v>8</v>
      </c>
      <c r="O162" s="1046"/>
      <c r="P162" s="1044">
        <f t="shared" si="1"/>
        <v>45</v>
      </c>
      <c r="Q162" s="1045">
        <f t="shared" si="1"/>
        <v>25</v>
      </c>
      <c r="R162" s="1050">
        <f t="shared" si="2"/>
        <v>70</v>
      </c>
      <c r="S162" s="23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ht="16.5" thickBot="1">
      <c r="A163" s="23"/>
      <c r="B163" s="23"/>
      <c r="C163" s="247" t="s">
        <v>54</v>
      </c>
      <c r="D163" s="1044">
        <f>SUM(BILAN_LANDES!D134+BILAN_PA!D134+BILAN_HP!D134)</f>
        <v>4</v>
      </c>
      <c r="E163" s="1045">
        <f>SUM(BILAN_LANDES!E134+BILAN_PA!E134+BILAN_HP!E134)</f>
        <v>0</v>
      </c>
      <c r="F163" s="1051">
        <f t="shared" si="0"/>
        <v>4</v>
      </c>
      <c r="G163" s="1047">
        <f>SUM(BILAN_PA!G134+BILAN_HP!G134+BILAN_LANDES!G134)</f>
        <v>11</v>
      </c>
      <c r="H163" s="1048">
        <f>SUM(BILAN_LANDES!H134+BILAN_PA!H134+BILAN_HP!H134)</f>
        <v>0</v>
      </c>
      <c r="I163" s="1051"/>
      <c r="J163" s="1047">
        <f>BILAN_LANDES!J134+BILAN_PA!J134+BILAN_HP!J134</f>
        <v>0</v>
      </c>
      <c r="K163" s="1048">
        <f>BILAN_LANDES!K134+BILAN_PA!K134+BILAN_HP!K134</f>
        <v>0</v>
      </c>
      <c r="L163" s="1051"/>
      <c r="M163" s="1047">
        <f>BILAN_LANDES!M134+BILAN_PA!M134+BILAN_HP!M134</f>
        <v>1</v>
      </c>
      <c r="N163" s="1048">
        <f>BILAN_LANDES!N134+BILAN_PA!N134+BILAN_HP!N134</f>
        <v>0</v>
      </c>
      <c r="O163" s="1051"/>
      <c r="P163" s="1052">
        <f t="shared" si="1"/>
        <v>16</v>
      </c>
      <c r="Q163" s="1053">
        <f t="shared" si="1"/>
        <v>0</v>
      </c>
      <c r="R163" s="1054">
        <f t="shared" si="2"/>
        <v>16</v>
      </c>
      <c r="S163" s="23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>
      <c r="A164" s="23"/>
      <c r="B164" s="23"/>
      <c r="C164" s="1022"/>
      <c r="D164" s="255">
        <f>SUM(D156:D163)</f>
        <v>167</v>
      </c>
      <c r="E164" s="255">
        <f>SUM(E156:E163)</f>
        <v>14</v>
      </c>
      <c r="F164" s="1023"/>
      <c r="G164" s="255">
        <f>SUM(G156:G163)</f>
        <v>144</v>
      </c>
      <c r="H164" s="255">
        <f>SUM(H156:H163)</f>
        <v>11</v>
      </c>
      <c r="I164" s="1023"/>
      <c r="J164" s="255">
        <f>SUM(J156:J163)</f>
        <v>120</v>
      </c>
      <c r="K164" s="255">
        <f>SUM(K156:K163)</f>
        <v>1</v>
      </c>
      <c r="L164" s="1023"/>
      <c r="M164" s="255">
        <f>SUM(M156:M163)</f>
        <v>297</v>
      </c>
      <c r="N164" s="255">
        <f>SUM(N156:N163)</f>
        <v>21</v>
      </c>
      <c r="O164" s="254"/>
      <c r="P164" s="255">
        <f>SUM(P156:P163)</f>
        <v>728</v>
      </c>
      <c r="Q164" s="255">
        <f>SUM(Q156:Q163)</f>
        <v>47</v>
      </c>
      <c r="R164" s="262">
        <f t="shared" si="2"/>
        <v>775</v>
      </c>
      <c r="S164" s="23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ht="16.5" thickBot="1">
      <c r="A165" s="23"/>
      <c r="B165" s="23"/>
      <c r="C165" s="256"/>
      <c r="D165" s="257"/>
      <c r="E165" s="258"/>
      <c r="F165" s="257"/>
      <c r="G165" s="257"/>
      <c r="H165" s="258"/>
      <c r="I165" s="258"/>
      <c r="J165" s="258"/>
      <c r="K165" s="259"/>
      <c r="L165" s="258"/>
      <c r="M165" s="258"/>
      <c r="N165" s="257"/>
      <c r="O165" s="257"/>
      <c r="P165" s="260"/>
      <c r="Q165" s="257"/>
      <c r="R165" s="261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>
      <c r="A166" s="23"/>
      <c r="B166" s="23"/>
      <c r="C166" s="33"/>
      <c r="D166" s="31"/>
      <c r="E166" s="1013"/>
      <c r="F166" s="31"/>
      <c r="G166" s="31"/>
      <c r="H166" s="1013"/>
      <c r="I166" s="1013"/>
      <c r="J166" s="1013"/>
      <c r="K166" s="219"/>
      <c r="L166" s="1013"/>
      <c r="M166" s="1013"/>
      <c r="N166" s="31"/>
      <c r="O166" s="31"/>
      <c r="P166" s="86"/>
      <c r="Q166" s="31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>
      <c r="A167" s="23"/>
      <c r="B167" s="23"/>
      <c r="C167" s="33"/>
      <c r="D167" s="31"/>
      <c r="E167" s="1013"/>
      <c r="F167" s="31"/>
      <c r="G167" s="31"/>
      <c r="H167" s="1013"/>
      <c r="I167" s="1013"/>
      <c r="J167" s="1013"/>
      <c r="K167" s="219"/>
      <c r="L167" s="1013"/>
      <c r="M167" s="1013"/>
      <c r="N167" s="31"/>
      <c r="O167" s="31"/>
      <c r="P167" s="86"/>
      <c r="Q167" s="31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>
      <c r="A168" s="23"/>
      <c r="B168" s="23"/>
      <c r="C168" s="33"/>
      <c r="D168" s="31"/>
      <c r="E168" s="1013"/>
      <c r="F168" s="31"/>
      <c r="G168" s="31"/>
      <c r="H168" s="1013"/>
      <c r="I168" s="1013"/>
      <c r="J168" s="1013"/>
      <c r="K168" s="219"/>
      <c r="L168" s="35"/>
      <c r="M168" s="1013"/>
      <c r="N168" s="31"/>
      <c r="O168" s="31"/>
      <c r="P168" s="86"/>
      <c r="Q168" s="31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>
      <c r="A169" s="23"/>
      <c r="B169" s="23"/>
      <c r="C169" s="33"/>
      <c r="D169" s="31"/>
      <c r="E169" s="1013"/>
      <c r="F169" s="31"/>
      <c r="G169" s="31"/>
      <c r="H169" s="1013"/>
      <c r="I169" s="1013"/>
      <c r="J169" s="1013"/>
      <c r="K169" s="1013"/>
      <c r="L169" s="1013"/>
      <c r="M169" s="1013"/>
      <c r="N169" s="31"/>
      <c r="O169" s="31"/>
      <c r="P169" s="86"/>
      <c r="Q169" s="31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>
      <c r="A170" s="23"/>
      <c r="B170" s="23"/>
      <c r="C170" s="33"/>
      <c r="D170" s="31"/>
      <c r="E170" s="1013"/>
      <c r="F170" s="31"/>
      <c r="G170" s="31"/>
      <c r="H170" s="1013"/>
      <c r="I170" s="1013"/>
      <c r="J170" s="1013"/>
      <c r="K170" s="1013"/>
      <c r="L170" s="1013"/>
      <c r="M170" s="1013"/>
      <c r="N170" s="31"/>
      <c r="O170" s="31"/>
      <c r="P170" s="86"/>
      <c r="Q170" s="31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>
      <c r="A171" s="23"/>
      <c r="B171" s="23"/>
      <c r="C171" s="33"/>
      <c r="D171" s="31"/>
      <c r="E171" s="1013"/>
      <c r="F171" s="31"/>
      <c r="G171" s="31"/>
      <c r="H171" s="1013"/>
      <c r="I171" s="1013"/>
      <c r="J171" s="1013"/>
      <c r="K171" s="1013"/>
      <c r="L171" s="31"/>
      <c r="M171" s="31"/>
      <c r="N171" s="31"/>
      <c r="O171" s="31"/>
      <c r="P171" s="86"/>
      <c r="Q171" s="31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86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spans="1:3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spans="1:3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spans="1:3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spans="1:3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spans="1:3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spans="1:3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spans="1:3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spans="1:3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spans="1:3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</sheetData>
  <mergeCells count="48">
    <mergeCell ref="P7:Q7"/>
    <mergeCell ref="C13:C16"/>
    <mergeCell ref="C19:C22"/>
    <mergeCell ref="C25:C28"/>
    <mergeCell ref="F132:G132"/>
    <mergeCell ref="J47:M47"/>
    <mergeCell ref="C10:D10"/>
    <mergeCell ref="C23:D23"/>
    <mergeCell ref="C11:D11"/>
    <mergeCell ref="C29:D29"/>
    <mergeCell ref="C17:D17"/>
    <mergeCell ref="C87:M88"/>
    <mergeCell ref="C104:M105"/>
    <mergeCell ref="C37:C40"/>
    <mergeCell ref="C41:D41"/>
    <mergeCell ref="B2:N4"/>
    <mergeCell ref="C146:D146"/>
    <mergeCell ref="I67:J67"/>
    <mergeCell ref="I68:J68"/>
    <mergeCell ref="I69:J69"/>
    <mergeCell ref="E67:F67"/>
    <mergeCell ref="C67:D67"/>
    <mergeCell ref="L67:M67"/>
    <mergeCell ref="C82:I82"/>
    <mergeCell ref="C83:I83"/>
    <mergeCell ref="C8:D8"/>
    <mergeCell ref="C9:D9"/>
    <mergeCell ref="C64:M65"/>
    <mergeCell ref="F133:G133"/>
    <mergeCell ref="C31:C34"/>
    <mergeCell ref="C35:D35"/>
    <mergeCell ref="C153:R154"/>
    <mergeCell ref="C46:G46"/>
    <mergeCell ref="J46:M46"/>
    <mergeCell ref="C147:D147"/>
    <mergeCell ref="C148:D148"/>
    <mergeCell ref="C84:H84"/>
    <mergeCell ref="F134:G134"/>
    <mergeCell ref="F135:G135"/>
    <mergeCell ref="F136:G136"/>
    <mergeCell ref="F137:G137"/>
    <mergeCell ref="C51:D51"/>
    <mergeCell ref="C50:D50"/>
    <mergeCell ref="J155:K155"/>
    <mergeCell ref="M155:N155"/>
    <mergeCell ref="P155:Q155"/>
    <mergeCell ref="D155:E155"/>
    <mergeCell ref="G155:H15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/>
  <dimension ref="A1:AH220"/>
  <sheetViews>
    <sheetView topLeftCell="I1" zoomScale="70" zoomScaleNormal="70" workbookViewId="0">
      <selection activeCell="G20" sqref="G20:J22"/>
    </sheetView>
  </sheetViews>
  <sheetFormatPr defaultColWidth="11" defaultRowHeight="15.75"/>
  <cols>
    <col min="1" max="1" width="4.25" customWidth="1"/>
    <col min="2" max="2" width="3.125" customWidth="1"/>
    <col min="3" max="3" width="8.75" style="7" customWidth="1"/>
    <col min="4" max="4" width="7.25" style="234" customWidth="1"/>
    <col min="5" max="5" width="103" style="1" customWidth="1"/>
    <col min="6" max="6" width="7.5" customWidth="1"/>
    <col min="7" max="7" width="7" style="2" customWidth="1"/>
    <col min="8" max="8" width="32" customWidth="1"/>
    <col min="9" max="9" width="18.625" customWidth="1"/>
    <col min="10" max="10" width="11.5" style="7" customWidth="1"/>
    <col min="11" max="11" width="8.75" customWidth="1"/>
    <col min="12" max="12" width="6.125" style="3" customWidth="1"/>
    <col min="13" max="13" width="15.75" style="5" customWidth="1"/>
    <col min="14" max="14" width="7" customWidth="1"/>
    <col min="15" max="15" width="80.75" customWidth="1"/>
    <col min="16" max="17" width="7.625" customWidth="1"/>
    <col min="18" max="18" width="14.5" customWidth="1"/>
    <col min="19" max="19" width="8.5" customWidth="1"/>
    <col min="20" max="20" width="15" customWidth="1"/>
    <col min="22" max="23" width="11" style="22"/>
    <col min="24" max="24" width="37.125" style="22" customWidth="1"/>
    <col min="25" max="25" width="9.75" style="22" customWidth="1"/>
    <col min="26" max="26" width="24.125" style="22" customWidth="1"/>
    <col min="27" max="27" width="13" style="22" customWidth="1"/>
    <col min="28" max="28" width="16.125" style="22" customWidth="1"/>
    <col min="29" max="29" width="14.625" style="22" customWidth="1"/>
    <col min="30" max="30" width="15.75" style="22" customWidth="1"/>
    <col min="31" max="31" width="11" style="22"/>
  </cols>
  <sheetData>
    <row r="1" spans="1:31" ht="16.5" thickBot="1">
      <c r="A1" s="22"/>
      <c r="B1" s="22"/>
      <c r="C1" s="182"/>
      <c r="D1" s="227"/>
      <c r="E1" s="183"/>
      <c r="F1" s="22"/>
      <c r="G1" s="184"/>
      <c r="H1" s="22"/>
      <c r="I1" s="22"/>
      <c r="J1" s="182"/>
      <c r="K1" s="23"/>
      <c r="L1" s="31"/>
      <c r="M1" s="1013"/>
      <c r="N1" s="22"/>
      <c r="O1" s="22"/>
      <c r="P1" s="22"/>
      <c r="Q1" s="22"/>
      <c r="R1" s="22"/>
      <c r="S1" s="22"/>
      <c r="T1" s="22"/>
      <c r="U1" s="22"/>
    </row>
    <row r="2" spans="1:31" ht="15.75" customHeight="1">
      <c r="A2" s="22"/>
      <c r="B2" s="1656" t="s">
        <v>456</v>
      </c>
      <c r="C2" s="1657"/>
      <c r="D2" s="1657"/>
      <c r="E2" s="1657"/>
      <c r="F2" s="1657"/>
      <c r="G2" s="1657"/>
      <c r="H2" s="1657"/>
      <c r="I2" s="1657"/>
      <c r="J2" s="1657"/>
      <c r="K2" s="1657"/>
      <c r="L2" s="1658"/>
      <c r="M2" s="22"/>
      <c r="N2" s="22"/>
      <c r="O2" s="22"/>
      <c r="P2" s="22"/>
      <c r="Q2" s="22"/>
      <c r="R2" s="22"/>
      <c r="S2" s="22"/>
      <c r="T2" s="22"/>
      <c r="U2" s="22"/>
    </row>
    <row r="3" spans="1:31" ht="15.75" customHeight="1">
      <c r="A3" s="22"/>
      <c r="B3" s="1659"/>
      <c r="C3" s="1660"/>
      <c r="D3" s="1660"/>
      <c r="E3" s="1660"/>
      <c r="F3" s="1660"/>
      <c r="G3" s="1660"/>
      <c r="H3" s="1660"/>
      <c r="I3" s="1660"/>
      <c r="J3" s="1660"/>
      <c r="K3" s="1660"/>
      <c r="L3" s="1661"/>
      <c r="M3" s="22"/>
      <c r="N3" s="22"/>
      <c r="O3" s="22"/>
      <c r="P3" s="22"/>
      <c r="Q3" s="22"/>
      <c r="R3" s="22"/>
      <c r="S3" s="22"/>
      <c r="T3" s="22"/>
      <c r="U3" s="22"/>
    </row>
    <row r="4" spans="1:31" ht="15.75" customHeight="1" thickBot="1">
      <c r="A4" s="22"/>
      <c r="B4" s="1662"/>
      <c r="C4" s="1663"/>
      <c r="D4" s="1663"/>
      <c r="E4" s="1663"/>
      <c r="F4" s="1663"/>
      <c r="G4" s="1663"/>
      <c r="H4" s="1663"/>
      <c r="I4" s="1663"/>
      <c r="J4" s="1663"/>
      <c r="K4" s="1663"/>
      <c r="L4" s="1664"/>
      <c r="M4" s="22"/>
      <c r="N4" s="22"/>
      <c r="O4" s="22"/>
      <c r="P4" s="22"/>
      <c r="Q4" s="22"/>
      <c r="R4" s="22"/>
      <c r="S4" s="22"/>
      <c r="T4" s="22"/>
      <c r="U4" s="22"/>
    </row>
    <row r="5" spans="1:31" ht="15.75" customHeight="1">
      <c r="A5" s="22"/>
      <c r="B5" s="23"/>
      <c r="C5" s="195"/>
      <c r="D5" s="228"/>
      <c r="E5" s="195"/>
      <c r="F5" s="195"/>
      <c r="G5" s="195"/>
      <c r="H5" s="195"/>
      <c r="I5" s="195"/>
      <c r="J5" s="195"/>
      <c r="K5" s="188"/>
      <c r="L5" s="188"/>
      <c r="M5" s="23"/>
      <c r="N5" s="22"/>
      <c r="O5" s="22"/>
      <c r="P5" s="22"/>
      <c r="Q5" s="22"/>
      <c r="R5" s="22"/>
      <c r="S5" s="22"/>
      <c r="T5" s="22"/>
      <c r="U5" s="22"/>
    </row>
    <row r="6" spans="1:31" ht="15.75" customHeight="1" thickBot="1">
      <c r="A6" s="22"/>
      <c r="B6" s="23"/>
      <c r="C6" s="195"/>
      <c r="D6" s="228"/>
      <c r="E6" s="195"/>
      <c r="F6" s="195"/>
      <c r="G6" s="195"/>
      <c r="H6" s="195"/>
      <c r="I6" s="195"/>
      <c r="J6" s="195"/>
      <c r="K6" s="188"/>
      <c r="L6" s="188"/>
      <c r="M6" s="23"/>
      <c r="N6" s="22"/>
      <c r="O6" s="22"/>
      <c r="P6" s="22"/>
      <c r="Q6" s="22"/>
      <c r="R6" s="22"/>
      <c r="S6" s="22"/>
      <c r="T6" s="22"/>
      <c r="U6" s="22"/>
    </row>
    <row r="7" spans="1:31" ht="15.75" customHeight="1" thickBot="1">
      <c r="A7" s="22"/>
      <c r="B7" s="11"/>
      <c r="C7" s="198"/>
      <c r="D7" s="229"/>
      <c r="E7" s="198"/>
      <c r="F7" s="198"/>
      <c r="G7" s="198"/>
      <c r="H7" s="198"/>
      <c r="I7" s="198"/>
      <c r="J7" s="198"/>
      <c r="K7" s="210"/>
      <c r="L7" s="210"/>
      <c r="M7" s="12"/>
      <c r="N7" s="12"/>
      <c r="O7" s="12"/>
      <c r="P7" s="12"/>
      <c r="Q7" s="12"/>
      <c r="R7" s="12"/>
      <c r="S7" s="12"/>
      <c r="T7" s="12"/>
      <c r="U7" s="13"/>
    </row>
    <row r="8" spans="1:31" ht="15.75" customHeight="1">
      <c r="A8" s="22"/>
      <c r="B8" s="14"/>
      <c r="C8" s="1665" t="s">
        <v>64</v>
      </c>
      <c r="D8" s="1666"/>
      <c r="E8" s="1666"/>
      <c r="F8" s="1666"/>
      <c r="G8" s="1666"/>
      <c r="H8" s="1666"/>
      <c r="I8" s="1666"/>
      <c r="J8" s="1666"/>
      <c r="K8" s="1667"/>
      <c r="L8" s="238"/>
      <c r="M8" s="1665" t="s">
        <v>65</v>
      </c>
      <c r="N8" s="1666"/>
      <c r="O8" s="1666"/>
      <c r="P8" s="1666"/>
      <c r="Q8" s="1666"/>
      <c r="R8" s="1666"/>
      <c r="S8" s="1666"/>
      <c r="T8" s="1667"/>
      <c r="U8" s="52"/>
    </row>
    <row r="9" spans="1:31" ht="15.75" customHeight="1">
      <c r="A9" s="22"/>
      <c r="B9" s="14"/>
      <c r="C9" s="1668"/>
      <c r="D9" s="1669"/>
      <c r="E9" s="1669"/>
      <c r="F9" s="1669"/>
      <c r="G9" s="1669"/>
      <c r="H9" s="1669"/>
      <c r="I9" s="1669"/>
      <c r="J9" s="1669"/>
      <c r="K9" s="1670"/>
      <c r="L9" s="238"/>
      <c r="M9" s="1668"/>
      <c r="N9" s="1669"/>
      <c r="O9" s="1669"/>
      <c r="P9" s="1669"/>
      <c r="Q9" s="1669"/>
      <c r="R9" s="1669"/>
      <c r="S9" s="1669"/>
      <c r="T9" s="1670"/>
      <c r="U9" s="52"/>
    </row>
    <row r="10" spans="1:31" ht="30" customHeight="1">
      <c r="A10" s="22"/>
      <c r="B10" s="14"/>
      <c r="C10" s="220" t="s">
        <v>66</v>
      </c>
      <c r="D10" s="746" t="s">
        <v>67</v>
      </c>
      <c r="E10" s="221" t="s">
        <v>68</v>
      </c>
      <c r="F10" s="222" t="s">
        <v>69</v>
      </c>
      <c r="G10" s="222" t="s">
        <v>70</v>
      </c>
      <c r="H10" s="222" t="s">
        <v>71</v>
      </c>
      <c r="I10" s="222" t="s">
        <v>72</v>
      </c>
      <c r="J10" s="223" t="s">
        <v>73</v>
      </c>
      <c r="K10" s="750" t="s">
        <v>74</v>
      </c>
      <c r="L10" s="207"/>
      <c r="M10" s="747" t="s">
        <v>75</v>
      </c>
      <c r="N10" s="19" t="s">
        <v>76</v>
      </c>
      <c r="O10" s="269" t="s">
        <v>77</v>
      </c>
      <c r="P10" s="269" t="s">
        <v>69</v>
      </c>
      <c r="Q10" s="269" t="s">
        <v>70</v>
      </c>
      <c r="R10" s="235" t="s">
        <v>72</v>
      </c>
      <c r="S10" s="269" t="s">
        <v>74</v>
      </c>
      <c r="T10" s="214" t="s">
        <v>64</v>
      </c>
      <c r="U10" s="52"/>
    </row>
    <row r="11" spans="1:31" s="6" customFormat="1" ht="16.5" customHeight="1">
      <c r="A11" s="185"/>
      <c r="B11" s="199"/>
      <c r="C11" s="1227">
        <v>43983</v>
      </c>
      <c r="D11" s="1228">
        <v>611</v>
      </c>
      <c r="E11" s="1260" t="s">
        <v>457</v>
      </c>
      <c r="F11" s="1230" t="s">
        <v>8</v>
      </c>
      <c r="G11" s="1230">
        <v>65</v>
      </c>
      <c r="H11" s="1244" t="s">
        <v>167</v>
      </c>
      <c r="I11" s="1244" t="s">
        <v>53</v>
      </c>
      <c r="J11" s="1261" t="s">
        <v>92</v>
      </c>
      <c r="K11" s="796" t="s">
        <v>427</v>
      </c>
      <c r="L11" s="209"/>
      <c r="M11" s="1227">
        <v>43984</v>
      </c>
      <c r="N11" s="1228">
        <v>51</v>
      </c>
      <c r="O11" s="1229" t="s">
        <v>458</v>
      </c>
      <c r="P11" s="1230" t="s">
        <v>94</v>
      </c>
      <c r="Q11" s="1230">
        <v>64</v>
      </c>
      <c r="R11" s="1244" t="s">
        <v>114</v>
      </c>
      <c r="S11" s="1034" t="s">
        <v>397</v>
      </c>
      <c r="T11" s="1246">
        <f>COUNTIF(D:D,N11)+COUNTIF(Juill!D:D,N11)</f>
        <v>0</v>
      </c>
      <c r="U11" s="211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</row>
    <row r="12" spans="1:31" s="6" customFormat="1" ht="16.5" customHeight="1">
      <c r="A12" s="185"/>
      <c r="B12" s="199"/>
      <c r="C12" s="1227">
        <v>43983</v>
      </c>
      <c r="D12" s="1228">
        <v>611</v>
      </c>
      <c r="E12" s="1260" t="s">
        <v>459</v>
      </c>
      <c r="F12" s="1243" t="s">
        <v>8</v>
      </c>
      <c r="G12" s="1230">
        <v>65</v>
      </c>
      <c r="H12" s="1244" t="s">
        <v>196</v>
      </c>
      <c r="I12" s="1244" t="s">
        <v>53</v>
      </c>
      <c r="J12" s="1261" t="s">
        <v>92</v>
      </c>
      <c r="K12" s="741" t="s">
        <v>81</v>
      </c>
      <c r="L12" s="209"/>
      <c r="M12" s="1674">
        <v>43984</v>
      </c>
      <c r="N12" s="1228">
        <v>52</v>
      </c>
      <c r="O12" s="1262" t="s">
        <v>460</v>
      </c>
      <c r="P12" s="1671" t="s">
        <v>94</v>
      </c>
      <c r="Q12" s="1230">
        <v>65</v>
      </c>
      <c r="R12" s="1231" t="s">
        <v>50</v>
      </c>
      <c r="S12" s="1654" t="s">
        <v>397</v>
      </c>
      <c r="T12" s="1246">
        <f>COUNTIF(D:D,N12)+COUNTIF(Juill!D:D,N12)</f>
        <v>5</v>
      </c>
      <c r="U12" s="211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</row>
    <row r="13" spans="1:31" s="6" customFormat="1" ht="16.5" customHeight="1">
      <c r="A13" s="185"/>
      <c r="B13" s="199"/>
      <c r="C13" s="1263">
        <v>43983</v>
      </c>
      <c r="D13" s="1264"/>
      <c r="E13" s="1244" t="s">
        <v>461</v>
      </c>
      <c r="F13" s="1230" t="s">
        <v>10</v>
      </c>
      <c r="G13" s="1230">
        <v>64</v>
      </c>
      <c r="H13" s="1244" t="s">
        <v>261</v>
      </c>
      <c r="I13" s="1244" t="s">
        <v>48</v>
      </c>
      <c r="J13" s="1261" t="s">
        <v>92</v>
      </c>
      <c r="K13" s="796" t="s">
        <v>96</v>
      </c>
      <c r="L13" s="209"/>
      <c r="M13" s="1675"/>
      <c r="N13" s="1228">
        <v>53</v>
      </c>
      <c r="O13" s="1262" t="s">
        <v>460</v>
      </c>
      <c r="P13" s="1672"/>
      <c r="Q13" s="1230">
        <v>64</v>
      </c>
      <c r="R13" s="1231" t="s">
        <v>50</v>
      </c>
      <c r="S13" s="1654"/>
      <c r="T13" s="1246">
        <f>COUNTIF(D:D,N13)+COUNTIF(Juill!D:D,N13)</f>
        <v>0</v>
      </c>
      <c r="U13" s="211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</row>
    <row r="14" spans="1:31" s="6" customFormat="1">
      <c r="A14" s="185"/>
      <c r="B14" s="199"/>
      <c r="C14" s="1263">
        <v>43984</v>
      </c>
      <c r="D14" s="1228"/>
      <c r="E14" s="1265" t="s">
        <v>462</v>
      </c>
      <c r="F14" s="1243" t="s">
        <v>8</v>
      </c>
      <c r="G14" s="1230">
        <v>64</v>
      </c>
      <c r="H14" s="1244" t="s">
        <v>123</v>
      </c>
      <c r="I14" s="1244" t="s">
        <v>53</v>
      </c>
      <c r="J14" s="1261" t="s">
        <v>92</v>
      </c>
      <c r="K14" s="741" t="s">
        <v>81</v>
      </c>
      <c r="L14" s="209"/>
      <c r="M14" s="1676"/>
      <c r="N14" s="1228">
        <v>54</v>
      </c>
      <c r="O14" s="1262" t="s">
        <v>460</v>
      </c>
      <c r="P14" s="1673"/>
      <c r="Q14" s="1230">
        <v>40</v>
      </c>
      <c r="R14" s="1244" t="s">
        <v>50</v>
      </c>
      <c r="S14" s="1654"/>
      <c r="T14" s="1246">
        <f>COUNTIF(D:D,N14)+COUNTIF(Juill!D:D,N14)</f>
        <v>0</v>
      </c>
      <c r="U14" s="211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</row>
    <row r="15" spans="1:31" s="6" customFormat="1">
      <c r="A15" s="185"/>
      <c r="B15" s="199"/>
      <c r="C15" s="1263">
        <v>43984</v>
      </c>
      <c r="D15" s="1228">
        <v>613</v>
      </c>
      <c r="E15" s="1265" t="s">
        <v>463</v>
      </c>
      <c r="F15" s="1243" t="s">
        <v>10</v>
      </c>
      <c r="G15" s="1230">
        <v>40</v>
      </c>
      <c r="H15" s="1244" t="s">
        <v>275</v>
      </c>
      <c r="I15" s="1244" t="s">
        <v>51</v>
      </c>
      <c r="J15" s="1245" t="s">
        <v>80</v>
      </c>
      <c r="K15" s="796" t="s">
        <v>96</v>
      </c>
      <c r="L15" s="209"/>
      <c r="M15" s="1227">
        <v>43999</v>
      </c>
      <c r="N15" s="1228">
        <v>55</v>
      </c>
      <c r="O15" s="1229" t="s">
        <v>464</v>
      </c>
      <c r="P15" s="1230" t="s">
        <v>94</v>
      </c>
      <c r="Q15" s="1230">
        <v>65</v>
      </c>
      <c r="R15" s="1244" t="s">
        <v>52</v>
      </c>
      <c r="S15" s="894" t="s">
        <v>397</v>
      </c>
      <c r="T15" s="1246">
        <f>COUNTIF(D:D,N15)+COUNTIF(Juill!D:D,N15)</f>
        <v>1</v>
      </c>
      <c r="U15" s="211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</row>
    <row r="16" spans="1:31" s="6" customFormat="1" ht="16.5" customHeight="1">
      <c r="A16" s="185"/>
      <c r="B16" s="199"/>
      <c r="C16" s="1263">
        <v>43984</v>
      </c>
      <c r="D16" s="1228">
        <v>52</v>
      </c>
      <c r="E16" s="1265" t="s">
        <v>460</v>
      </c>
      <c r="F16" s="1243" t="s">
        <v>9</v>
      </c>
      <c r="G16" s="1230">
        <v>65</v>
      </c>
      <c r="H16" s="1244" t="s">
        <v>243</v>
      </c>
      <c r="I16" s="1244" t="s">
        <v>50</v>
      </c>
      <c r="J16" s="1245" t="s">
        <v>80</v>
      </c>
      <c r="K16" s="741" t="s">
        <v>96</v>
      </c>
      <c r="L16" s="209"/>
      <c r="M16" s="1227"/>
      <c r="N16" s="1228"/>
      <c r="O16" s="1266"/>
      <c r="P16" s="1230"/>
      <c r="Q16" s="1230"/>
      <c r="R16" s="1244"/>
      <c r="S16" s="1034"/>
      <c r="T16" s="1246"/>
      <c r="U16" s="211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</row>
    <row r="17" spans="1:31" s="6" customFormat="1" ht="15.75" customHeight="1">
      <c r="A17" s="185"/>
      <c r="B17" s="199"/>
      <c r="C17" s="1263">
        <v>43985</v>
      </c>
      <c r="D17" s="1228">
        <v>612</v>
      </c>
      <c r="E17" s="1266" t="s">
        <v>465</v>
      </c>
      <c r="F17" s="1243" t="s">
        <v>9</v>
      </c>
      <c r="G17" s="1230">
        <v>40</v>
      </c>
      <c r="H17" s="1244" t="s">
        <v>466</v>
      </c>
      <c r="I17" s="1244" t="s">
        <v>53</v>
      </c>
      <c r="J17" s="1245" t="s">
        <v>80</v>
      </c>
      <c r="K17" s="741" t="s">
        <v>96</v>
      </c>
      <c r="L17" s="236"/>
      <c r="M17" s="1674">
        <v>44001</v>
      </c>
      <c r="N17" s="1267">
        <v>57</v>
      </c>
      <c r="O17" s="915" t="s">
        <v>467</v>
      </c>
      <c r="P17" s="1671" t="s">
        <v>83</v>
      </c>
      <c r="Q17" s="1230">
        <v>64</v>
      </c>
      <c r="R17" s="1244" t="s">
        <v>50</v>
      </c>
      <c r="S17" s="914"/>
      <c r="T17" s="1246">
        <f>COUNTIF(D:D,N17)+COUNTIF(Juill!D:D,N17)</f>
        <v>5</v>
      </c>
      <c r="U17" s="52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</row>
    <row r="18" spans="1:31">
      <c r="A18" s="22"/>
      <c r="B18" s="14"/>
      <c r="C18" s="1263">
        <v>43985</v>
      </c>
      <c r="D18" s="1228">
        <v>611</v>
      </c>
      <c r="E18" s="1260" t="s">
        <v>468</v>
      </c>
      <c r="F18" s="1243" t="s">
        <v>8</v>
      </c>
      <c r="G18" s="1230">
        <v>64</v>
      </c>
      <c r="H18" s="1242" t="s">
        <v>469</v>
      </c>
      <c r="I18" s="1244" t="s">
        <v>53</v>
      </c>
      <c r="J18" s="1261" t="s">
        <v>92</v>
      </c>
      <c r="K18" s="741" t="s">
        <v>81</v>
      </c>
      <c r="L18" s="89"/>
      <c r="M18" s="1675"/>
      <c r="N18" s="1228">
        <v>58</v>
      </c>
      <c r="O18" s="915" t="s">
        <v>470</v>
      </c>
      <c r="P18" s="1672"/>
      <c r="Q18" s="1230">
        <v>65</v>
      </c>
      <c r="R18" s="1244" t="s">
        <v>50</v>
      </c>
      <c r="S18" s="914"/>
      <c r="T18" s="1246">
        <f>COUNTIF(D:D,N18)+COUNTIF(Juill!D:D,N18)</f>
        <v>2</v>
      </c>
      <c r="U18" s="52"/>
    </row>
    <row r="19" spans="1:31" s="3" customFormat="1">
      <c r="A19" s="186"/>
      <c r="B19" s="196"/>
      <c r="C19" s="1227">
        <v>43985</v>
      </c>
      <c r="D19" s="1228">
        <v>611</v>
      </c>
      <c r="E19" s="1260" t="s">
        <v>468</v>
      </c>
      <c r="F19" s="1243" t="s">
        <v>8</v>
      </c>
      <c r="G19" s="1230">
        <v>64</v>
      </c>
      <c r="H19" s="1244" t="s">
        <v>396</v>
      </c>
      <c r="I19" s="1244" t="s">
        <v>53</v>
      </c>
      <c r="J19" s="1261" t="s">
        <v>92</v>
      </c>
      <c r="K19" s="741" t="s">
        <v>81</v>
      </c>
      <c r="L19" s="236"/>
      <c r="M19" s="1676"/>
      <c r="N19" s="1268">
        <v>59</v>
      </c>
      <c r="O19" s="915" t="s">
        <v>471</v>
      </c>
      <c r="P19" s="1673"/>
      <c r="Q19" s="1269">
        <v>40</v>
      </c>
      <c r="R19" s="1244" t="s">
        <v>50</v>
      </c>
      <c r="S19" s="914"/>
      <c r="T19" s="1246">
        <f>COUNTIF(D:D,N19)+COUNTIF(Juill!D:D,N19)</f>
        <v>3</v>
      </c>
      <c r="U19" s="52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</row>
    <row r="20" spans="1:31" s="3" customFormat="1">
      <c r="A20" s="186"/>
      <c r="B20" s="196"/>
      <c r="C20" s="1227">
        <v>43985</v>
      </c>
      <c r="D20" s="1228">
        <v>611</v>
      </c>
      <c r="E20" s="1260" t="s">
        <v>472</v>
      </c>
      <c r="F20" s="1243" t="s">
        <v>9</v>
      </c>
      <c r="G20" s="1230">
        <v>65</v>
      </c>
      <c r="H20" s="1244" t="s">
        <v>79</v>
      </c>
      <c r="I20" s="1244" t="s">
        <v>53</v>
      </c>
      <c r="J20" s="1261" t="s">
        <v>92</v>
      </c>
      <c r="K20" s="763" t="s">
        <v>96</v>
      </c>
      <c r="L20" s="236"/>
      <c r="M20" s="1677">
        <v>44011</v>
      </c>
      <c r="N20" s="1230">
        <v>60</v>
      </c>
      <c r="O20" s="1679" t="s">
        <v>473</v>
      </c>
      <c r="P20" s="1671" t="s">
        <v>83</v>
      </c>
      <c r="Q20" s="1230">
        <v>65</v>
      </c>
      <c r="R20" s="1244" t="s">
        <v>186</v>
      </c>
      <c r="S20" s="1682" t="s">
        <v>96</v>
      </c>
      <c r="T20" s="1246">
        <f>COUNTIF(D:D,N20)+COUNTIF(Juill!D:D,N20)</f>
        <v>2</v>
      </c>
      <c r="U20" s="52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</row>
    <row r="21" spans="1:31" s="3" customFormat="1" ht="16.5" thickBot="1">
      <c r="A21" s="186"/>
      <c r="B21" s="196"/>
      <c r="C21" s="1227">
        <v>43985</v>
      </c>
      <c r="D21" s="1228">
        <v>611</v>
      </c>
      <c r="E21" s="1260" t="s">
        <v>472</v>
      </c>
      <c r="F21" s="1243" t="s">
        <v>8</v>
      </c>
      <c r="G21" s="1230">
        <v>65</v>
      </c>
      <c r="H21" s="1244" t="s">
        <v>79</v>
      </c>
      <c r="I21" s="1244" t="s">
        <v>53</v>
      </c>
      <c r="J21" s="1261" t="s">
        <v>92</v>
      </c>
      <c r="K21" s="753" t="s">
        <v>81</v>
      </c>
      <c r="L21" s="236"/>
      <c r="M21" s="1678"/>
      <c r="N21" s="1252">
        <v>61</v>
      </c>
      <c r="O21" s="1680"/>
      <c r="P21" s="1681"/>
      <c r="Q21" s="1252">
        <v>64</v>
      </c>
      <c r="R21" s="1253" t="s">
        <v>186</v>
      </c>
      <c r="S21" s="1683"/>
      <c r="T21" s="1246">
        <f>COUNTIF(D:D,N21)+COUNTIF(Juill!D:D,N21)</f>
        <v>4</v>
      </c>
      <c r="U21" s="52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</row>
    <row r="22" spans="1:31" s="4" customFormat="1">
      <c r="A22" s="187"/>
      <c r="B22" s="200"/>
      <c r="C22" s="1227">
        <v>43985</v>
      </c>
      <c r="D22" s="1228">
        <v>611</v>
      </c>
      <c r="E22" s="1260" t="s">
        <v>474</v>
      </c>
      <c r="F22" s="1243" t="s">
        <v>8</v>
      </c>
      <c r="G22" s="1230">
        <v>65</v>
      </c>
      <c r="H22" s="1244" t="s">
        <v>193</v>
      </c>
      <c r="I22" s="1244" t="s">
        <v>53</v>
      </c>
      <c r="J22" s="1261" t="s">
        <v>92</v>
      </c>
      <c r="K22" s="742" t="s">
        <v>81</v>
      </c>
      <c r="L22" s="209"/>
      <c r="M22" s="1270">
        <v>43983</v>
      </c>
      <c r="N22" s="1230">
        <v>611</v>
      </c>
      <c r="O22" s="1231" t="s">
        <v>475</v>
      </c>
      <c r="P22" s="1271" t="s">
        <v>476</v>
      </c>
      <c r="Q22" s="1230">
        <v>65</v>
      </c>
      <c r="R22" s="1244" t="s">
        <v>182</v>
      </c>
      <c r="S22" s="869"/>
      <c r="T22" s="1246">
        <f>COUNTIF(D:D,N22)+COUNTIF(Juill!D:D,N22)</f>
        <v>8</v>
      </c>
      <c r="U22" s="52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</row>
    <row r="23" spans="1:31" s="4" customFormat="1" ht="16.5" thickBot="1">
      <c r="A23" s="187"/>
      <c r="B23" s="200"/>
      <c r="C23" s="1227">
        <v>43985</v>
      </c>
      <c r="D23" s="1228">
        <v>52</v>
      </c>
      <c r="E23" s="1260" t="s">
        <v>477</v>
      </c>
      <c r="F23" s="1243" t="s">
        <v>8</v>
      </c>
      <c r="G23" s="1230">
        <v>65</v>
      </c>
      <c r="H23" s="1242" t="s">
        <v>167</v>
      </c>
      <c r="I23" s="1244" t="s">
        <v>50</v>
      </c>
      <c r="J23" s="1245" t="s">
        <v>80</v>
      </c>
      <c r="K23" s="741" t="s">
        <v>81</v>
      </c>
      <c r="L23" s="209"/>
      <c r="M23" s="1270">
        <v>43984</v>
      </c>
      <c r="N23" s="1252">
        <v>612</v>
      </c>
      <c r="O23" s="1231" t="s">
        <v>478</v>
      </c>
      <c r="P23" s="1272" t="s">
        <v>107</v>
      </c>
      <c r="Q23" s="1252">
        <v>40</v>
      </c>
      <c r="R23" s="1253" t="s">
        <v>182</v>
      </c>
      <c r="S23" s="870"/>
      <c r="T23" s="1246">
        <f>COUNTIF(D:D,N23)+COUNTIF(Juill!D:D,N23)</f>
        <v>3</v>
      </c>
      <c r="U23" s="52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</row>
    <row r="24" spans="1:31" ht="16.5" thickBot="1">
      <c r="A24" s="22"/>
      <c r="B24" s="14"/>
      <c r="C24" s="1263">
        <v>43985</v>
      </c>
      <c r="D24" s="1228">
        <v>612</v>
      </c>
      <c r="E24" s="1266" t="s">
        <v>479</v>
      </c>
      <c r="F24" s="1243" t="s">
        <v>9</v>
      </c>
      <c r="G24" s="1230">
        <v>40</v>
      </c>
      <c r="H24" s="1244" t="s">
        <v>480</v>
      </c>
      <c r="I24" s="1244" t="s">
        <v>53</v>
      </c>
      <c r="J24" s="1245" t="s">
        <v>80</v>
      </c>
      <c r="K24" s="753" t="s">
        <v>96</v>
      </c>
      <c r="L24" s="209"/>
      <c r="M24" s="1270">
        <v>43990</v>
      </c>
      <c r="N24" s="1252">
        <v>613</v>
      </c>
      <c r="O24" s="1231" t="s">
        <v>481</v>
      </c>
      <c r="P24" s="1272" t="s">
        <v>482</v>
      </c>
      <c r="Q24" s="1252">
        <v>40</v>
      </c>
      <c r="R24" s="1253" t="s">
        <v>51</v>
      </c>
      <c r="S24" s="870"/>
      <c r="T24" s="1246">
        <f>COUNTIF(D:D,N24)+COUNTIF(Juill!D:D,N24)</f>
        <v>15</v>
      </c>
      <c r="U24" s="52"/>
    </row>
    <row r="25" spans="1:31">
      <c r="A25" s="22"/>
      <c r="B25" s="14"/>
      <c r="C25" s="1227">
        <v>43985</v>
      </c>
      <c r="D25" s="1228">
        <v>50</v>
      </c>
      <c r="E25" s="1229" t="s">
        <v>483</v>
      </c>
      <c r="F25" s="1243" t="s">
        <v>11</v>
      </c>
      <c r="G25" s="1230">
        <v>40</v>
      </c>
      <c r="H25" s="1244" t="s">
        <v>484</v>
      </c>
      <c r="I25" s="1244" t="s">
        <v>54</v>
      </c>
      <c r="J25" s="1245" t="s">
        <v>80</v>
      </c>
      <c r="K25" s="742" t="s">
        <v>96</v>
      </c>
      <c r="L25" s="209"/>
      <c r="M25" s="555"/>
      <c r="N25" s="555"/>
      <c r="O25" s="556"/>
      <c r="P25" s="752"/>
      <c r="Q25" s="557"/>
      <c r="R25" s="1025"/>
      <c r="S25" s="1025"/>
      <c r="T25" s="230"/>
      <c r="U25" s="52"/>
    </row>
    <row r="26" spans="1:31" s="4" customFormat="1" ht="15.75" customHeight="1">
      <c r="A26" s="187"/>
      <c r="B26" s="200"/>
      <c r="C26" s="1263">
        <v>43985</v>
      </c>
      <c r="D26" s="1228">
        <v>52</v>
      </c>
      <c r="E26" s="1265" t="s">
        <v>477</v>
      </c>
      <c r="F26" s="1243" t="s">
        <v>9</v>
      </c>
      <c r="G26" s="1230">
        <v>65</v>
      </c>
      <c r="H26" s="1244" t="s">
        <v>167</v>
      </c>
      <c r="I26" s="1244" t="s">
        <v>50</v>
      </c>
      <c r="J26" s="1245" t="s">
        <v>80</v>
      </c>
      <c r="K26" s="753" t="s">
        <v>96</v>
      </c>
      <c r="L26" s="829"/>
      <c r="M26" s="755"/>
      <c r="N26" s="89"/>
      <c r="O26" s="207"/>
      <c r="P26" s="752"/>
      <c r="Q26" s="207"/>
      <c r="R26" s="207"/>
      <c r="S26" s="207"/>
      <c r="T26" s="207"/>
      <c r="U26" s="52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</row>
    <row r="27" spans="1:31" s="3" customFormat="1">
      <c r="A27" s="186"/>
      <c r="B27" s="196"/>
      <c r="C27" s="1263">
        <v>43985</v>
      </c>
      <c r="D27" s="1228">
        <v>50</v>
      </c>
      <c r="E27" s="1242" t="s">
        <v>485</v>
      </c>
      <c r="F27" s="1243" t="s">
        <v>10</v>
      </c>
      <c r="G27" s="1230">
        <v>40</v>
      </c>
      <c r="H27" s="1244" t="s">
        <v>486</v>
      </c>
      <c r="I27" s="1244" t="s">
        <v>54</v>
      </c>
      <c r="J27" s="1245" t="s">
        <v>80</v>
      </c>
      <c r="K27" s="858"/>
      <c r="L27" s="236"/>
      <c r="M27" s="48"/>
      <c r="N27" s="48"/>
      <c r="O27" s="48"/>
      <c r="P27" s="752"/>
      <c r="Q27" s="48"/>
      <c r="R27" s="48"/>
      <c r="S27" s="48"/>
      <c r="T27" s="48"/>
      <c r="U27" s="52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</row>
    <row r="28" spans="1:31" s="3" customFormat="1">
      <c r="A28" s="186"/>
      <c r="B28" s="196"/>
      <c r="C28" s="1263">
        <v>43985</v>
      </c>
      <c r="D28" s="1228">
        <v>50</v>
      </c>
      <c r="E28" s="1242" t="s">
        <v>485</v>
      </c>
      <c r="F28" s="1243" t="s">
        <v>10</v>
      </c>
      <c r="G28" s="1230">
        <v>40</v>
      </c>
      <c r="H28" s="1244" t="s">
        <v>487</v>
      </c>
      <c r="I28" s="1244" t="s">
        <v>54</v>
      </c>
      <c r="J28" s="1245" t="s">
        <v>80</v>
      </c>
      <c r="K28" s="860"/>
      <c r="L28" s="239"/>
      <c r="M28" s="48"/>
      <c r="N28" s="48"/>
      <c r="O28" s="48"/>
      <c r="P28" s="752"/>
      <c r="Q28" s="48"/>
      <c r="R28" s="48"/>
      <c r="S28" s="48"/>
      <c r="T28" s="48"/>
      <c r="U28" s="52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</row>
    <row r="29" spans="1:31">
      <c r="A29" s="22"/>
      <c r="B29" s="14"/>
      <c r="C29" s="1263">
        <v>43986</v>
      </c>
      <c r="D29" s="1228">
        <v>612</v>
      </c>
      <c r="E29" s="1260" t="s">
        <v>488</v>
      </c>
      <c r="F29" s="1243" t="s">
        <v>8</v>
      </c>
      <c r="G29" s="1230">
        <v>40</v>
      </c>
      <c r="H29" s="1244" t="s">
        <v>489</v>
      </c>
      <c r="I29" s="1244" t="s">
        <v>52</v>
      </c>
      <c r="J29" s="1245" t="s">
        <v>80</v>
      </c>
      <c r="K29" s="741" t="s">
        <v>81</v>
      </c>
      <c r="L29" s="239"/>
      <c r="M29" s="48"/>
      <c r="N29" s="48"/>
      <c r="O29" s="48"/>
      <c r="P29" s="829"/>
      <c r="Q29" s="48"/>
      <c r="R29" s="48"/>
      <c r="S29" s="48"/>
      <c r="T29" s="48"/>
      <c r="U29" s="52"/>
    </row>
    <row r="30" spans="1:31">
      <c r="A30" s="22"/>
      <c r="B30" s="14"/>
      <c r="C30" s="1227">
        <v>43986</v>
      </c>
      <c r="D30" s="1228">
        <v>49</v>
      </c>
      <c r="E30" s="1260" t="s">
        <v>490</v>
      </c>
      <c r="F30" s="1243" t="s">
        <v>8</v>
      </c>
      <c r="G30" s="1230">
        <v>65</v>
      </c>
      <c r="H30" s="1244" t="s">
        <v>196</v>
      </c>
      <c r="I30" s="1244" t="s">
        <v>52</v>
      </c>
      <c r="J30" s="1245" t="s">
        <v>80</v>
      </c>
      <c r="K30" s="753" t="s">
        <v>81</v>
      </c>
      <c r="L30" s="239"/>
      <c r="M30" s="48"/>
      <c r="N30" s="48"/>
      <c r="O30" s="576"/>
      <c r="P30" s="752"/>
      <c r="Q30" s="207"/>
      <c r="R30" s="207"/>
      <c r="S30" s="207"/>
      <c r="T30" s="207"/>
      <c r="U30" s="52"/>
    </row>
    <row r="31" spans="1:31" ht="16.5" thickBot="1">
      <c r="A31" s="22"/>
      <c r="B31" s="14"/>
      <c r="C31" s="1227">
        <v>43986</v>
      </c>
      <c r="D31" s="1228">
        <v>50</v>
      </c>
      <c r="E31" s="1248" t="s">
        <v>491</v>
      </c>
      <c r="F31" s="1243" t="s">
        <v>9</v>
      </c>
      <c r="G31" s="1230">
        <v>40</v>
      </c>
      <c r="H31" s="1244" t="s">
        <v>492</v>
      </c>
      <c r="I31" s="1244" t="s">
        <v>54</v>
      </c>
      <c r="J31" s="1245" t="s">
        <v>80</v>
      </c>
      <c r="K31" s="741" t="s">
        <v>96</v>
      </c>
      <c r="L31" s="236"/>
      <c r="M31" s="48"/>
      <c r="N31" s="48"/>
      <c r="O31" s="207"/>
      <c r="P31" s="752"/>
      <c r="Q31" s="207"/>
      <c r="R31" s="207"/>
      <c r="S31" s="207"/>
      <c r="T31" s="207"/>
      <c r="U31" s="52"/>
    </row>
    <row r="32" spans="1:31" s="3" customFormat="1">
      <c r="A32" s="186"/>
      <c r="B32" s="196"/>
      <c r="C32" s="1227">
        <v>43987</v>
      </c>
      <c r="D32" s="1228">
        <v>50</v>
      </c>
      <c r="E32" s="1244" t="s">
        <v>493</v>
      </c>
      <c r="F32" s="1243" t="s">
        <v>9</v>
      </c>
      <c r="G32" s="1230">
        <v>40</v>
      </c>
      <c r="H32" s="1231" t="s">
        <v>494</v>
      </c>
      <c r="I32" s="1244" t="s">
        <v>54</v>
      </c>
      <c r="J32" s="1245" t="s">
        <v>80</v>
      </c>
      <c r="K32" s="741" t="s">
        <v>96</v>
      </c>
      <c r="L32" s="239"/>
      <c r="M32" s="756" t="s">
        <v>64</v>
      </c>
      <c r="N32" s="224"/>
      <c r="O32" s="207"/>
      <c r="P32" s="752"/>
      <c r="Q32" s="207"/>
      <c r="R32" s="207"/>
      <c r="S32" s="207"/>
      <c r="T32" s="207"/>
      <c r="U32" s="9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</row>
    <row r="33" spans="1:31" s="3" customFormat="1">
      <c r="A33" s="186"/>
      <c r="B33" s="196"/>
      <c r="C33" s="1263">
        <v>43990</v>
      </c>
      <c r="D33" s="1228">
        <v>50</v>
      </c>
      <c r="E33" s="1242" t="s">
        <v>495</v>
      </c>
      <c r="F33" s="1243" t="s">
        <v>8</v>
      </c>
      <c r="G33" s="1230">
        <v>40</v>
      </c>
      <c r="H33" s="1244" t="s">
        <v>85</v>
      </c>
      <c r="I33" s="1244" t="s">
        <v>54</v>
      </c>
      <c r="J33" s="1245" t="s">
        <v>80</v>
      </c>
      <c r="K33" s="796" t="s">
        <v>81</v>
      </c>
      <c r="L33" s="239"/>
      <c r="M33" s="242" t="s">
        <v>128</v>
      </c>
      <c r="N33" s="225">
        <f>SUM(N34:N36)</f>
        <v>88</v>
      </c>
      <c r="O33" s="207"/>
      <c r="P33" s="830"/>
      <c r="Q33" s="207"/>
      <c r="R33" s="207"/>
      <c r="S33" s="207"/>
      <c r="T33" s="207"/>
      <c r="U33" s="9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</row>
    <row r="34" spans="1:31" s="3" customFormat="1">
      <c r="A34" s="186"/>
      <c r="B34" s="196"/>
      <c r="C34" s="1227">
        <v>43990</v>
      </c>
      <c r="D34" s="1228">
        <v>50</v>
      </c>
      <c r="E34" s="1231" t="s">
        <v>496</v>
      </c>
      <c r="F34" s="1243" t="s">
        <v>8</v>
      </c>
      <c r="G34" s="1230">
        <v>40</v>
      </c>
      <c r="H34" s="1244" t="s">
        <v>203</v>
      </c>
      <c r="I34" s="1244" t="s">
        <v>54</v>
      </c>
      <c r="J34" s="1245" t="s">
        <v>80</v>
      </c>
      <c r="K34" s="742" t="s">
        <v>81</v>
      </c>
      <c r="L34" s="239"/>
      <c r="M34" s="243" t="s">
        <v>129</v>
      </c>
      <c r="N34" s="225">
        <f>COUNTIF(G$1:G212,40)</f>
        <v>33</v>
      </c>
      <c r="O34" s="207"/>
      <c r="P34" s="829"/>
      <c r="Q34" s="207"/>
      <c r="R34" s="207"/>
      <c r="S34" s="207"/>
      <c r="T34" s="207"/>
      <c r="U34" s="9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</row>
    <row r="35" spans="1:31" ht="19.5" customHeight="1">
      <c r="A35" s="22"/>
      <c r="B35" s="14"/>
      <c r="C35" s="1227">
        <v>43990</v>
      </c>
      <c r="D35" s="1228">
        <v>50</v>
      </c>
      <c r="E35" s="1244" t="s">
        <v>497</v>
      </c>
      <c r="F35" s="1243" t="s">
        <v>9</v>
      </c>
      <c r="G35" s="1230">
        <v>40</v>
      </c>
      <c r="H35" s="1231" t="s">
        <v>118</v>
      </c>
      <c r="I35" s="1244" t="s">
        <v>54</v>
      </c>
      <c r="J35" s="1245" t="s">
        <v>80</v>
      </c>
      <c r="K35" s="741" t="s">
        <v>96</v>
      </c>
      <c r="L35" s="239"/>
      <c r="M35" s="243" t="s">
        <v>132</v>
      </c>
      <c r="N35" s="225">
        <f>COUNTIF(G$1:G212,65)</f>
        <v>33</v>
      </c>
      <c r="O35" s="48"/>
      <c r="P35" s="824"/>
      <c r="Q35" s="48"/>
      <c r="R35" s="48"/>
      <c r="S35" s="48"/>
      <c r="T35" s="48"/>
      <c r="U35" s="52"/>
    </row>
    <row r="36" spans="1:31" s="3" customFormat="1" ht="19.5" customHeight="1" thickBot="1">
      <c r="A36" s="186"/>
      <c r="B36" s="196"/>
      <c r="C36" s="1263">
        <v>43990</v>
      </c>
      <c r="D36" s="1228">
        <v>50</v>
      </c>
      <c r="E36" s="1265" t="s">
        <v>498</v>
      </c>
      <c r="F36" s="1243" t="s">
        <v>9</v>
      </c>
      <c r="G36" s="1230">
        <v>40</v>
      </c>
      <c r="H36" s="1244" t="s">
        <v>499</v>
      </c>
      <c r="I36" s="1244" t="s">
        <v>54</v>
      </c>
      <c r="J36" s="1245" t="s">
        <v>80</v>
      </c>
      <c r="K36" s="741" t="s">
        <v>96</v>
      </c>
      <c r="L36" s="239"/>
      <c r="M36" s="244" t="s">
        <v>134</v>
      </c>
      <c r="N36" s="226">
        <f>COUNTIF(G$1:G212,64)</f>
        <v>22</v>
      </c>
      <c r="O36" s="207"/>
      <c r="P36" s="829"/>
      <c r="Q36" s="207"/>
      <c r="R36" s="207"/>
      <c r="S36" s="207"/>
      <c r="T36" s="207"/>
      <c r="U36" s="9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</row>
    <row r="37" spans="1:31" s="3" customFormat="1" ht="19.5" customHeight="1">
      <c r="A37" s="186"/>
      <c r="B37" s="196"/>
      <c r="C37" s="1263">
        <v>43990</v>
      </c>
      <c r="D37" s="1228">
        <v>50</v>
      </c>
      <c r="E37" s="1265" t="s">
        <v>498</v>
      </c>
      <c r="F37" s="1243" t="s">
        <v>9</v>
      </c>
      <c r="G37" s="1230">
        <v>40</v>
      </c>
      <c r="H37" s="1244" t="s">
        <v>234</v>
      </c>
      <c r="I37" s="1244" t="s">
        <v>54</v>
      </c>
      <c r="J37" s="1245" t="s">
        <v>80</v>
      </c>
      <c r="K37" s="753" t="s">
        <v>96</v>
      </c>
      <c r="L37" s="239"/>
      <c r="M37" s="553"/>
      <c r="N37" s="554"/>
      <c r="O37" s="207"/>
      <c r="P37" s="829"/>
      <c r="Q37" s="207"/>
      <c r="R37" s="207"/>
      <c r="S37" s="207"/>
      <c r="T37" s="207"/>
      <c r="U37" s="9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</row>
    <row r="38" spans="1:31" s="3" customFormat="1" ht="19.5" customHeight="1">
      <c r="A38" s="186"/>
      <c r="B38" s="196"/>
      <c r="C38" s="1247">
        <v>43991</v>
      </c>
      <c r="D38" s="1228">
        <v>613</v>
      </c>
      <c r="E38" s="1242" t="s">
        <v>500</v>
      </c>
      <c r="F38" s="1243" t="s">
        <v>10</v>
      </c>
      <c r="G38" s="1248">
        <v>40</v>
      </c>
      <c r="H38" s="1244" t="s">
        <v>275</v>
      </c>
      <c r="I38" s="1244" t="s">
        <v>52</v>
      </c>
      <c r="J38" s="1245" t="s">
        <v>80</v>
      </c>
      <c r="K38" s="742" t="s">
        <v>96</v>
      </c>
      <c r="L38" s="239"/>
      <c r="M38" s="553"/>
      <c r="N38" s="554"/>
      <c r="O38" s="207"/>
      <c r="P38" s="752"/>
      <c r="Q38" s="207"/>
      <c r="R38" s="207"/>
      <c r="S38" s="207"/>
      <c r="T38" s="207"/>
      <c r="U38" s="9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</row>
    <row r="39" spans="1:31">
      <c r="A39" s="22"/>
      <c r="B39" s="14"/>
      <c r="C39" s="1263">
        <v>43991</v>
      </c>
      <c r="D39" s="1228">
        <v>613</v>
      </c>
      <c r="E39" s="1242" t="s">
        <v>501</v>
      </c>
      <c r="F39" s="1243" t="s">
        <v>9</v>
      </c>
      <c r="G39" s="1230">
        <v>40</v>
      </c>
      <c r="H39" s="1244" t="s">
        <v>118</v>
      </c>
      <c r="I39" s="1244" t="s">
        <v>51</v>
      </c>
      <c r="J39" s="1245" t="s">
        <v>80</v>
      </c>
      <c r="K39" s="753" t="s">
        <v>96</v>
      </c>
      <c r="L39" s="236"/>
      <c r="M39" s="1025"/>
      <c r="N39" s="48"/>
      <c r="O39" s="48"/>
      <c r="P39" s="752"/>
      <c r="Q39" s="48"/>
      <c r="R39" s="48"/>
      <c r="S39" s="48"/>
      <c r="T39" s="48"/>
      <c r="U39" s="52"/>
    </row>
    <row r="40" spans="1:31" s="3" customFormat="1">
      <c r="A40" s="186"/>
      <c r="B40" s="196"/>
      <c r="C40" s="1263">
        <v>43992</v>
      </c>
      <c r="D40" s="1228">
        <v>49</v>
      </c>
      <c r="E40" s="1260" t="s">
        <v>502</v>
      </c>
      <c r="F40" s="1243" t="s">
        <v>8</v>
      </c>
      <c r="G40" s="1230">
        <v>65</v>
      </c>
      <c r="H40" s="1244" t="s">
        <v>167</v>
      </c>
      <c r="I40" s="1244" t="s">
        <v>52</v>
      </c>
      <c r="J40" s="1245" t="s">
        <v>80</v>
      </c>
      <c r="K40" s="796" t="s">
        <v>81</v>
      </c>
      <c r="L40" s="236"/>
      <c r="M40" s="1025"/>
      <c r="N40" s="207"/>
      <c r="O40" s="207"/>
      <c r="P40" s="829"/>
      <c r="Q40" s="207"/>
      <c r="R40" s="207"/>
      <c r="S40" s="207"/>
      <c r="T40" s="207"/>
      <c r="U40" s="9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</row>
    <row r="41" spans="1:31" s="3" customFormat="1">
      <c r="A41" s="186"/>
      <c r="B41" s="196"/>
      <c r="C41" s="1227">
        <v>43992</v>
      </c>
      <c r="D41" s="1228">
        <v>613</v>
      </c>
      <c r="E41" s="1242" t="s">
        <v>503</v>
      </c>
      <c r="F41" s="1243" t="s">
        <v>10</v>
      </c>
      <c r="G41" s="1230">
        <v>40</v>
      </c>
      <c r="H41" s="1244" t="s">
        <v>275</v>
      </c>
      <c r="I41" s="1244" t="s">
        <v>51</v>
      </c>
      <c r="J41" s="1245" t="s">
        <v>80</v>
      </c>
      <c r="K41" s="796" t="s">
        <v>96</v>
      </c>
      <c r="L41" s="236"/>
      <c r="M41" s="1025"/>
      <c r="N41" s="207"/>
      <c r="O41" s="207"/>
      <c r="P41" s="829"/>
      <c r="Q41" s="207"/>
      <c r="R41" s="207"/>
      <c r="S41" s="207"/>
      <c r="T41" s="207"/>
      <c r="U41" s="9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</row>
    <row r="42" spans="1:31" s="3" customFormat="1">
      <c r="A42" s="186"/>
      <c r="B42" s="196"/>
      <c r="C42" s="1263">
        <v>43992</v>
      </c>
      <c r="D42" s="1228">
        <v>613</v>
      </c>
      <c r="E42" s="1242" t="s">
        <v>504</v>
      </c>
      <c r="F42" s="1243" t="s">
        <v>10</v>
      </c>
      <c r="G42" s="1230">
        <v>40</v>
      </c>
      <c r="H42" s="1244" t="s">
        <v>275</v>
      </c>
      <c r="I42" s="1244" t="s">
        <v>52</v>
      </c>
      <c r="J42" s="1245" t="s">
        <v>80</v>
      </c>
      <c r="K42" s="742" t="s">
        <v>96</v>
      </c>
      <c r="L42" s="236"/>
      <c r="M42" s="1025"/>
      <c r="N42" s="207"/>
      <c r="O42" s="207"/>
      <c r="P42" s="752"/>
      <c r="Q42" s="207"/>
      <c r="R42" s="207"/>
      <c r="S42" s="207"/>
      <c r="T42" s="207"/>
      <c r="U42" s="9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</row>
    <row r="43" spans="1:31" s="3" customFormat="1">
      <c r="A43" s="186"/>
      <c r="B43" s="196"/>
      <c r="C43" s="1263">
        <v>43992</v>
      </c>
      <c r="D43" s="1228">
        <v>52</v>
      </c>
      <c r="E43" s="1260" t="s">
        <v>477</v>
      </c>
      <c r="F43" s="1243" t="s">
        <v>8</v>
      </c>
      <c r="G43" s="1230">
        <v>65</v>
      </c>
      <c r="H43" s="1244" t="s">
        <v>196</v>
      </c>
      <c r="I43" s="1244" t="s">
        <v>50</v>
      </c>
      <c r="J43" s="1245" t="s">
        <v>80</v>
      </c>
      <c r="K43" s="753" t="s">
        <v>81</v>
      </c>
      <c r="L43" s="236"/>
      <c r="M43" s="1025"/>
      <c r="N43" s="207"/>
      <c r="O43" s="207"/>
      <c r="P43" s="752"/>
      <c r="Q43" s="207"/>
      <c r="R43" s="207"/>
      <c r="S43" s="207"/>
      <c r="T43" s="207"/>
      <c r="U43" s="9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</row>
    <row r="44" spans="1:31" s="3" customFormat="1">
      <c r="A44" s="186"/>
      <c r="B44" s="196"/>
      <c r="C44" s="1263">
        <v>43992</v>
      </c>
      <c r="D44" s="1228">
        <v>50</v>
      </c>
      <c r="E44" s="1242" t="s">
        <v>485</v>
      </c>
      <c r="F44" s="1243" t="s">
        <v>9</v>
      </c>
      <c r="G44" s="1230">
        <v>40</v>
      </c>
      <c r="H44" s="1244" t="s">
        <v>505</v>
      </c>
      <c r="I44" s="1244" t="s">
        <v>54</v>
      </c>
      <c r="J44" s="1245" t="s">
        <v>80</v>
      </c>
      <c r="K44" s="860"/>
      <c r="L44" s="236"/>
      <c r="M44" s="1025"/>
      <c r="N44" s="207"/>
      <c r="O44" s="207"/>
      <c r="P44" s="752"/>
      <c r="Q44" s="207"/>
      <c r="R44" s="207"/>
      <c r="S44" s="207"/>
      <c r="T44" s="207"/>
      <c r="U44" s="9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</row>
    <row r="45" spans="1:31" s="3" customFormat="1">
      <c r="A45" s="186"/>
      <c r="B45" s="196"/>
      <c r="C45" s="1263">
        <v>43992</v>
      </c>
      <c r="D45" s="1228">
        <v>613</v>
      </c>
      <c r="E45" s="1242" t="s">
        <v>506</v>
      </c>
      <c r="F45" s="1243" t="s">
        <v>9</v>
      </c>
      <c r="G45" s="1230">
        <v>40</v>
      </c>
      <c r="H45" s="1244" t="s">
        <v>507</v>
      </c>
      <c r="I45" s="1244" t="s">
        <v>52</v>
      </c>
      <c r="J45" s="1245" t="s">
        <v>80</v>
      </c>
      <c r="K45" s="741" t="s">
        <v>96</v>
      </c>
      <c r="L45" s="236"/>
      <c r="M45" s="1025"/>
      <c r="N45" s="207"/>
      <c r="O45" s="207"/>
      <c r="P45" s="752"/>
      <c r="Q45" s="207"/>
      <c r="R45" s="207"/>
      <c r="S45" s="207"/>
      <c r="T45" s="207"/>
      <c r="U45" s="9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</row>
    <row r="46" spans="1:31" s="3" customFormat="1" ht="16.5" customHeight="1">
      <c r="A46" s="186"/>
      <c r="B46" s="196"/>
      <c r="C46" s="1263">
        <v>43992</v>
      </c>
      <c r="D46" s="1228">
        <v>613</v>
      </c>
      <c r="E46" s="1242" t="s">
        <v>508</v>
      </c>
      <c r="F46" s="1243" t="s">
        <v>10</v>
      </c>
      <c r="G46" s="1230">
        <v>40</v>
      </c>
      <c r="H46" s="1244" t="s">
        <v>275</v>
      </c>
      <c r="I46" s="1244" t="s">
        <v>51</v>
      </c>
      <c r="J46" s="1245" t="s">
        <v>80</v>
      </c>
      <c r="K46" s="858"/>
      <c r="L46" s="236"/>
      <c r="M46" s="1025"/>
      <c r="N46" s="207"/>
      <c r="O46" s="207"/>
      <c r="P46" s="829"/>
      <c r="Q46" s="207"/>
      <c r="R46" s="207"/>
      <c r="S46" s="207"/>
      <c r="T46" s="207"/>
      <c r="U46" s="9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</row>
    <row r="47" spans="1:31" s="3" customFormat="1">
      <c r="A47" s="186"/>
      <c r="B47" s="196"/>
      <c r="C47" s="1263">
        <v>43992</v>
      </c>
      <c r="D47" s="1228">
        <v>613</v>
      </c>
      <c r="E47" s="1242" t="s">
        <v>508</v>
      </c>
      <c r="F47" s="1243" t="s">
        <v>9</v>
      </c>
      <c r="G47" s="1230">
        <v>40</v>
      </c>
      <c r="H47" s="1244" t="s">
        <v>295</v>
      </c>
      <c r="I47" s="1244" t="s">
        <v>51</v>
      </c>
      <c r="J47" s="1245" t="s">
        <v>80</v>
      </c>
      <c r="K47" s="858"/>
      <c r="L47" s="236"/>
      <c r="M47" s="1025"/>
      <c r="N47" s="241"/>
      <c r="O47" s="207"/>
      <c r="P47" s="829"/>
      <c r="Q47" s="207"/>
      <c r="R47" s="207"/>
      <c r="S47" s="207"/>
      <c r="T47" s="207"/>
      <c r="U47" s="9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</row>
    <row r="48" spans="1:31" s="3" customFormat="1">
      <c r="A48" s="186"/>
      <c r="B48" s="196"/>
      <c r="C48" s="1263">
        <v>43993</v>
      </c>
      <c r="D48" s="1228">
        <v>613</v>
      </c>
      <c r="E48" s="1242" t="s">
        <v>509</v>
      </c>
      <c r="F48" s="1243" t="s">
        <v>9</v>
      </c>
      <c r="G48" s="1230">
        <v>40</v>
      </c>
      <c r="H48" s="1242" t="s">
        <v>118</v>
      </c>
      <c r="I48" s="1244" t="s">
        <v>52</v>
      </c>
      <c r="J48" s="1245" t="s">
        <v>80</v>
      </c>
      <c r="K48" s="753" t="s">
        <v>96</v>
      </c>
      <c r="L48" s="239"/>
      <c r="M48" s="1025"/>
      <c r="N48" s="241"/>
      <c r="O48" s="207"/>
      <c r="P48" s="829"/>
      <c r="Q48" s="207"/>
      <c r="R48" s="207"/>
      <c r="S48" s="207"/>
      <c r="T48" s="207"/>
      <c r="U48" s="9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</row>
    <row r="49" spans="1:34" s="3" customFormat="1">
      <c r="A49" s="186"/>
      <c r="B49" s="196"/>
      <c r="C49" s="1263">
        <v>43993</v>
      </c>
      <c r="D49" s="1228">
        <v>613</v>
      </c>
      <c r="E49" s="1265" t="s">
        <v>510</v>
      </c>
      <c r="F49" s="1243" t="s">
        <v>9</v>
      </c>
      <c r="G49" s="1230">
        <v>40</v>
      </c>
      <c r="H49" s="1244" t="s">
        <v>295</v>
      </c>
      <c r="I49" s="1244" t="s">
        <v>52</v>
      </c>
      <c r="J49" s="1245" t="s">
        <v>80</v>
      </c>
      <c r="K49" s="753" t="s">
        <v>96</v>
      </c>
      <c r="L49" s="239"/>
      <c r="M49" s="1025"/>
      <c r="N49" s="241"/>
      <c r="O49" s="207"/>
      <c r="P49" s="829"/>
      <c r="Q49" s="207"/>
      <c r="R49" s="207"/>
      <c r="S49" s="207"/>
      <c r="T49" s="207"/>
      <c r="U49" s="9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</row>
    <row r="50" spans="1:34" s="3" customFormat="1">
      <c r="A50" s="186"/>
      <c r="B50" s="196"/>
      <c r="C50" s="1263">
        <v>43993</v>
      </c>
      <c r="D50" s="1228">
        <v>52</v>
      </c>
      <c r="E50" s="1265" t="s">
        <v>460</v>
      </c>
      <c r="F50" s="1243" t="s">
        <v>8</v>
      </c>
      <c r="G50" s="1230">
        <v>65</v>
      </c>
      <c r="H50" s="1244" t="s">
        <v>167</v>
      </c>
      <c r="I50" s="1244" t="s">
        <v>50</v>
      </c>
      <c r="J50" s="1245" t="s">
        <v>80</v>
      </c>
      <c r="K50" s="753" t="s">
        <v>81</v>
      </c>
      <c r="L50" s="239"/>
      <c r="M50" s="1025"/>
      <c r="N50" s="241"/>
      <c r="O50" s="207"/>
      <c r="P50" s="829"/>
      <c r="Q50" s="207"/>
      <c r="R50" s="207"/>
      <c r="S50" s="207"/>
      <c r="T50" s="207"/>
      <c r="U50" s="9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</row>
    <row r="51" spans="1:34" s="3" customFormat="1">
      <c r="A51" s="186"/>
      <c r="B51" s="196"/>
      <c r="C51" s="1263">
        <v>43993</v>
      </c>
      <c r="D51" s="1228">
        <v>613</v>
      </c>
      <c r="E51" s="1273" t="s">
        <v>509</v>
      </c>
      <c r="F51" s="1243" t="s">
        <v>9</v>
      </c>
      <c r="G51" s="1230">
        <v>40</v>
      </c>
      <c r="H51" s="1244" t="s">
        <v>118</v>
      </c>
      <c r="I51" s="1244" t="s">
        <v>52</v>
      </c>
      <c r="J51" s="1245" t="s">
        <v>80</v>
      </c>
      <c r="K51" s="753" t="s">
        <v>96</v>
      </c>
      <c r="L51" s="239"/>
      <c r="M51" s="1025"/>
      <c r="N51" s="241"/>
      <c r="O51" s="207"/>
      <c r="P51" s="752"/>
      <c r="Q51" s="207"/>
      <c r="R51" s="207"/>
      <c r="S51" s="207"/>
      <c r="T51" s="207"/>
      <c r="U51" s="9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</row>
    <row r="52" spans="1:34" s="3" customFormat="1">
      <c r="A52" s="186"/>
      <c r="B52" s="196"/>
      <c r="C52" s="1263">
        <v>43993</v>
      </c>
      <c r="D52" s="1228">
        <v>613</v>
      </c>
      <c r="E52" s="1229" t="s">
        <v>511</v>
      </c>
      <c r="F52" s="1243" t="s">
        <v>10</v>
      </c>
      <c r="G52" s="1230">
        <v>40</v>
      </c>
      <c r="H52" s="1244" t="s">
        <v>275</v>
      </c>
      <c r="I52" s="1244" t="s">
        <v>52</v>
      </c>
      <c r="J52" s="1245" t="s">
        <v>80</v>
      </c>
      <c r="K52" s="796" t="s">
        <v>96</v>
      </c>
      <c r="L52" s="239"/>
      <c r="M52" s="1025"/>
      <c r="N52" s="241"/>
      <c r="O52" s="207"/>
      <c r="P52" s="752"/>
      <c r="Q52" s="207"/>
      <c r="R52" s="207"/>
      <c r="S52" s="207"/>
      <c r="T52" s="207"/>
      <c r="U52" s="9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</row>
    <row r="53" spans="1:34">
      <c r="A53" s="22"/>
      <c r="B53" s="14"/>
      <c r="C53" s="1263">
        <v>43993</v>
      </c>
      <c r="D53" s="1228">
        <v>613</v>
      </c>
      <c r="E53" s="1265" t="s">
        <v>509</v>
      </c>
      <c r="F53" s="1243" t="s">
        <v>9</v>
      </c>
      <c r="G53" s="1230">
        <v>40</v>
      </c>
      <c r="H53" s="1244" t="s">
        <v>234</v>
      </c>
      <c r="I53" s="1244" t="s">
        <v>52</v>
      </c>
      <c r="J53" s="1245" t="s">
        <v>80</v>
      </c>
      <c r="K53" s="741" t="s">
        <v>96</v>
      </c>
      <c r="L53" s="239"/>
      <c r="M53" s="1025"/>
      <c r="N53" s="48"/>
      <c r="O53" s="48"/>
      <c r="P53" s="752"/>
      <c r="Q53" s="48"/>
      <c r="R53" s="48"/>
      <c r="S53" s="48"/>
      <c r="T53" s="48"/>
      <c r="U53" s="52"/>
    </row>
    <row r="54" spans="1:34">
      <c r="A54" s="22"/>
      <c r="B54" s="14"/>
      <c r="C54" s="1263">
        <v>43994</v>
      </c>
      <c r="D54" s="1228">
        <v>613</v>
      </c>
      <c r="E54" s="1229" t="s">
        <v>512</v>
      </c>
      <c r="F54" s="1243" t="s">
        <v>10</v>
      </c>
      <c r="G54" s="1230">
        <v>40</v>
      </c>
      <c r="H54" s="1244" t="s">
        <v>275</v>
      </c>
      <c r="I54" s="1244" t="s">
        <v>51</v>
      </c>
      <c r="J54" s="1245" t="s">
        <v>80</v>
      </c>
      <c r="K54" s="742" t="s">
        <v>96</v>
      </c>
      <c r="L54" s="239"/>
      <c r="M54" s="1025"/>
      <c r="N54" s="48"/>
      <c r="O54" s="48"/>
      <c r="P54" s="829"/>
      <c r="Q54" s="48"/>
      <c r="R54" s="48"/>
      <c r="S54" s="48"/>
      <c r="T54" s="48"/>
      <c r="U54" s="52"/>
    </row>
    <row r="55" spans="1:34">
      <c r="A55" s="22"/>
      <c r="B55" s="14"/>
      <c r="C55" s="1227">
        <v>43994</v>
      </c>
      <c r="D55" s="1228"/>
      <c r="E55" s="1260" t="s">
        <v>513</v>
      </c>
      <c r="F55" s="1243" t="s">
        <v>8</v>
      </c>
      <c r="G55" s="1230">
        <v>64</v>
      </c>
      <c r="H55" s="1231" t="s">
        <v>184</v>
      </c>
      <c r="I55" s="1244" t="s">
        <v>52</v>
      </c>
      <c r="J55" s="1245" t="s">
        <v>80</v>
      </c>
      <c r="K55" s="741" t="s">
        <v>81</v>
      </c>
      <c r="L55" s="240"/>
      <c r="M55" s="1025"/>
      <c r="N55" s="48"/>
      <c r="O55" s="48"/>
      <c r="P55" s="829"/>
      <c r="Q55" s="48"/>
      <c r="R55" s="48"/>
      <c r="S55" s="48"/>
      <c r="T55" s="48"/>
      <c r="U55" s="52"/>
    </row>
    <row r="56" spans="1:34" s="3" customFormat="1">
      <c r="A56" s="186"/>
      <c r="B56" s="196"/>
      <c r="C56" s="1263">
        <v>43994</v>
      </c>
      <c r="D56" s="1228"/>
      <c r="E56" s="1260" t="s">
        <v>514</v>
      </c>
      <c r="F56" s="1243" t="s">
        <v>8</v>
      </c>
      <c r="G56" s="1230">
        <v>65</v>
      </c>
      <c r="H56" s="1244" t="s">
        <v>515</v>
      </c>
      <c r="I56" s="1244" t="s">
        <v>50</v>
      </c>
      <c r="J56" s="1245" t="s">
        <v>80</v>
      </c>
      <c r="K56" s="753" t="s">
        <v>81</v>
      </c>
      <c r="L56" s="236"/>
      <c r="M56" s="1025"/>
      <c r="N56" s="207"/>
      <c r="O56" s="207"/>
      <c r="P56" s="829"/>
      <c r="Q56" s="207"/>
      <c r="R56" s="207"/>
      <c r="S56" s="207"/>
      <c r="T56" s="207"/>
      <c r="U56" s="9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</row>
    <row r="57" spans="1:34" s="3" customFormat="1">
      <c r="A57" s="186"/>
      <c r="B57" s="196"/>
      <c r="C57" s="1263">
        <v>43994</v>
      </c>
      <c r="D57" s="1228"/>
      <c r="E57" s="1260" t="s">
        <v>514</v>
      </c>
      <c r="F57" s="1243" t="s">
        <v>9</v>
      </c>
      <c r="G57" s="1230">
        <v>65</v>
      </c>
      <c r="H57" s="1244" t="s">
        <v>515</v>
      </c>
      <c r="I57" s="1244" t="s">
        <v>50</v>
      </c>
      <c r="J57" s="1245" t="s">
        <v>80</v>
      </c>
      <c r="K57" s="753" t="s">
        <v>96</v>
      </c>
      <c r="L57" s="236"/>
      <c r="M57" s="1025"/>
      <c r="N57" s="207"/>
      <c r="O57" s="207"/>
      <c r="P57" s="829"/>
      <c r="Q57" s="207"/>
      <c r="R57" s="207"/>
      <c r="S57" s="207"/>
      <c r="T57" s="207"/>
      <c r="U57" s="9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</row>
    <row r="58" spans="1:34" s="3" customFormat="1">
      <c r="A58" s="186"/>
      <c r="B58" s="196"/>
      <c r="C58" s="1227">
        <v>43996</v>
      </c>
      <c r="D58" s="1228"/>
      <c r="E58" s="1260" t="s">
        <v>514</v>
      </c>
      <c r="F58" s="1243" t="s">
        <v>9</v>
      </c>
      <c r="G58" s="1230">
        <v>65</v>
      </c>
      <c r="H58" s="1244" t="s">
        <v>79</v>
      </c>
      <c r="I58" s="1244" t="s">
        <v>50</v>
      </c>
      <c r="J58" s="1245" t="s">
        <v>80</v>
      </c>
      <c r="K58" s="753" t="s">
        <v>96</v>
      </c>
      <c r="L58" s="239"/>
      <c r="M58" s="1025"/>
      <c r="N58" s="207"/>
      <c r="O58" s="207"/>
      <c r="P58" s="752"/>
      <c r="Q58" s="207"/>
      <c r="R58" s="207"/>
      <c r="S58" s="207"/>
      <c r="T58" s="207"/>
      <c r="U58" s="9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245"/>
      <c r="AG58" s="245"/>
    </row>
    <row r="59" spans="1:34" s="3" customFormat="1">
      <c r="A59" s="186"/>
      <c r="B59" s="196"/>
      <c r="C59" s="1227">
        <v>43997</v>
      </c>
      <c r="D59" s="1228"/>
      <c r="E59" s="1260" t="s">
        <v>516</v>
      </c>
      <c r="F59" s="1243" t="s">
        <v>8</v>
      </c>
      <c r="G59" s="1230">
        <v>65</v>
      </c>
      <c r="H59" s="1244" t="s">
        <v>79</v>
      </c>
      <c r="I59" s="1244" t="s">
        <v>50</v>
      </c>
      <c r="J59" s="1245" t="s">
        <v>80</v>
      </c>
      <c r="K59" s="741" t="s">
        <v>81</v>
      </c>
      <c r="L59" s="239"/>
      <c r="M59" s="1025"/>
      <c r="N59" s="207"/>
      <c r="O59" s="207"/>
      <c r="P59" s="752"/>
      <c r="Q59" s="207"/>
      <c r="R59" s="207"/>
      <c r="S59" s="207"/>
      <c r="T59" s="207"/>
      <c r="U59" s="9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245"/>
      <c r="AG59" s="245"/>
    </row>
    <row r="60" spans="1:34" s="3" customFormat="1" ht="15.75" customHeight="1">
      <c r="A60" s="186"/>
      <c r="B60" s="196"/>
      <c r="C60" s="1263">
        <v>43998</v>
      </c>
      <c r="D60" s="1228"/>
      <c r="E60" s="1260" t="s">
        <v>517</v>
      </c>
      <c r="F60" s="1243" t="s">
        <v>9</v>
      </c>
      <c r="G60" s="1230">
        <v>65</v>
      </c>
      <c r="H60" s="1244" t="s">
        <v>518</v>
      </c>
      <c r="I60" s="1244" t="s">
        <v>50</v>
      </c>
      <c r="J60" s="1245" t="s">
        <v>80</v>
      </c>
      <c r="K60" s="741" t="s">
        <v>81</v>
      </c>
      <c r="L60" s="239"/>
      <c r="M60" s="1025"/>
      <c r="N60" s="207"/>
      <c r="O60" s="207"/>
      <c r="P60" s="752"/>
      <c r="Q60" s="207"/>
      <c r="R60" s="207"/>
      <c r="S60" s="207"/>
      <c r="T60" s="207"/>
      <c r="U60" s="9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245"/>
      <c r="AG60" s="245"/>
    </row>
    <row r="61" spans="1:34" s="3" customFormat="1">
      <c r="A61" s="186"/>
      <c r="B61" s="196"/>
      <c r="C61" s="1227">
        <v>44000</v>
      </c>
      <c r="D61" s="1228"/>
      <c r="E61" s="1260" t="s">
        <v>519</v>
      </c>
      <c r="F61" s="1243" t="s">
        <v>8</v>
      </c>
      <c r="G61" s="1230">
        <v>65</v>
      </c>
      <c r="H61" s="1244" t="s">
        <v>79</v>
      </c>
      <c r="I61" s="1244" t="s">
        <v>50</v>
      </c>
      <c r="J61" s="1245" t="s">
        <v>80</v>
      </c>
      <c r="K61" s="753" t="s">
        <v>81</v>
      </c>
      <c r="L61" s="239"/>
      <c r="M61" s="1025"/>
      <c r="N61" s="207"/>
      <c r="O61" s="207"/>
      <c r="P61" s="752"/>
      <c r="Q61" s="207"/>
      <c r="R61" s="207"/>
      <c r="S61" s="207"/>
      <c r="T61" s="207"/>
      <c r="U61" s="9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245"/>
      <c r="AG61" s="245"/>
    </row>
    <row r="62" spans="1:34" s="3" customFormat="1">
      <c r="A62" s="186"/>
      <c r="B62" s="196"/>
      <c r="C62" s="1263">
        <v>44000</v>
      </c>
      <c r="D62" s="1228"/>
      <c r="E62" s="1260" t="s">
        <v>520</v>
      </c>
      <c r="F62" s="1243" t="s">
        <v>9</v>
      </c>
      <c r="G62" s="1230">
        <v>65</v>
      </c>
      <c r="H62" s="1244" t="s">
        <v>79</v>
      </c>
      <c r="I62" s="1244" t="s">
        <v>50</v>
      </c>
      <c r="J62" s="1245" t="s">
        <v>80</v>
      </c>
      <c r="K62" s="753" t="s">
        <v>96</v>
      </c>
      <c r="L62" s="239"/>
      <c r="M62" s="1025"/>
      <c r="N62" s="207"/>
      <c r="O62" s="207"/>
      <c r="P62" s="831"/>
      <c r="Q62" s="207"/>
      <c r="R62" s="207"/>
      <c r="S62" s="207"/>
      <c r="T62" s="207"/>
      <c r="U62" s="9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245"/>
      <c r="AG62" s="245"/>
    </row>
    <row r="63" spans="1:34" s="3" customFormat="1">
      <c r="A63" s="186"/>
      <c r="B63" s="196"/>
      <c r="C63" s="1263">
        <v>44000</v>
      </c>
      <c r="D63" s="1228"/>
      <c r="E63" s="1260" t="s">
        <v>519</v>
      </c>
      <c r="F63" s="1243" t="s">
        <v>8</v>
      </c>
      <c r="G63" s="1230">
        <v>65</v>
      </c>
      <c r="H63" s="1244" t="s">
        <v>193</v>
      </c>
      <c r="I63" s="1244" t="s">
        <v>50</v>
      </c>
      <c r="J63" s="1245" t="s">
        <v>80</v>
      </c>
      <c r="K63" s="753" t="s">
        <v>81</v>
      </c>
      <c r="L63" s="236"/>
      <c r="M63" s="1025"/>
      <c r="N63" s="207"/>
      <c r="O63" s="207"/>
      <c r="P63" s="752"/>
      <c r="Q63" s="207"/>
      <c r="R63" s="207"/>
      <c r="S63" s="207"/>
      <c r="T63" s="207"/>
      <c r="U63" s="96"/>
      <c r="V63" s="31"/>
      <c r="W63" s="31"/>
      <c r="X63" s="237"/>
      <c r="Y63" s="23"/>
      <c r="Z63" s="1013"/>
      <c r="AA63" s="1057"/>
      <c r="AB63" s="1057"/>
      <c r="AC63" s="1057"/>
      <c r="AD63" s="1057"/>
      <c r="AE63" s="23"/>
      <c r="AF63" s="48"/>
      <c r="AG63" s="594"/>
      <c r="AH63"/>
    </row>
    <row r="64" spans="1:34" s="3" customFormat="1">
      <c r="A64" s="186"/>
      <c r="B64" s="196"/>
      <c r="C64" s="1263">
        <v>44000</v>
      </c>
      <c r="D64" s="1228"/>
      <c r="E64" s="1260" t="s">
        <v>519</v>
      </c>
      <c r="F64" s="1243" t="s">
        <v>9</v>
      </c>
      <c r="G64" s="1230">
        <v>65</v>
      </c>
      <c r="H64" s="1244" t="s">
        <v>193</v>
      </c>
      <c r="I64" s="1244" t="s">
        <v>50</v>
      </c>
      <c r="J64" s="1245" t="s">
        <v>80</v>
      </c>
      <c r="K64" s="753" t="s">
        <v>96</v>
      </c>
      <c r="L64" s="236"/>
      <c r="M64" s="1025"/>
      <c r="N64" s="48"/>
      <c r="O64" s="207"/>
      <c r="P64" s="752"/>
      <c r="Q64" s="207"/>
      <c r="R64" s="207"/>
      <c r="S64" s="207"/>
      <c r="T64" s="207"/>
      <c r="U64" s="96"/>
      <c r="V64" s="31"/>
      <c r="W64" s="31"/>
      <c r="X64" s="237"/>
      <c r="Y64" s="23"/>
      <c r="Z64" s="1013"/>
      <c r="AA64" s="1057"/>
      <c r="AB64" s="1057"/>
      <c r="AC64" s="1057"/>
      <c r="AD64" s="1057"/>
      <c r="AE64" s="23"/>
      <c r="AF64" s="48"/>
      <c r="AG64" s="594"/>
      <c r="AH64"/>
    </row>
    <row r="65" spans="1:34" s="3" customFormat="1">
      <c r="A65" s="186"/>
      <c r="B65" s="196"/>
      <c r="C65" s="1263">
        <v>44000</v>
      </c>
      <c r="D65" s="1228"/>
      <c r="E65" s="1260" t="s">
        <v>521</v>
      </c>
      <c r="F65" s="1243" t="s">
        <v>8</v>
      </c>
      <c r="G65" s="1230">
        <v>64</v>
      </c>
      <c r="H65" s="1244" t="s">
        <v>469</v>
      </c>
      <c r="I65" s="1244" t="s">
        <v>50</v>
      </c>
      <c r="J65" s="1245" t="s">
        <v>80</v>
      </c>
      <c r="K65" s="753" t="s">
        <v>81</v>
      </c>
      <c r="L65" s="236"/>
      <c r="M65" s="1025"/>
      <c r="N65" s="48"/>
      <c r="O65" s="207"/>
      <c r="P65" s="829"/>
      <c r="Q65" s="207"/>
      <c r="R65" s="207"/>
      <c r="S65" s="207"/>
      <c r="T65" s="207"/>
      <c r="U65" s="96"/>
      <c r="V65" s="31"/>
      <c r="W65" s="31"/>
      <c r="X65" s="237"/>
      <c r="Y65" s="23"/>
      <c r="Z65" s="1013"/>
      <c r="AA65" s="1057"/>
      <c r="AB65" s="1057"/>
      <c r="AC65" s="1057"/>
      <c r="AD65" s="1057"/>
      <c r="AE65" s="23"/>
      <c r="AF65" s="48"/>
      <c r="AG65" s="594"/>
      <c r="AH65"/>
    </row>
    <row r="66" spans="1:34" s="3" customFormat="1">
      <c r="A66" s="186"/>
      <c r="B66" s="196"/>
      <c r="C66" s="1263">
        <v>44000</v>
      </c>
      <c r="D66" s="1228"/>
      <c r="E66" s="1260" t="s">
        <v>521</v>
      </c>
      <c r="F66" s="1243" t="s">
        <v>8</v>
      </c>
      <c r="G66" s="1230">
        <v>64</v>
      </c>
      <c r="H66" s="1244" t="s">
        <v>396</v>
      </c>
      <c r="I66" s="1244" t="s">
        <v>50</v>
      </c>
      <c r="J66" s="1245" t="s">
        <v>80</v>
      </c>
      <c r="K66" s="753" t="s">
        <v>81</v>
      </c>
      <c r="L66" s="236"/>
      <c r="M66" s="1025"/>
      <c r="N66" s="48"/>
      <c r="O66" s="207"/>
      <c r="P66" s="829"/>
      <c r="Q66" s="207"/>
      <c r="R66" s="207"/>
      <c r="S66" s="207"/>
      <c r="T66" s="207"/>
      <c r="U66" s="96"/>
      <c r="V66" s="31"/>
      <c r="W66" s="31"/>
      <c r="X66" s="237"/>
      <c r="Y66" s="23"/>
      <c r="Z66" s="1013"/>
      <c r="AA66" s="1057"/>
      <c r="AB66" s="1057"/>
      <c r="AC66" s="1057"/>
      <c r="AD66" s="1057"/>
      <c r="AE66" s="23"/>
      <c r="AF66" s="48"/>
      <c r="AG66" s="594"/>
      <c r="AH66"/>
    </row>
    <row r="67" spans="1:34" s="3" customFormat="1">
      <c r="A67" s="186"/>
      <c r="B67" s="196"/>
      <c r="C67" s="1263">
        <v>44001</v>
      </c>
      <c r="D67" s="1228">
        <v>58</v>
      </c>
      <c r="E67" s="1265" t="s">
        <v>522</v>
      </c>
      <c r="F67" s="1243" t="s">
        <v>9</v>
      </c>
      <c r="G67" s="1230">
        <v>65</v>
      </c>
      <c r="H67" s="1242" t="s">
        <v>243</v>
      </c>
      <c r="I67" s="1244" t="s">
        <v>50</v>
      </c>
      <c r="J67" s="1245" t="s">
        <v>80</v>
      </c>
      <c r="K67" s="741" t="s">
        <v>96</v>
      </c>
      <c r="L67" s="236"/>
      <c r="M67" s="1025"/>
      <c r="N67" s="48"/>
      <c r="O67" s="207"/>
      <c r="P67" s="829"/>
      <c r="Q67" s="207"/>
      <c r="R67" s="207"/>
      <c r="S67" s="207"/>
      <c r="T67" s="207"/>
      <c r="U67" s="96"/>
      <c r="V67" s="31"/>
      <c r="W67" s="31"/>
      <c r="X67" s="237"/>
      <c r="Y67" s="23"/>
      <c r="Z67" s="270"/>
      <c r="AA67" s="1011"/>
      <c r="AB67" s="1011"/>
      <c r="AC67" s="23"/>
      <c r="AD67" s="23"/>
      <c r="AE67" s="23"/>
      <c r="AF67" s="48"/>
      <c r="AG67" s="594"/>
      <c r="AH67"/>
    </row>
    <row r="68" spans="1:34" s="3" customFormat="1">
      <c r="A68" s="186"/>
      <c r="B68" s="196"/>
      <c r="C68" s="1263">
        <v>44002</v>
      </c>
      <c r="D68" s="1228">
        <v>59</v>
      </c>
      <c r="E68" s="1260" t="s">
        <v>523</v>
      </c>
      <c r="F68" s="1243" t="s">
        <v>9</v>
      </c>
      <c r="G68" s="1230">
        <v>40</v>
      </c>
      <c r="H68" s="1244" t="s">
        <v>118</v>
      </c>
      <c r="I68" s="1244" t="s">
        <v>50</v>
      </c>
      <c r="J68" s="1245" t="s">
        <v>80</v>
      </c>
      <c r="K68" s="741" t="s">
        <v>96</v>
      </c>
      <c r="L68" s="209"/>
      <c r="M68" s="1025"/>
      <c r="N68" s="48"/>
      <c r="O68" s="207"/>
      <c r="P68" s="752"/>
      <c r="Q68" s="207"/>
      <c r="R68" s="207"/>
      <c r="S68" s="207"/>
      <c r="T68" s="207"/>
      <c r="U68" s="96"/>
      <c r="V68" s="31"/>
      <c r="W68" s="31"/>
      <c r="X68" s="237"/>
      <c r="Y68" s="23"/>
      <c r="Z68" s="23"/>
      <c r="AA68" s="23"/>
      <c r="AB68" s="23"/>
      <c r="AC68" s="23"/>
      <c r="AD68" s="23"/>
      <c r="AE68" s="23"/>
      <c r="AF68" s="48"/>
      <c r="AG68" s="594"/>
      <c r="AH68"/>
    </row>
    <row r="69" spans="1:34" s="3" customFormat="1">
      <c r="A69" s="186"/>
      <c r="B69" s="196"/>
      <c r="C69" s="1263">
        <v>44002</v>
      </c>
      <c r="D69" s="1228">
        <v>58</v>
      </c>
      <c r="E69" s="1266" t="s">
        <v>524</v>
      </c>
      <c r="F69" s="1243" t="s">
        <v>9</v>
      </c>
      <c r="G69" s="1230">
        <v>65</v>
      </c>
      <c r="H69" s="1244" t="s">
        <v>525</v>
      </c>
      <c r="I69" s="1244" t="s">
        <v>50</v>
      </c>
      <c r="J69" s="1245" t="s">
        <v>80</v>
      </c>
      <c r="K69" s="741" t="s">
        <v>96</v>
      </c>
      <c r="L69" s="209"/>
      <c r="M69" s="1025"/>
      <c r="N69" s="48"/>
      <c r="O69" s="207"/>
      <c r="P69" s="829"/>
      <c r="Q69" s="207"/>
      <c r="R69" s="207"/>
      <c r="S69" s="207"/>
      <c r="T69" s="207"/>
      <c r="U69" s="96"/>
      <c r="V69" s="186"/>
      <c r="W69" s="186"/>
      <c r="X69" s="186"/>
      <c r="Y69" s="31"/>
      <c r="Z69" s="31"/>
      <c r="AA69" s="31"/>
      <c r="AB69" s="31"/>
      <c r="AC69" s="31"/>
      <c r="AD69" s="31"/>
      <c r="AE69" s="31"/>
      <c r="AF69" s="207"/>
      <c r="AG69" s="245"/>
    </row>
    <row r="70" spans="1:34" s="3" customFormat="1">
      <c r="A70" s="186"/>
      <c r="B70" s="196"/>
      <c r="C70" s="1263">
        <v>44002</v>
      </c>
      <c r="D70" s="1228">
        <v>59</v>
      </c>
      <c r="E70" s="1260" t="s">
        <v>523</v>
      </c>
      <c r="F70" s="1243" t="s">
        <v>9</v>
      </c>
      <c r="G70" s="1230">
        <v>40</v>
      </c>
      <c r="H70" s="1244" t="s">
        <v>234</v>
      </c>
      <c r="I70" s="1244" t="s">
        <v>50</v>
      </c>
      <c r="J70" s="1245" t="s">
        <v>80</v>
      </c>
      <c r="K70" s="741" t="s">
        <v>96</v>
      </c>
      <c r="L70" s="207"/>
      <c r="M70" s="1025"/>
      <c r="N70" s="48"/>
      <c r="O70" s="207"/>
      <c r="P70" s="829"/>
      <c r="Q70" s="207"/>
      <c r="R70" s="207"/>
      <c r="S70" s="207"/>
      <c r="T70" s="207"/>
      <c r="U70" s="9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245"/>
      <c r="AG70" s="245"/>
    </row>
    <row r="71" spans="1:34" s="3" customFormat="1">
      <c r="A71" s="186"/>
      <c r="B71" s="196"/>
      <c r="C71" s="1263">
        <v>44004</v>
      </c>
      <c r="D71" s="1228">
        <v>57</v>
      </c>
      <c r="E71" s="1260" t="s">
        <v>524</v>
      </c>
      <c r="F71" s="1243" t="s">
        <v>8</v>
      </c>
      <c r="G71" s="1230">
        <v>64</v>
      </c>
      <c r="H71" s="1242" t="s">
        <v>184</v>
      </c>
      <c r="I71" s="1244" t="s">
        <v>50</v>
      </c>
      <c r="J71" s="1245" t="s">
        <v>80</v>
      </c>
      <c r="K71" s="741" t="s">
        <v>8</v>
      </c>
      <c r="L71" s="207"/>
      <c r="M71" s="207"/>
      <c r="N71" s="48"/>
      <c r="O71" s="207"/>
      <c r="P71" s="829"/>
      <c r="Q71" s="207"/>
      <c r="R71" s="207"/>
      <c r="S71" s="207"/>
      <c r="T71" s="207"/>
      <c r="U71" s="9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245"/>
      <c r="AG71" s="245"/>
    </row>
    <row r="72" spans="1:34" s="3" customFormat="1">
      <c r="A72" s="186"/>
      <c r="B72" s="196"/>
      <c r="C72" s="1263">
        <v>44004</v>
      </c>
      <c r="D72" s="1228">
        <v>59</v>
      </c>
      <c r="E72" s="1274" t="s">
        <v>526</v>
      </c>
      <c r="F72" s="1243" t="s">
        <v>9</v>
      </c>
      <c r="G72" s="1230">
        <v>40</v>
      </c>
      <c r="H72" s="1244" t="s">
        <v>527</v>
      </c>
      <c r="I72" s="1244" t="s">
        <v>50</v>
      </c>
      <c r="J72" s="1245" t="s">
        <v>80</v>
      </c>
      <c r="K72" s="753" t="s">
        <v>96</v>
      </c>
      <c r="L72" s="207"/>
      <c r="M72" s="207"/>
      <c r="N72" s="48"/>
      <c r="O72" s="207"/>
      <c r="P72" s="829"/>
      <c r="Q72" s="207"/>
      <c r="R72" s="207"/>
      <c r="S72" s="207"/>
      <c r="T72" s="207"/>
      <c r="U72" s="9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245"/>
      <c r="AG72" s="245"/>
    </row>
    <row r="73" spans="1:34">
      <c r="A73" s="22"/>
      <c r="B73" s="14"/>
      <c r="C73" s="1263">
        <v>44005</v>
      </c>
      <c r="D73" s="1228">
        <v>57</v>
      </c>
      <c r="E73" s="1260" t="s">
        <v>528</v>
      </c>
      <c r="F73" s="1243" t="s">
        <v>10</v>
      </c>
      <c r="G73" s="1230">
        <v>64</v>
      </c>
      <c r="H73" s="1231" t="s">
        <v>331</v>
      </c>
      <c r="I73" s="1244" t="s">
        <v>50</v>
      </c>
      <c r="J73" s="1245" t="s">
        <v>80</v>
      </c>
      <c r="K73" s="742" t="s">
        <v>96</v>
      </c>
      <c r="L73" s="207"/>
      <c r="M73" s="1025"/>
      <c r="N73" s="48"/>
      <c r="O73" s="209"/>
      <c r="P73" s="829"/>
      <c r="Q73" s="48"/>
      <c r="R73" s="48"/>
      <c r="S73" s="48"/>
      <c r="T73" s="48"/>
      <c r="U73" s="52"/>
    </row>
    <row r="74" spans="1:34" s="3" customFormat="1">
      <c r="A74" s="186"/>
      <c r="B74" s="196"/>
      <c r="C74" s="1275"/>
      <c r="D74" s="1276"/>
      <c r="E74" s="1277"/>
      <c r="F74" s="1278"/>
      <c r="G74" s="1271"/>
      <c r="H74" s="1279"/>
      <c r="I74" s="1279"/>
      <c r="J74" s="1245"/>
      <c r="K74" s="741"/>
      <c r="L74" s="207"/>
      <c r="M74" s="1025"/>
      <c r="N74" s="207"/>
      <c r="O74" s="207"/>
      <c r="P74" s="829"/>
      <c r="Q74" s="207"/>
      <c r="R74" s="207"/>
      <c r="S74" s="207"/>
      <c r="T74" s="207"/>
      <c r="U74" s="9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</row>
    <row r="75" spans="1:34" s="3" customFormat="1">
      <c r="A75" s="186"/>
      <c r="B75" s="196"/>
      <c r="C75" s="1263">
        <v>44005</v>
      </c>
      <c r="D75" s="1228">
        <v>57</v>
      </c>
      <c r="E75" s="1260" t="s">
        <v>529</v>
      </c>
      <c r="F75" s="1243" t="s">
        <v>8</v>
      </c>
      <c r="G75" s="1230">
        <v>64</v>
      </c>
      <c r="H75" s="1229" t="s">
        <v>469</v>
      </c>
      <c r="I75" s="1244" t="s">
        <v>50</v>
      </c>
      <c r="J75" s="1245" t="s">
        <v>80</v>
      </c>
      <c r="K75" s="741" t="s">
        <v>8</v>
      </c>
      <c r="L75" s="207"/>
      <c r="M75" s="1025"/>
      <c r="N75" s="207"/>
      <c r="O75" s="207"/>
      <c r="P75" s="752"/>
      <c r="Q75" s="207"/>
      <c r="R75" s="207"/>
      <c r="S75" s="207"/>
      <c r="T75" s="207"/>
      <c r="U75" s="9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</row>
    <row r="76" spans="1:34" s="3" customFormat="1" ht="14.25" customHeight="1">
      <c r="A76" s="186"/>
      <c r="B76" s="196"/>
      <c r="C76" s="1263">
        <v>44005</v>
      </c>
      <c r="D76" s="1280">
        <v>57</v>
      </c>
      <c r="E76" s="1260" t="s">
        <v>529</v>
      </c>
      <c r="F76" s="1243" t="s">
        <v>8</v>
      </c>
      <c r="G76" s="1230">
        <v>64</v>
      </c>
      <c r="H76" s="1229" t="s">
        <v>396</v>
      </c>
      <c r="I76" s="1244" t="s">
        <v>50</v>
      </c>
      <c r="J76" s="1245" t="s">
        <v>80</v>
      </c>
      <c r="K76" s="741" t="s">
        <v>8</v>
      </c>
      <c r="L76" s="207"/>
      <c r="M76" s="1025"/>
      <c r="N76" s="207"/>
      <c r="O76" s="207"/>
      <c r="P76" s="1281"/>
      <c r="Q76" s="207"/>
      <c r="R76" s="207"/>
      <c r="S76" s="207"/>
      <c r="T76" s="207"/>
      <c r="U76" s="9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</row>
    <row r="77" spans="1:34" s="3" customFormat="1" ht="15.75" customHeight="1">
      <c r="A77" s="186"/>
      <c r="B77" s="196"/>
      <c r="C77" s="1263">
        <v>44006</v>
      </c>
      <c r="D77" s="1282">
        <v>611</v>
      </c>
      <c r="E77" s="1260" t="s">
        <v>530</v>
      </c>
      <c r="F77" s="1283" t="s">
        <v>8</v>
      </c>
      <c r="G77" s="1284">
        <v>65</v>
      </c>
      <c r="H77" s="1242" t="s">
        <v>196</v>
      </c>
      <c r="I77" s="1244" t="s">
        <v>53</v>
      </c>
      <c r="J77" s="1261" t="s">
        <v>92</v>
      </c>
      <c r="K77" s="741" t="s">
        <v>8</v>
      </c>
      <c r="L77" s="207"/>
      <c r="M77" s="1025"/>
      <c r="N77" s="207"/>
      <c r="O77" s="207"/>
      <c r="P77" s="1285"/>
      <c r="Q77" s="207"/>
      <c r="R77" s="207"/>
      <c r="S77" s="207"/>
      <c r="T77" s="207"/>
      <c r="U77" s="9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</row>
    <row r="78" spans="1:34" s="3" customFormat="1">
      <c r="A78" s="186"/>
      <c r="B78" s="196"/>
      <c r="C78" s="1263">
        <v>44006</v>
      </c>
      <c r="D78" s="1282"/>
      <c r="E78" s="1260" t="s">
        <v>531</v>
      </c>
      <c r="F78" s="1283" t="s">
        <v>8</v>
      </c>
      <c r="G78" s="1284">
        <v>65</v>
      </c>
      <c r="H78" s="1242" t="s">
        <v>79</v>
      </c>
      <c r="I78" s="1244" t="s">
        <v>53</v>
      </c>
      <c r="J78" s="1245" t="s">
        <v>80</v>
      </c>
      <c r="K78" s="741" t="s">
        <v>96</v>
      </c>
      <c r="L78" s="207"/>
      <c r="M78" s="1025"/>
      <c r="N78" s="207"/>
      <c r="O78" s="207"/>
      <c r="P78" s="752"/>
      <c r="Q78" s="207"/>
      <c r="R78" s="207"/>
      <c r="S78" s="207"/>
      <c r="T78" s="207"/>
      <c r="U78" s="9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</row>
    <row r="79" spans="1:34" s="3" customFormat="1">
      <c r="A79" s="186"/>
      <c r="B79" s="196"/>
      <c r="C79" s="1227">
        <v>44008</v>
      </c>
      <c r="D79" s="1286">
        <v>613</v>
      </c>
      <c r="E79" s="1260" t="s">
        <v>532</v>
      </c>
      <c r="F79" s="1230" t="s">
        <v>8</v>
      </c>
      <c r="G79" s="1230">
        <v>40</v>
      </c>
      <c r="H79" s="1244" t="s">
        <v>489</v>
      </c>
      <c r="I79" s="1244" t="s">
        <v>51</v>
      </c>
      <c r="J79" s="1245" t="s">
        <v>80</v>
      </c>
      <c r="K79" s="741" t="s">
        <v>81</v>
      </c>
      <c r="L79" s="207"/>
      <c r="M79" s="1025"/>
      <c r="N79" s="207"/>
      <c r="O79" s="207"/>
      <c r="P79" s="752"/>
      <c r="Q79" s="207"/>
      <c r="R79" s="207"/>
      <c r="S79" s="207"/>
      <c r="T79" s="207"/>
      <c r="U79" s="9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</row>
    <row r="80" spans="1:34" s="3" customFormat="1">
      <c r="A80" s="186"/>
      <c r="B80" s="196"/>
      <c r="C80" s="1287">
        <v>44008</v>
      </c>
      <c r="D80" s="1288"/>
      <c r="E80" s="1289" t="s">
        <v>533</v>
      </c>
      <c r="F80" s="1271" t="s">
        <v>8</v>
      </c>
      <c r="G80" s="1271">
        <v>65</v>
      </c>
      <c r="H80" s="1279" t="s">
        <v>79</v>
      </c>
      <c r="I80" s="1244" t="s">
        <v>51</v>
      </c>
      <c r="J80" s="1245" t="s">
        <v>80</v>
      </c>
      <c r="K80" s="741" t="s">
        <v>8</v>
      </c>
      <c r="L80" s="207"/>
      <c r="M80" s="1025"/>
      <c r="N80" s="207"/>
      <c r="O80" s="207"/>
      <c r="P80" s="752"/>
      <c r="Q80" s="207"/>
      <c r="R80" s="207"/>
      <c r="S80" s="207"/>
      <c r="T80" s="207"/>
      <c r="U80" s="9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</row>
    <row r="81" spans="1:31" s="3" customFormat="1">
      <c r="A81" s="186"/>
      <c r="B81" s="196"/>
      <c r="C81" s="1263">
        <v>44008</v>
      </c>
      <c r="D81" s="1282"/>
      <c r="E81" s="1260" t="s">
        <v>533</v>
      </c>
      <c r="F81" s="1230" t="s">
        <v>8</v>
      </c>
      <c r="G81" s="1230">
        <v>65</v>
      </c>
      <c r="H81" s="1260" t="s">
        <v>193</v>
      </c>
      <c r="I81" s="1244" t="s">
        <v>51</v>
      </c>
      <c r="J81" s="1245" t="s">
        <v>80</v>
      </c>
      <c r="K81" s="741" t="s">
        <v>8</v>
      </c>
      <c r="L81" s="207"/>
      <c r="M81" s="1025"/>
      <c r="N81" s="207"/>
      <c r="O81" s="207"/>
      <c r="P81" s="752"/>
      <c r="Q81" s="207"/>
      <c r="R81" s="207"/>
      <c r="S81" s="207"/>
      <c r="T81" s="207"/>
      <c r="U81" s="9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</row>
    <row r="82" spans="1:31" s="3" customFormat="1">
      <c r="A82" s="186"/>
      <c r="B82" s="196"/>
      <c r="C82" s="1263">
        <v>44008</v>
      </c>
      <c r="D82" s="1264"/>
      <c r="E82" s="1260" t="s">
        <v>534</v>
      </c>
      <c r="F82" s="1230" t="s">
        <v>8</v>
      </c>
      <c r="G82" s="1230">
        <v>40</v>
      </c>
      <c r="H82" s="1244" t="s">
        <v>85</v>
      </c>
      <c r="I82" s="1244" t="s">
        <v>52</v>
      </c>
      <c r="J82" s="1245" t="s">
        <v>80</v>
      </c>
      <c r="K82" s="741" t="s">
        <v>8</v>
      </c>
      <c r="L82" s="207"/>
      <c r="M82" s="1025"/>
      <c r="N82" s="207"/>
      <c r="O82" s="207"/>
      <c r="P82" s="752"/>
      <c r="Q82" s="207"/>
      <c r="R82" s="207"/>
      <c r="S82" s="207"/>
      <c r="T82" s="207"/>
      <c r="U82" s="9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</row>
    <row r="83" spans="1:31" s="3" customFormat="1">
      <c r="A83" s="186"/>
      <c r="B83" s="196"/>
      <c r="C83" s="1263">
        <v>44008</v>
      </c>
      <c r="D83" s="1264"/>
      <c r="E83" s="1260" t="s">
        <v>535</v>
      </c>
      <c r="F83" s="1230" t="s">
        <v>9</v>
      </c>
      <c r="G83" s="1230">
        <v>65</v>
      </c>
      <c r="H83" s="1244" t="s">
        <v>79</v>
      </c>
      <c r="I83" s="1244" t="s">
        <v>51</v>
      </c>
      <c r="J83" s="1245" t="s">
        <v>80</v>
      </c>
      <c r="K83" s="741" t="s">
        <v>96</v>
      </c>
      <c r="L83" s="207"/>
      <c r="M83" s="1025"/>
      <c r="N83" s="207"/>
      <c r="O83" s="207"/>
      <c r="P83" s="752"/>
      <c r="Q83" s="207"/>
      <c r="R83" s="207"/>
      <c r="S83" s="207"/>
      <c r="T83" s="207"/>
      <c r="U83" s="9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</row>
    <row r="84" spans="1:31" s="3" customFormat="1">
      <c r="A84" s="186"/>
      <c r="B84" s="196"/>
      <c r="C84" s="1263">
        <v>44008</v>
      </c>
      <c r="D84" s="1282">
        <v>57</v>
      </c>
      <c r="E84" s="1260" t="s">
        <v>536</v>
      </c>
      <c r="F84" s="1230" t="s">
        <v>9</v>
      </c>
      <c r="G84" s="1230">
        <v>64</v>
      </c>
      <c r="H84" s="1244" t="s">
        <v>265</v>
      </c>
      <c r="I84" s="1231" t="s">
        <v>50</v>
      </c>
      <c r="J84" s="1245" t="s">
        <v>80</v>
      </c>
      <c r="K84" s="741" t="s">
        <v>96</v>
      </c>
      <c r="L84" s="207"/>
      <c r="M84" s="207"/>
      <c r="N84" s="207"/>
      <c r="O84" s="207"/>
      <c r="P84" s="752"/>
      <c r="Q84" s="207"/>
      <c r="R84" s="207"/>
      <c r="S84" s="207"/>
      <c r="T84" s="207"/>
      <c r="U84" s="9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</row>
    <row r="85" spans="1:31" s="3" customFormat="1">
      <c r="A85" s="186"/>
      <c r="B85" s="196"/>
      <c r="C85" s="1263">
        <v>44009</v>
      </c>
      <c r="D85" s="1264"/>
      <c r="E85" s="1260" t="s">
        <v>537</v>
      </c>
      <c r="F85" s="1230" t="s">
        <v>8</v>
      </c>
      <c r="G85" s="1230">
        <v>64</v>
      </c>
      <c r="H85" s="1244" t="s">
        <v>184</v>
      </c>
      <c r="I85" s="1231" t="s">
        <v>53</v>
      </c>
      <c r="J85" s="1245" t="s">
        <v>80</v>
      </c>
      <c r="K85" s="741" t="s">
        <v>8</v>
      </c>
      <c r="L85" s="207"/>
      <c r="M85" s="1025"/>
      <c r="N85" s="207"/>
      <c r="O85" s="207"/>
      <c r="P85" s="829"/>
      <c r="Q85" s="207"/>
      <c r="R85" s="207"/>
      <c r="S85" s="207"/>
      <c r="T85" s="207"/>
      <c r="U85" s="9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</row>
    <row r="86" spans="1:31" s="3" customFormat="1">
      <c r="A86" s="186"/>
      <c r="B86" s="196"/>
      <c r="C86" s="1263">
        <v>44009</v>
      </c>
      <c r="D86" s="1264"/>
      <c r="E86" s="1260" t="s">
        <v>537</v>
      </c>
      <c r="F86" s="1230" t="s">
        <v>9</v>
      </c>
      <c r="G86" s="1230">
        <v>64</v>
      </c>
      <c r="H86" s="1244" t="s">
        <v>118</v>
      </c>
      <c r="I86" s="1231" t="s">
        <v>53</v>
      </c>
      <c r="J86" s="1245" t="s">
        <v>80</v>
      </c>
      <c r="K86" s="741" t="s">
        <v>96</v>
      </c>
      <c r="L86" s="207"/>
      <c r="M86" s="1025"/>
      <c r="N86" s="207"/>
      <c r="O86" s="207"/>
      <c r="P86" s="752"/>
      <c r="Q86" s="207"/>
      <c r="R86" s="207"/>
      <c r="S86" s="207"/>
      <c r="T86" s="207"/>
      <c r="U86" s="9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</row>
    <row r="87" spans="1:31" s="3" customFormat="1">
      <c r="A87" s="186"/>
      <c r="B87" s="196"/>
      <c r="C87" s="1263">
        <v>44009</v>
      </c>
      <c r="D87" s="1264"/>
      <c r="E87" s="1260" t="s">
        <v>538</v>
      </c>
      <c r="F87" s="1230" t="s">
        <v>9</v>
      </c>
      <c r="G87" s="1230">
        <v>65</v>
      </c>
      <c r="H87" s="1244" t="s">
        <v>79</v>
      </c>
      <c r="I87" s="1231" t="s">
        <v>51</v>
      </c>
      <c r="J87" s="1245" t="s">
        <v>80</v>
      </c>
      <c r="K87" s="741" t="s">
        <v>96</v>
      </c>
      <c r="L87" s="207"/>
      <c r="M87" s="1025"/>
      <c r="N87" s="207"/>
      <c r="O87" s="207"/>
      <c r="P87" s="752"/>
      <c r="Q87" s="207"/>
      <c r="R87" s="207"/>
      <c r="S87" s="207"/>
      <c r="T87" s="207"/>
      <c r="U87" s="9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</row>
    <row r="88" spans="1:31" s="3" customFormat="1">
      <c r="A88" s="186"/>
      <c r="B88" s="196"/>
      <c r="C88" s="1263">
        <v>44009</v>
      </c>
      <c r="D88" s="1264"/>
      <c r="E88" s="1260" t="s">
        <v>539</v>
      </c>
      <c r="F88" s="1230" t="s">
        <v>8</v>
      </c>
      <c r="G88" s="1230">
        <v>65</v>
      </c>
      <c r="H88" s="1244" t="s">
        <v>79</v>
      </c>
      <c r="I88" s="1231" t="s">
        <v>51</v>
      </c>
      <c r="J88" s="1245" t="s">
        <v>80</v>
      </c>
      <c r="K88" s="741" t="s">
        <v>8</v>
      </c>
      <c r="L88" s="207"/>
      <c r="M88" s="1025"/>
      <c r="N88" s="207"/>
      <c r="O88" s="207"/>
      <c r="P88" s="752"/>
      <c r="Q88" s="207"/>
      <c r="R88" s="207"/>
      <c r="S88" s="207"/>
      <c r="T88" s="207"/>
      <c r="U88" s="9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</row>
    <row r="89" spans="1:31" s="3" customFormat="1">
      <c r="A89" s="186"/>
      <c r="B89" s="196"/>
      <c r="C89" s="1227">
        <v>44011</v>
      </c>
      <c r="D89" s="1280">
        <v>61</v>
      </c>
      <c r="E89" s="1290" t="s">
        <v>540</v>
      </c>
      <c r="F89" s="1283" t="s">
        <v>9</v>
      </c>
      <c r="G89" s="1230">
        <v>64</v>
      </c>
      <c r="H89" s="1231" t="s">
        <v>118</v>
      </c>
      <c r="I89" s="1244" t="s">
        <v>51</v>
      </c>
      <c r="J89" s="1245" t="s">
        <v>80</v>
      </c>
      <c r="K89" s="753" t="s">
        <v>96</v>
      </c>
      <c r="L89" s="207"/>
      <c r="M89" s="1025"/>
      <c r="N89" s="207"/>
      <c r="O89" s="207"/>
      <c r="P89" s="752"/>
      <c r="Q89" s="207"/>
      <c r="R89" s="207"/>
      <c r="S89" s="207"/>
      <c r="T89" s="207"/>
      <c r="U89" s="9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</row>
    <row r="90" spans="1:31" s="3" customFormat="1">
      <c r="A90" s="31"/>
      <c r="B90" s="196"/>
      <c r="C90" s="1227">
        <v>44011</v>
      </c>
      <c r="D90" s="1280">
        <v>61</v>
      </c>
      <c r="E90" s="1290" t="s">
        <v>541</v>
      </c>
      <c r="F90" s="1230" t="s">
        <v>9</v>
      </c>
      <c r="G90" s="1230">
        <v>64</v>
      </c>
      <c r="H90" s="1231" t="s">
        <v>396</v>
      </c>
      <c r="I90" s="1244" t="s">
        <v>51</v>
      </c>
      <c r="J90" s="1245" t="s">
        <v>80</v>
      </c>
      <c r="K90" s="753" t="s">
        <v>96</v>
      </c>
      <c r="L90" s="758"/>
      <c r="M90" s="1025"/>
      <c r="N90" s="207"/>
      <c r="O90" s="207"/>
      <c r="P90" s="829"/>
      <c r="Q90" s="207"/>
      <c r="R90" s="207"/>
      <c r="S90" s="207"/>
      <c r="T90" s="207"/>
      <c r="U90" s="9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</row>
    <row r="91" spans="1:31" s="3" customFormat="1">
      <c r="A91" s="31"/>
      <c r="B91" s="1291"/>
      <c r="C91" s="1227">
        <v>44012</v>
      </c>
      <c r="D91" s="1280">
        <v>60</v>
      </c>
      <c r="E91" s="1260" t="s">
        <v>542</v>
      </c>
      <c r="F91" s="1230" t="s">
        <v>8</v>
      </c>
      <c r="G91" s="1230">
        <v>65</v>
      </c>
      <c r="H91" s="1231" t="s">
        <v>79</v>
      </c>
      <c r="I91" s="1244" t="s">
        <v>52</v>
      </c>
      <c r="J91" s="1245" t="s">
        <v>80</v>
      </c>
      <c r="K91" s="741" t="s">
        <v>8</v>
      </c>
      <c r="L91" s="207"/>
      <c r="M91" s="1025"/>
      <c r="N91" s="207"/>
      <c r="O91" s="207"/>
      <c r="P91" s="829"/>
      <c r="Q91" s="207"/>
      <c r="R91" s="207"/>
      <c r="S91" s="207"/>
      <c r="T91" s="207"/>
      <c r="U91" s="9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</row>
    <row r="92" spans="1:31" s="3" customFormat="1">
      <c r="A92" s="31"/>
      <c r="B92" s="1291"/>
      <c r="C92" s="1227">
        <v>44012</v>
      </c>
      <c r="D92" s="1280">
        <v>60</v>
      </c>
      <c r="E92" s="1260" t="s">
        <v>542</v>
      </c>
      <c r="F92" s="1230" t="s">
        <v>8</v>
      </c>
      <c r="G92" s="1230">
        <v>65</v>
      </c>
      <c r="H92" s="1244" t="s">
        <v>193</v>
      </c>
      <c r="I92" s="1244" t="s">
        <v>52</v>
      </c>
      <c r="J92" s="1245" t="s">
        <v>80</v>
      </c>
      <c r="K92" s="796" t="s">
        <v>81</v>
      </c>
      <c r="L92" s="207"/>
      <c r="M92" s="1025"/>
      <c r="N92" s="207"/>
      <c r="O92" s="207"/>
      <c r="P92" s="752"/>
      <c r="Q92" s="207"/>
      <c r="R92" s="207"/>
      <c r="S92" s="207"/>
      <c r="T92" s="207"/>
      <c r="U92" s="9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</row>
    <row r="93" spans="1:31" s="3" customFormat="1">
      <c r="A93" s="31"/>
      <c r="B93" s="196"/>
      <c r="C93" s="1227">
        <v>44012</v>
      </c>
      <c r="D93" s="1286"/>
      <c r="E93" s="1260" t="s">
        <v>543</v>
      </c>
      <c r="F93" s="1230" t="s">
        <v>8</v>
      </c>
      <c r="G93" s="1230">
        <v>64</v>
      </c>
      <c r="H93" s="1244" t="s">
        <v>469</v>
      </c>
      <c r="I93" s="1244" t="s">
        <v>52</v>
      </c>
      <c r="J93" s="1245" t="s">
        <v>80</v>
      </c>
      <c r="K93" s="741" t="s">
        <v>8</v>
      </c>
      <c r="L93" s="207"/>
      <c r="M93" s="1025"/>
      <c r="N93" s="207"/>
      <c r="O93" s="207"/>
      <c r="P93" s="752"/>
      <c r="Q93" s="207"/>
      <c r="R93" s="207"/>
      <c r="S93" s="207"/>
      <c r="T93" s="207"/>
      <c r="U93" s="9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</row>
    <row r="94" spans="1:31" s="8" customFormat="1">
      <c r="A94" s="215"/>
      <c r="B94" s="759"/>
      <c r="C94" s="1227">
        <v>44012</v>
      </c>
      <c r="D94" s="1286"/>
      <c r="E94" s="1260" t="s">
        <v>543</v>
      </c>
      <c r="F94" s="1230" t="s">
        <v>8</v>
      </c>
      <c r="G94" s="1230">
        <v>64</v>
      </c>
      <c r="H94" s="1244" t="s">
        <v>396</v>
      </c>
      <c r="I94" s="1244" t="s">
        <v>52</v>
      </c>
      <c r="J94" s="1245" t="s">
        <v>80</v>
      </c>
      <c r="K94" s="741" t="s">
        <v>8</v>
      </c>
      <c r="L94" s="236"/>
      <c r="M94" s="93"/>
      <c r="N94" s="757"/>
      <c r="O94" s="757"/>
      <c r="P94" s="752"/>
      <c r="Q94" s="757"/>
      <c r="R94" s="757"/>
      <c r="S94" s="757"/>
      <c r="T94" s="757"/>
      <c r="U94" s="760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</row>
    <row r="95" spans="1:31">
      <c r="A95" s="23"/>
      <c r="B95" s="14"/>
      <c r="C95" s="1227">
        <v>44012</v>
      </c>
      <c r="D95" s="1280">
        <v>61</v>
      </c>
      <c r="E95" s="1260" t="s">
        <v>544</v>
      </c>
      <c r="F95" s="1230" t="s">
        <v>8</v>
      </c>
      <c r="G95" s="1230">
        <v>64</v>
      </c>
      <c r="H95" s="1244" t="s">
        <v>469</v>
      </c>
      <c r="I95" s="1244" t="s">
        <v>51</v>
      </c>
      <c r="J95" s="1245" t="s">
        <v>80</v>
      </c>
      <c r="K95" s="741" t="s">
        <v>8</v>
      </c>
      <c r="L95" s="207"/>
      <c r="M95" s="1025"/>
      <c r="N95" s="48"/>
      <c r="O95" s="48"/>
      <c r="P95" s="752"/>
      <c r="Q95" s="48"/>
      <c r="R95" s="48"/>
      <c r="S95" s="48"/>
      <c r="T95" s="48"/>
      <c r="U95" s="52"/>
    </row>
    <row r="96" spans="1:31">
      <c r="A96" s="23"/>
      <c r="B96" s="14"/>
      <c r="C96" s="1227">
        <v>44012</v>
      </c>
      <c r="D96" s="1280">
        <v>61</v>
      </c>
      <c r="E96" s="1260" t="s">
        <v>544</v>
      </c>
      <c r="F96" s="1230" t="s">
        <v>8</v>
      </c>
      <c r="G96" s="1230">
        <v>64</v>
      </c>
      <c r="H96" s="1244" t="s">
        <v>396</v>
      </c>
      <c r="I96" s="1244" t="s">
        <v>51</v>
      </c>
      <c r="J96" s="1245" t="s">
        <v>80</v>
      </c>
      <c r="K96" s="741" t="s">
        <v>8</v>
      </c>
      <c r="L96" s="207"/>
      <c r="M96" s="1025"/>
      <c r="N96" s="48"/>
      <c r="O96" s="48"/>
      <c r="P96" s="752"/>
      <c r="Q96" s="48"/>
      <c r="R96" s="48"/>
      <c r="S96" s="48"/>
      <c r="T96" s="48"/>
      <c r="U96" s="52"/>
    </row>
    <row r="97" spans="1:21">
      <c r="A97" s="23"/>
      <c r="B97" s="14"/>
      <c r="C97" s="1227">
        <v>44012</v>
      </c>
      <c r="D97" s="1286"/>
      <c r="E97" s="1260" t="s">
        <v>545</v>
      </c>
      <c r="F97" s="1230" t="s">
        <v>8</v>
      </c>
      <c r="G97" s="1230">
        <v>64</v>
      </c>
      <c r="H97" s="1244" t="s">
        <v>184</v>
      </c>
      <c r="I97" s="1231" t="s">
        <v>50</v>
      </c>
      <c r="J97" s="1245" t="s">
        <v>80</v>
      </c>
      <c r="K97" s="741" t="s">
        <v>8</v>
      </c>
      <c r="L97" s="207"/>
      <c r="M97" s="1025"/>
      <c r="N97" s="48"/>
      <c r="O97" s="48"/>
      <c r="P97" s="752"/>
      <c r="Q97" s="48"/>
      <c r="R97" s="48"/>
      <c r="S97" s="48"/>
      <c r="T97" s="48"/>
      <c r="U97" s="52"/>
    </row>
    <row r="98" spans="1:21" ht="15.75" customHeight="1" thickBot="1">
      <c r="A98" s="23"/>
      <c r="B98" s="14"/>
      <c r="C98" s="1249">
        <v>44012</v>
      </c>
      <c r="D98" s="1292"/>
      <c r="E98" s="1293" t="s">
        <v>546</v>
      </c>
      <c r="F98" s="1252" t="s">
        <v>9</v>
      </c>
      <c r="G98" s="1252">
        <v>64</v>
      </c>
      <c r="H98" s="1294" t="s">
        <v>118</v>
      </c>
      <c r="I98" s="1231" t="s">
        <v>50</v>
      </c>
      <c r="J98" s="1258" t="s">
        <v>80</v>
      </c>
      <c r="K98" s="751" t="s">
        <v>96</v>
      </c>
      <c r="L98" s="207"/>
      <c r="M98" s="1025"/>
      <c r="N98" s="48"/>
      <c r="O98" s="48"/>
      <c r="P98" s="752"/>
      <c r="Q98" s="1025"/>
      <c r="R98" s="48"/>
      <c r="S98" s="48"/>
      <c r="T98" s="48"/>
      <c r="U98" s="52"/>
    </row>
    <row r="99" spans="1:21" ht="15.75" customHeight="1" thickBot="1">
      <c r="A99" s="22"/>
      <c r="B99" s="14"/>
      <c r="C99" s="1249">
        <v>44001</v>
      </c>
      <c r="D99" s="1292">
        <v>55</v>
      </c>
      <c r="E99" s="1293" t="s">
        <v>464</v>
      </c>
      <c r="F99" s="1252" t="s">
        <v>9</v>
      </c>
      <c r="G99" s="1252">
        <v>65</v>
      </c>
      <c r="H99" s="1294" t="s">
        <v>547</v>
      </c>
      <c r="I99" s="1244" t="s">
        <v>52</v>
      </c>
      <c r="J99" s="1258" t="s">
        <v>80</v>
      </c>
      <c r="K99" s="895" t="s">
        <v>427</v>
      </c>
      <c r="L99" s="207"/>
      <c r="M99" s="1025"/>
      <c r="N99" s="48"/>
      <c r="O99" s="48"/>
      <c r="P99" s="752"/>
      <c r="Q99" s="1025"/>
      <c r="R99" s="48"/>
      <c r="S99" s="48"/>
      <c r="T99" s="48"/>
      <c r="U99" s="52"/>
    </row>
    <row r="100" spans="1:21" ht="15.75" customHeight="1">
      <c r="A100" s="22"/>
      <c r="B100" s="14"/>
      <c r="C100" s="1263"/>
      <c r="D100" s="1228"/>
      <c r="E100" s="1260"/>
      <c r="F100" s="1243"/>
      <c r="G100" s="1230"/>
      <c r="H100" s="1244"/>
      <c r="I100" s="1244"/>
      <c r="J100" s="1245"/>
      <c r="K100" s="741"/>
      <c r="L100" s="207"/>
      <c r="M100" s="1025"/>
      <c r="N100" s="48"/>
      <c r="O100" s="48"/>
      <c r="P100" s="752"/>
      <c r="Q100" s="1025"/>
      <c r="R100" s="48"/>
      <c r="S100" s="48"/>
      <c r="T100" s="48"/>
      <c r="U100" s="52"/>
    </row>
    <row r="101" spans="1:21" ht="16.5" thickBot="1">
      <c r="A101" s="22"/>
      <c r="B101" s="17"/>
      <c r="C101" s="206"/>
      <c r="D101" s="761"/>
      <c r="E101" s="203"/>
      <c r="F101" s="205"/>
      <c r="G101" s="204"/>
      <c r="H101" s="205"/>
      <c r="I101" s="205"/>
      <c r="J101" s="206"/>
      <c r="K101" s="205"/>
      <c r="L101" s="197"/>
      <c r="M101" s="1026"/>
      <c r="N101" s="205"/>
      <c r="O101" s="205"/>
      <c r="P101" s="834"/>
      <c r="Q101" s="1026"/>
      <c r="R101" s="205"/>
      <c r="S101" s="205"/>
      <c r="T101" s="205"/>
      <c r="U101" s="762"/>
    </row>
    <row r="102" spans="1:21">
      <c r="A102" s="22"/>
      <c r="B102" s="22"/>
      <c r="C102" s="182"/>
      <c r="D102" s="227"/>
      <c r="E102" s="183"/>
      <c r="F102" s="22"/>
      <c r="G102" s="184"/>
      <c r="H102" s="22"/>
      <c r="I102" s="22"/>
      <c r="J102" s="182"/>
      <c r="K102" s="22"/>
      <c r="L102" s="186"/>
      <c r="M102" s="189"/>
      <c r="N102" s="22"/>
      <c r="O102" s="22"/>
      <c r="P102" s="832"/>
      <c r="Q102" s="1013"/>
      <c r="R102" s="22"/>
      <c r="S102" s="22"/>
      <c r="T102" s="22"/>
      <c r="U102" s="22"/>
    </row>
    <row r="103" spans="1:21">
      <c r="A103" s="22"/>
      <c r="B103" s="22"/>
      <c r="C103" s="182"/>
      <c r="D103" s="227"/>
      <c r="E103" s="183"/>
      <c r="F103" s="22"/>
      <c r="G103" s="184"/>
      <c r="H103" s="22"/>
      <c r="I103" s="22"/>
      <c r="J103" s="182"/>
      <c r="K103" s="22"/>
      <c r="L103" s="186"/>
      <c r="M103" s="189"/>
      <c r="N103" s="22"/>
      <c r="O103" s="22"/>
      <c r="P103" s="832"/>
      <c r="Q103" s="1013"/>
      <c r="R103" s="22"/>
      <c r="S103" s="22"/>
      <c r="T103" s="22"/>
      <c r="U103" s="22"/>
    </row>
    <row r="104" spans="1:21">
      <c r="A104" s="22"/>
      <c r="B104" s="22"/>
      <c r="C104" s="182"/>
      <c r="D104" s="227"/>
      <c r="E104" s="183"/>
      <c r="F104" s="22"/>
      <c r="G104" s="184"/>
      <c r="H104" s="22"/>
      <c r="I104" s="22"/>
      <c r="J104" s="182"/>
      <c r="K104" s="22"/>
      <c r="L104" s="186"/>
      <c r="M104" s="189"/>
      <c r="N104" s="22"/>
      <c r="O104" s="22"/>
      <c r="P104" s="832"/>
      <c r="Q104" s="1013"/>
      <c r="R104" s="22"/>
      <c r="S104" s="22"/>
      <c r="T104" s="22"/>
      <c r="U104" s="22"/>
    </row>
    <row r="105" spans="1:21">
      <c r="A105" s="22"/>
      <c r="B105" s="22"/>
      <c r="C105" s="182"/>
      <c r="D105" s="227"/>
      <c r="E105" s="183"/>
      <c r="F105" s="22"/>
      <c r="G105" s="184"/>
      <c r="H105" s="22"/>
      <c r="I105" s="22"/>
      <c r="J105" s="182"/>
      <c r="K105" s="22"/>
      <c r="L105" s="186"/>
      <c r="M105" s="189"/>
      <c r="N105" s="22"/>
      <c r="O105" s="22"/>
      <c r="P105" s="832"/>
      <c r="Q105" s="1013"/>
      <c r="R105" s="22"/>
      <c r="S105" s="22"/>
      <c r="T105" s="22"/>
      <c r="U105" s="22"/>
    </row>
    <row r="106" spans="1:21">
      <c r="A106" s="22"/>
      <c r="B106" s="22"/>
      <c r="C106" s="182"/>
      <c r="D106" s="227"/>
      <c r="E106" s="183"/>
      <c r="F106" s="22"/>
      <c r="G106" s="184"/>
      <c r="H106" s="22"/>
      <c r="I106" s="22"/>
      <c r="J106" s="182"/>
      <c r="K106" s="22"/>
      <c r="L106" s="186"/>
      <c r="M106" s="189"/>
      <c r="N106" s="22"/>
      <c r="O106" s="22"/>
      <c r="P106" s="832"/>
      <c r="Q106" s="1013"/>
      <c r="R106" s="22"/>
      <c r="S106" s="22"/>
      <c r="T106" s="22"/>
      <c r="U106" s="22"/>
    </row>
    <row r="107" spans="1:21" ht="15.75" customHeight="1">
      <c r="A107" s="22"/>
      <c r="B107" s="22"/>
      <c r="C107" s="182"/>
      <c r="D107" s="227"/>
      <c r="E107" s="183"/>
      <c r="F107" s="22"/>
      <c r="G107" s="184"/>
      <c r="H107" s="22"/>
      <c r="I107" s="22"/>
      <c r="J107" s="182"/>
      <c r="K107" s="22"/>
      <c r="L107" s="186"/>
      <c r="M107" s="189"/>
      <c r="N107" s="22"/>
      <c r="O107" s="22"/>
      <c r="P107" s="832"/>
      <c r="Q107" s="23"/>
      <c r="R107" s="22"/>
      <c r="S107" s="22"/>
      <c r="T107" s="22"/>
      <c r="U107" s="22"/>
    </row>
    <row r="108" spans="1:21">
      <c r="A108" s="22"/>
      <c r="B108" s="22"/>
      <c r="C108" s="182"/>
      <c r="D108" s="227"/>
      <c r="E108" s="183"/>
      <c r="F108" s="22"/>
      <c r="G108" s="184"/>
      <c r="H108" s="22"/>
      <c r="I108" s="22"/>
      <c r="J108" s="182"/>
      <c r="K108" s="22"/>
      <c r="L108" s="186"/>
      <c r="M108" s="189"/>
      <c r="N108" s="22"/>
      <c r="O108" s="22"/>
      <c r="P108" s="832"/>
      <c r="Q108" s="23"/>
      <c r="R108" s="22"/>
      <c r="S108" s="22"/>
      <c r="T108" s="22"/>
      <c r="U108" s="22"/>
    </row>
    <row r="109" spans="1:21">
      <c r="A109" s="22"/>
      <c r="B109" s="22"/>
      <c r="C109" s="182"/>
      <c r="D109" s="227"/>
      <c r="E109" s="183"/>
      <c r="F109" s="22"/>
      <c r="G109" s="184"/>
      <c r="H109" s="22"/>
      <c r="I109" s="22"/>
      <c r="J109" s="182"/>
      <c r="K109" s="22"/>
      <c r="L109" s="186"/>
      <c r="M109" s="189"/>
      <c r="N109" s="22"/>
      <c r="O109" s="22"/>
      <c r="P109" s="832"/>
      <c r="Q109" s="23"/>
      <c r="R109" s="22"/>
      <c r="S109" s="22"/>
      <c r="T109" s="22"/>
      <c r="U109" s="22"/>
    </row>
    <row r="110" spans="1:21">
      <c r="A110" s="22"/>
      <c r="B110" s="22"/>
      <c r="C110" s="182"/>
      <c r="D110" s="227"/>
      <c r="E110" s="183"/>
      <c r="F110" s="22"/>
      <c r="G110" s="184"/>
      <c r="H110" s="22"/>
      <c r="I110" s="22"/>
      <c r="J110" s="182"/>
      <c r="K110" s="22"/>
      <c r="L110" s="186"/>
      <c r="M110" s="189"/>
      <c r="N110" s="22"/>
      <c r="O110" s="22"/>
      <c r="P110" s="833"/>
      <c r="Q110" s="23"/>
      <c r="R110" s="22"/>
      <c r="S110" s="22"/>
      <c r="T110" s="22"/>
      <c r="U110" s="22"/>
    </row>
    <row r="111" spans="1:21">
      <c r="A111" s="22"/>
      <c r="B111" s="22"/>
      <c r="C111" s="182"/>
      <c r="D111" s="227"/>
      <c r="E111" s="183"/>
      <c r="F111" s="22"/>
      <c r="G111" s="184"/>
      <c r="H111" s="22"/>
      <c r="I111" s="22"/>
      <c r="J111" s="182"/>
      <c r="K111" s="22"/>
      <c r="L111" s="186"/>
      <c r="M111" s="189"/>
      <c r="N111" s="22"/>
      <c r="O111" s="22"/>
      <c r="P111" s="22"/>
      <c r="Q111" s="22"/>
      <c r="R111" s="22"/>
      <c r="S111" s="22"/>
      <c r="T111" s="22"/>
      <c r="U111" s="22"/>
    </row>
    <row r="112" spans="1:21">
      <c r="A112" s="22"/>
      <c r="B112" s="22"/>
      <c r="C112" s="182"/>
      <c r="D112" s="227"/>
      <c r="E112" s="183"/>
      <c r="F112" s="22"/>
      <c r="G112" s="184"/>
      <c r="H112" s="22"/>
      <c r="I112" s="22"/>
      <c r="J112" s="182"/>
      <c r="K112" s="22"/>
      <c r="L112" s="186"/>
      <c r="M112" s="189"/>
      <c r="N112" s="22"/>
      <c r="O112" s="22"/>
      <c r="P112" s="22"/>
      <c r="Q112" s="22"/>
      <c r="R112" s="22"/>
      <c r="S112" s="22"/>
      <c r="T112" s="22"/>
      <c r="U112" s="22"/>
    </row>
    <row r="113" spans="1:21">
      <c r="A113" s="22"/>
      <c r="B113" s="22"/>
      <c r="C113" s="182"/>
      <c r="D113" s="227"/>
      <c r="E113" s="183"/>
      <c r="F113" s="22"/>
      <c r="G113" s="184"/>
      <c r="H113" s="22"/>
      <c r="I113" s="22"/>
      <c r="J113" s="182"/>
      <c r="K113" s="22"/>
      <c r="L113" s="186"/>
      <c r="M113" s="189"/>
      <c r="N113" s="22"/>
      <c r="O113" s="22"/>
      <c r="P113" s="22"/>
      <c r="Q113" s="22"/>
      <c r="R113" s="22"/>
      <c r="S113" s="22"/>
      <c r="T113" s="22"/>
      <c r="U113" s="22"/>
    </row>
    <row r="114" spans="1:21">
      <c r="A114" s="22"/>
      <c r="B114" s="22"/>
      <c r="C114" s="182"/>
      <c r="D114" s="227"/>
      <c r="E114" s="183"/>
      <c r="F114" s="22"/>
      <c r="G114" s="184"/>
      <c r="H114" s="22"/>
      <c r="I114" s="22"/>
      <c r="J114" s="182"/>
      <c r="K114" s="22"/>
      <c r="L114" s="186"/>
      <c r="M114" s="189"/>
      <c r="N114" s="22"/>
      <c r="O114" s="22"/>
      <c r="P114" s="22"/>
      <c r="Q114" s="22"/>
      <c r="R114" s="22"/>
      <c r="S114" s="22"/>
      <c r="T114" s="22"/>
      <c r="U114" s="22"/>
    </row>
    <row r="115" spans="1:21">
      <c r="A115" s="22"/>
      <c r="B115" s="22"/>
      <c r="C115" s="182"/>
      <c r="D115" s="227"/>
      <c r="E115" s="183"/>
      <c r="F115" s="22"/>
      <c r="G115" s="184"/>
      <c r="H115" s="22"/>
      <c r="I115" s="22"/>
      <c r="J115" s="182"/>
      <c r="K115" s="22"/>
      <c r="L115" s="186"/>
      <c r="M115" s="189"/>
      <c r="N115" s="22"/>
      <c r="O115" s="22"/>
      <c r="P115" s="22"/>
      <c r="Q115" s="190"/>
      <c r="R115" s="22"/>
      <c r="S115" s="22"/>
      <c r="T115" s="22"/>
      <c r="U115" s="22"/>
    </row>
    <row r="116" spans="1:21">
      <c r="A116" s="22"/>
      <c r="B116" s="22"/>
      <c r="C116" s="182"/>
      <c r="D116" s="227"/>
      <c r="E116" s="183"/>
      <c r="F116" s="22"/>
      <c r="G116" s="184"/>
      <c r="H116" s="22"/>
      <c r="I116" s="22"/>
      <c r="J116" s="182"/>
      <c r="K116" s="22"/>
      <c r="L116" s="186"/>
      <c r="M116" s="189"/>
      <c r="N116" s="22"/>
      <c r="O116" s="22"/>
      <c r="P116" s="22"/>
      <c r="Q116" s="22"/>
      <c r="R116" s="22"/>
      <c r="S116" s="22"/>
      <c r="T116" s="22"/>
      <c r="U116" s="22"/>
    </row>
    <row r="117" spans="1:21">
      <c r="A117" s="22"/>
      <c r="B117" s="22"/>
      <c r="C117" s="182"/>
      <c r="D117" s="227"/>
      <c r="E117" s="183"/>
      <c r="F117" s="22"/>
      <c r="G117" s="184"/>
      <c r="H117" s="22"/>
      <c r="I117" s="22"/>
      <c r="J117" s="182"/>
      <c r="K117" s="22"/>
      <c r="L117" s="186"/>
      <c r="M117" s="189"/>
      <c r="N117" s="22"/>
      <c r="O117" s="22"/>
      <c r="P117" s="22"/>
      <c r="Q117" s="22"/>
      <c r="R117" s="22"/>
      <c r="S117" s="22"/>
      <c r="T117" s="22"/>
      <c r="U117" s="22"/>
    </row>
    <row r="118" spans="1:21">
      <c r="A118" s="22"/>
      <c r="B118" s="22"/>
      <c r="C118" s="182"/>
      <c r="D118" s="227"/>
      <c r="E118" s="183"/>
      <c r="F118" s="22"/>
      <c r="G118" s="184"/>
      <c r="H118" s="22"/>
      <c r="I118" s="22"/>
      <c r="J118" s="182"/>
      <c r="K118" s="22"/>
      <c r="L118" s="186"/>
      <c r="M118" s="189"/>
      <c r="N118" s="22"/>
      <c r="O118" s="22"/>
      <c r="P118" s="22"/>
      <c r="Q118" s="22"/>
      <c r="R118" s="22"/>
      <c r="S118" s="22"/>
      <c r="T118" s="22"/>
      <c r="U118" s="22"/>
    </row>
    <row r="119" spans="1:21">
      <c r="A119" s="22"/>
      <c r="B119" s="22"/>
      <c r="C119" s="182"/>
      <c r="D119" s="227"/>
      <c r="E119" s="183"/>
      <c r="F119" s="22"/>
      <c r="G119" s="184"/>
      <c r="H119" s="22"/>
      <c r="I119" s="22"/>
      <c r="J119" s="182"/>
      <c r="K119" s="22"/>
      <c r="L119" s="186"/>
      <c r="M119" s="189"/>
      <c r="N119" s="22"/>
      <c r="O119" s="22"/>
      <c r="P119" s="22"/>
      <c r="Q119" s="22"/>
      <c r="R119" s="22"/>
      <c r="S119" s="22"/>
      <c r="T119" s="22"/>
      <c r="U119" s="22"/>
    </row>
    <row r="120" spans="1:21">
      <c r="A120" s="22"/>
      <c r="B120" s="22"/>
      <c r="C120" s="182"/>
      <c r="D120" s="227"/>
      <c r="E120" s="183"/>
      <c r="F120" s="22"/>
      <c r="G120" s="184"/>
      <c r="H120" s="22"/>
      <c r="I120" s="22"/>
      <c r="J120" s="182"/>
      <c r="K120" s="22"/>
      <c r="L120" s="186"/>
      <c r="M120" s="189"/>
      <c r="N120" s="22"/>
      <c r="O120" s="22"/>
      <c r="P120" s="22"/>
      <c r="Q120" s="22"/>
      <c r="R120" s="22"/>
      <c r="S120" s="22"/>
      <c r="T120" s="22"/>
      <c r="U120" s="22"/>
    </row>
    <row r="121" spans="1:21">
      <c r="A121" s="22"/>
      <c r="B121" s="22"/>
      <c r="C121" s="182"/>
      <c r="D121" s="227"/>
      <c r="E121" s="183"/>
      <c r="F121" s="22"/>
      <c r="G121" s="184"/>
      <c r="H121" s="22"/>
      <c r="I121" s="22"/>
      <c r="J121" s="182"/>
      <c r="K121" s="22"/>
      <c r="L121" s="186"/>
      <c r="M121" s="189"/>
      <c r="N121" s="22"/>
      <c r="O121" s="22"/>
      <c r="P121" s="22"/>
      <c r="Q121" s="22"/>
      <c r="R121" s="22"/>
      <c r="S121" s="22"/>
      <c r="T121" s="22"/>
      <c r="U121" s="22"/>
    </row>
    <row r="122" spans="1:21">
      <c r="A122" s="22"/>
      <c r="B122" s="22"/>
      <c r="C122" s="182"/>
      <c r="D122" s="227"/>
      <c r="E122" s="183"/>
      <c r="F122" s="22"/>
      <c r="G122" s="184"/>
      <c r="H122" s="22"/>
      <c r="I122" s="22"/>
      <c r="J122" s="182"/>
      <c r="K122" s="22"/>
      <c r="L122" s="186"/>
      <c r="M122" s="189"/>
      <c r="N122" s="22"/>
      <c r="O122" s="22"/>
      <c r="P122" s="22"/>
      <c r="Q122" s="22"/>
      <c r="R122" s="22"/>
      <c r="S122" s="22"/>
      <c r="T122" s="22"/>
      <c r="U122" s="22"/>
    </row>
    <row r="123" spans="1:21">
      <c r="A123" s="22"/>
      <c r="B123" s="22"/>
      <c r="C123" s="182"/>
      <c r="D123" s="227"/>
      <c r="E123" s="183"/>
      <c r="F123" s="22"/>
      <c r="G123" s="184"/>
      <c r="H123" s="22"/>
      <c r="I123" s="22"/>
      <c r="J123" s="182"/>
      <c r="K123" s="22"/>
      <c r="L123" s="186"/>
      <c r="M123" s="189"/>
      <c r="N123" s="22"/>
      <c r="O123" s="22"/>
      <c r="P123" s="22"/>
      <c r="Q123" s="22"/>
      <c r="R123" s="22"/>
      <c r="S123" s="22"/>
      <c r="T123" s="22"/>
      <c r="U123" s="22"/>
    </row>
    <row r="124" spans="1:21">
      <c r="A124" s="22"/>
      <c r="B124" s="22"/>
      <c r="C124" s="182"/>
      <c r="D124" s="227"/>
      <c r="E124" s="183"/>
      <c r="F124" s="22"/>
      <c r="G124" s="184"/>
      <c r="H124" s="22"/>
      <c r="I124" s="22"/>
      <c r="J124" s="182"/>
      <c r="K124" s="22"/>
      <c r="L124" s="186"/>
      <c r="M124" s="189"/>
      <c r="N124" s="22"/>
      <c r="O124" s="22"/>
      <c r="P124" s="22"/>
      <c r="Q124" s="22"/>
      <c r="R124" s="22"/>
      <c r="S124" s="22"/>
      <c r="T124" s="22"/>
      <c r="U124" s="22"/>
    </row>
    <row r="125" spans="1:21">
      <c r="A125" s="22"/>
      <c r="B125" s="22"/>
      <c r="C125" s="182"/>
      <c r="D125" s="227"/>
      <c r="E125" s="183"/>
      <c r="F125" s="22"/>
      <c r="G125" s="184"/>
      <c r="H125" s="22"/>
      <c r="I125" s="22"/>
      <c r="J125" s="182"/>
      <c r="K125" s="22"/>
      <c r="L125" s="186"/>
      <c r="M125" s="189"/>
      <c r="N125" s="22"/>
      <c r="O125" s="22"/>
      <c r="P125" s="22"/>
      <c r="Q125" s="22"/>
      <c r="R125" s="22"/>
      <c r="S125" s="22"/>
      <c r="T125" s="22"/>
      <c r="U125" s="22"/>
    </row>
    <row r="126" spans="1:21">
      <c r="A126" s="22"/>
      <c r="B126" s="22"/>
      <c r="C126" s="182"/>
      <c r="D126" s="227"/>
      <c r="E126" s="183"/>
      <c r="F126" s="22"/>
      <c r="G126" s="184"/>
      <c r="H126" s="22"/>
      <c r="I126" s="22"/>
      <c r="J126" s="182"/>
      <c r="K126" s="22"/>
      <c r="L126" s="186"/>
      <c r="M126" s="189"/>
      <c r="N126" s="22"/>
      <c r="O126" s="22"/>
      <c r="P126" s="22"/>
      <c r="Q126" s="22"/>
      <c r="R126" s="22"/>
      <c r="S126" s="22"/>
      <c r="T126" s="22"/>
      <c r="U126" s="22"/>
    </row>
    <row r="127" spans="1:21">
      <c r="A127" s="22"/>
      <c r="B127" s="22"/>
      <c r="C127" s="182"/>
      <c r="D127" s="227"/>
      <c r="E127" s="183"/>
      <c r="F127" s="22"/>
      <c r="G127" s="184"/>
      <c r="H127" s="22"/>
      <c r="I127" s="22"/>
      <c r="J127" s="182"/>
      <c r="K127" s="22"/>
      <c r="L127" s="186"/>
      <c r="M127" s="189"/>
      <c r="N127" s="22"/>
      <c r="O127" s="22"/>
      <c r="P127" s="22"/>
      <c r="Q127" s="22"/>
      <c r="R127" s="22"/>
      <c r="S127" s="22"/>
      <c r="T127" s="22"/>
      <c r="U127" s="22"/>
    </row>
    <row r="128" spans="1:21">
      <c r="A128" s="22"/>
      <c r="B128" s="22"/>
      <c r="C128" s="182"/>
      <c r="D128" s="227"/>
      <c r="E128" s="183"/>
      <c r="F128" s="22"/>
      <c r="G128" s="184"/>
      <c r="H128" s="22"/>
      <c r="I128" s="22"/>
      <c r="J128" s="182"/>
      <c r="K128" s="22"/>
      <c r="L128" s="186"/>
      <c r="M128" s="189"/>
      <c r="N128" s="22"/>
      <c r="O128" s="22"/>
      <c r="P128" s="22"/>
      <c r="Q128" s="22"/>
      <c r="R128" s="22"/>
      <c r="S128" s="22"/>
      <c r="T128" s="22"/>
      <c r="U128" s="22"/>
    </row>
    <row r="129" spans="1:21">
      <c r="A129" s="22"/>
      <c r="B129" s="22"/>
      <c r="C129" s="182"/>
      <c r="D129" s="227"/>
      <c r="E129" s="183"/>
      <c r="F129" s="22"/>
      <c r="G129" s="184"/>
      <c r="H129" s="22"/>
      <c r="I129" s="22"/>
      <c r="J129" s="182"/>
      <c r="K129" s="22"/>
      <c r="L129" s="186"/>
      <c r="M129" s="189"/>
      <c r="N129" s="22"/>
      <c r="O129" s="22"/>
      <c r="P129" s="22"/>
      <c r="Q129" s="22"/>
      <c r="R129" s="22"/>
      <c r="S129" s="22"/>
      <c r="T129" s="22"/>
      <c r="U129" s="22"/>
    </row>
    <row r="130" spans="1:21">
      <c r="A130" s="22"/>
      <c r="B130" s="22"/>
      <c r="C130" s="182"/>
      <c r="D130" s="227"/>
      <c r="E130" s="183"/>
      <c r="F130" s="22"/>
      <c r="G130" s="184"/>
      <c r="H130" s="22"/>
      <c r="I130" s="22"/>
      <c r="J130" s="182"/>
      <c r="K130" s="22"/>
      <c r="L130" s="186"/>
      <c r="M130" s="189"/>
      <c r="N130" s="22"/>
      <c r="O130" s="22"/>
      <c r="P130" s="22"/>
      <c r="Q130" s="22"/>
      <c r="R130" s="22"/>
      <c r="S130" s="22"/>
      <c r="T130" s="22"/>
      <c r="U130" s="22"/>
    </row>
    <row r="131" spans="1:21">
      <c r="A131" s="22"/>
      <c r="B131" s="22"/>
      <c r="C131" s="182"/>
      <c r="D131" s="227"/>
      <c r="E131" s="183"/>
      <c r="F131" s="22"/>
      <c r="G131" s="184"/>
      <c r="H131" s="22"/>
      <c r="I131" s="22"/>
      <c r="J131" s="182"/>
      <c r="K131" s="22"/>
      <c r="L131" s="186"/>
      <c r="M131" s="189"/>
      <c r="N131" s="22"/>
      <c r="O131" s="22"/>
      <c r="P131" s="22"/>
      <c r="Q131" s="22"/>
      <c r="R131" s="22"/>
      <c r="S131" s="22"/>
      <c r="T131" s="22"/>
      <c r="U131" s="22"/>
    </row>
    <row r="132" spans="1:21">
      <c r="A132" s="22"/>
      <c r="B132" s="22"/>
      <c r="C132" s="182"/>
      <c r="D132" s="227"/>
      <c r="E132" s="183"/>
      <c r="F132" s="22"/>
      <c r="G132" s="184"/>
      <c r="H132" s="22"/>
      <c r="I132" s="22"/>
      <c r="J132" s="182"/>
      <c r="K132" s="22"/>
      <c r="L132" s="186"/>
      <c r="M132" s="189"/>
      <c r="N132" s="22"/>
      <c r="O132" s="22"/>
      <c r="P132" s="22"/>
      <c r="Q132" s="22"/>
      <c r="R132" s="22"/>
      <c r="S132" s="22"/>
      <c r="T132" s="22"/>
      <c r="U132" s="22"/>
    </row>
    <row r="133" spans="1:21">
      <c r="A133" s="22"/>
      <c r="B133" s="22"/>
      <c r="C133" s="182"/>
      <c r="D133" s="227"/>
      <c r="E133" s="183"/>
      <c r="F133" s="22"/>
      <c r="G133" s="184"/>
      <c r="H133" s="22"/>
      <c r="I133" s="22"/>
      <c r="J133" s="182"/>
      <c r="K133" s="22"/>
      <c r="L133" s="186"/>
      <c r="M133" s="189"/>
      <c r="N133" s="22"/>
      <c r="O133" s="22"/>
      <c r="P133" s="22"/>
      <c r="Q133" s="22"/>
      <c r="R133" s="22"/>
      <c r="S133" s="22"/>
      <c r="T133" s="22"/>
      <c r="U133" s="22"/>
    </row>
    <row r="134" spans="1:21">
      <c r="A134" s="22"/>
      <c r="B134" s="22"/>
      <c r="C134" s="182"/>
      <c r="D134" s="227"/>
      <c r="E134" s="183"/>
      <c r="F134" s="22"/>
      <c r="G134" s="184"/>
      <c r="H134" s="22"/>
      <c r="I134" s="22"/>
      <c r="J134" s="182"/>
      <c r="K134" s="22"/>
      <c r="L134" s="186"/>
      <c r="M134" s="189"/>
      <c r="N134" s="22"/>
      <c r="O134" s="22"/>
      <c r="P134" s="22"/>
      <c r="Q134" s="22"/>
      <c r="R134" s="22"/>
      <c r="S134" s="22"/>
      <c r="T134" s="22"/>
      <c r="U134" s="22"/>
    </row>
    <row r="135" spans="1:21">
      <c r="A135" s="22"/>
      <c r="B135" s="22"/>
      <c r="C135" s="182"/>
      <c r="D135" s="227"/>
      <c r="E135" s="183"/>
      <c r="F135" s="22"/>
      <c r="G135" s="184"/>
      <c r="H135" s="22"/>
      <c r="I135" s="22"/>
      <c r="J135" s="182"/>
      <c r="K135" s="22"/>
      <c r="L135" s="186"/>
      <c r="M135" s="189"/>
      <c r="N135" s="22"/>
      <c r="O135" s="22"/>
      <c r="P135" s="22"/>
      <c r="Q135" s="22"/>
      <c r="R135" s="22"/>
      <c r="S135" s="22"/>
      <c r="T135" s="22"/>
      <c r="U135" s="22"/>
    </row>
    <row r="136" spans="1:21">
      <c r="A136" s="22"/>
      <c r="B136" s="22"/>
      <c r="C136" s="182"/>
      <c r="D136" s="227"/>
      <c r="E136" s="183"/>
      <c r="F136" s="22"/>
      <c r="G136" s="184"/>
      <c r="H136" s="22"/>
      <c r="I136" s="22"/>
      <c r="J136" s="182"/>
      <c r="K136" s="22"/>
      <c r="L136" s="186"/>
      <c r="M136" s="189"/>
      <c r="N136" s="22"/>
      <c r="O136" s="22"/>
      <c r="P136" s="22"/>
      <c r="Q136" s="22"/>
      <c r="R136" s="22"/>
      <c r="S136" s="22"/>
      <c r="T136" s="22"/>
      <c r="U136" s="22"/>
    </row>
    <row r="137" spans="1:21">
      <c r="A137" s="22"/>
      <c r="B137" s="22"/>
      <c r="C137" s="182"/>
      <c r="D137" s="227"/>
      <c r="E137" s="183"/>
      <c r="F137" s="22"/>
      <c r="G137" s="184"/>
      <c r="H137" s="22"/>
      <c r="I137" s="22"/>
      <c r="J137" s="182"/>
      <c r="K137" s="22"/>
      <c r="L137" s="186"/>
      <c r="M137" s="189"/>
      <c r="N137" s="22"/>
      <c r="O137" s="22"/>
      <c r="P137" s="22"/>
      <c r="Q137" s="22"/>
      <c r="R137" s="22"/>
      <c r="S137" s="22"/>
      <c r="T137" s="22"/>
      <c r="U137" s="22"/>
    </row>
    <row r="138" spans="1:21">
      <c r="A138" s="22"/>
      <c r="B138" s="22"/>
      <c r="C138" s="182"/>
      <c r="D138" s="227"/>
      <c r="E138" s="183"/>
      <c r="F138" s="22"/>
      <c r="G138" s="184"/>
      <c r="H138" s="22"/>
      <c r="I138" s="22"/>
      <c r="J138" s="182"/>
      <c r="K138" s="22"/>
      <c r="L138" s="186"/>
      <c r="M138" s="189"/>
      <c r="N138" s="22"/>
      <c r="O138" s="22"/>
      <c r="P138" s="22"/>
      <c r="Q138" s="22"/>
      <c r="R138" s="22"/>
      <c r="S138" s="22"/>
      <c r="T138" s="22"/>
      <c r="U138" s="22"/>
    </row>
    <row r="139" spans="1:21">
      <c r="A139" s="22"/>
      <c r="B139" s="22"/>
      <c r="C139" s="182"/>
      <c r="D139" s="227"/>
      <c r="E139" s="183"/>
      <c r="F139" s="22"/>
      <c r="G139" s="184"/>
      <c r="H139" s="22"/>
      <c r="I139" s="22"/>
      <c r="J139" s="182"/>
      <c r="K139" s="22"/>
      <c r="L139" s="186"/>
      <c r="M139" s="189"/>
      <c r="N139" s="22"/>
      <c r="O139" s="22"/>
      <c r="P139" s="22"/>
      <c r="Q139" s="22"/>
      <c r="R139" s="22"/>
      <c r="S139" s="22"/>
      <c r="T139" s="22"/>
      <c r="U139" s="22"/>
    </row>
    <row r="140" spans="1:21">
      <c r="A140" s="22"/>
      <c r="B140" s="22"/>
      <c r="C140" s="182"/>
      <c r="D140" s="227"/>
      <c r="E140" s="183"/>
      <c r="F140" s="22"/>
      <c r="G140" s="184"/>
      <c r="H140" s="22"/>
      <c r="I140" s="22"/>
      <c r="J140" s="182"/>
      <c r="K140" s="22"/>
      <c r="L140" s="186"/>
      <c r="M140" s="189"/>
      <c r="N140" s="22"/>
      <c r="O140" s="22"/>
      <c r="P140" s="22"/>
      <c r="Q140" s="22"/>
      <c r="R140" s="22"/>
      <c r="S140" s="22"/>
      <c r="T140" s="22"/>
      <c r="U140" s="22"/>
    </row>
    <row r="141" spans="1:21">
      <c r="A141" s="22"/>
      <c r="B141" s="22"/>
      <c r="C141" s="182"/>
      <c r="D141" s="227"/>
      <c r="E141" s="183"/>
      <c r="F141" s="22"/>
      <c r="G141" s="184"/>
      <c r="H141" s="22"/>
      <c r="I141" s="22"/>
      <c r="J141" s="182"/>
      <c r="K141" s="22"/>
      <c r="L141" s="186"/>
      <c r="M141" s="189"/>
      <c r="N141" s="22"/>
      <c r="O141" s="22"/>
      <c r="P141" s="22"/>
      <c r="Q141" s="22"/>
      <c r="R141" s="22"/>
      <c r="S141" s="22"/>
      <c r="T141" s="22"/>
      <c r="U141" s="22"/>
    </row>
    <row r="142" spans="1:21" ht="46.5" customHeight="1" thickBot="1">
      <c r="A142" s="22"/>
      <c r="B142" s="22"/>
      <c r="C142" s="1633" t="s">
        <v>136</v>
      </c>
      <c r="D142" s="1633"/>
      <c r="E142" s="1633"/>
      <c r="F142" s="1633"/>
      <c r="G142" s="1633"/>
      <c r="H142" s="1633"/>
      <c r="I142" s="1633"/>
      <c r="J142" s="1633"/>
      <c r="K142" s="1633"/>
      <c r="L142" s="1633"/>
      <c r="M142" s="1633"/>
      <c r="N142" s="446"/>
      <c r="O142" s="22"/>
      <c r="P142" s="22"/>
      <c r="Q142" s="22"/>
      <c r="R142" s="22"/>
      <c r="S142" s="22"/>
      <c r="T142" s="22"/>
      <c r="U142" s="22"/>
    </row>
    <row r="143" spans="1:21" ht="16.5" customHeight="1" thickBot="1">
      <c r="A143" s="22"/>
      <c r="B143" s="22"/>
      <c r="C143" s="1608" t="s">
        <v>138</v>
      </c>
      <c r="D143" s="406"/>
      <c r="E143" s="407"/>
      <c r="F143" s="408"/>
      <c r="G143" s="409"/>
      <c r="H143" s="410"/>
      <c r="I143" s="408"/>
      <c r="J143" s="411"/>
      <c r="K143" s="406"/>
      <c r="L143" s="216"/>
      <c r="M143" s="217"/>
      <c r="N143" s="446"/>
      <c r="O143" s="22"/>
      <c r="P143" s="22"/>
      <c r="Q143" s="22"/>
      <c r="R143" s="22"/>
      <c r="S143" s="22"/>
      <c r="T143" s="22"/>
      <c r="U143" s="22"/>
    </row>
    <row r="144" spans="1:21">
      <c r="A144" s="22"/>
      <c r="B144" s="22"/>
      <c r="C144" s="1609"/>
      <c r="D144" s="412"/>
      <c r="E144" s="1152" t="s">
        <v>139</v>
      </c>
      <c r="F144" s="413" t="s">
        <v>140</v>
      </c>
      <c r="G144" s="414" t="s">
        <v>141</v>
      </c>
      <c r="H144" s="415"/>
      <c r="I144" s="1036" t="s">
        <v>142</v>
      </c>
      <c r="J144" s="416" t="s">
        <v>143</v>
      </c>
      <c r="K144" s="413" t="s">
        <v>132</v>
      </c>
      <c r="L144" s="246" t="s">
        <v>134</v>
      </c>
      <c r="M144" s="1146"/>
      <c r="N144" s="446"/>
      <c r="O144" s="22"/>
      <c r="P144" s="22"/>
      <c r="Q144" s="22"/>
      <c r="R144" s="22"/>
      <c r="S144" s="22"/>
      <c r="T144" s="22"/>
      <c r="U144" s="22"/>
    </row>
    <row r="145" spans="1:21">
      <c r="A145" s="22"/>
      <c r="B145" s="22"/>
      <c r="C145" s="1609"/>
      <c r="D145" s="412"/>
      <c r="E145" s="417" t="s">
        <v>144</v>
      </c>
      <c r="F145" s="418">
        <f>COUNTIF(J$1:J$142,"Positif")</f>
        <v>78</v>
      </c>
      <c r="G145" s="419">
        <f>COUNTIF(J$1:J$142,"Negatif")</f>
        <v>0</v>
      </c>
      <c r="H145" s="415"/>
      <c r="I145" s="420" t="s">
        <v>145</v>
      </c>
      <c r="J145" s="418">
        <f>COUNTIFS(F$1:F$142,"PQR",G$1:G$142, 40)</f>
        <v>5</v>
      </c>
      <c r="K145" s="421">
        <f>COUNTIFS(F$1:F$142,"PQR",G$1:G$142, 65)</f>
        <v>20</v>
      </c>
      <c r="L145" s="422">
        <f>COUNTIFS(F$1:F$142,"PQR",G$1:G$142,64)</f>
        <v>15</v>
      </c>
      <c r="M145" s="1146"/>
      <c r="N145" s="446"/>
      <c r="O145" s="22"/>
      <c r="P145" s="22"/>
      <c r="Q145" s="22"/>
      <c r="R145" s="22"/>
      <c r="S145" s="22"/>
      <c r="T145" s="22"/>
      <c r="U145" s="22"/>
    </row>
    <row r="146" spans="1:21">
      <c r="A146" s="22"/>
      <c r="B146" s="22"/>
      <c r="C146" s="1609"/>
      <c r="D146" s="412"/>
      <c r="E146" s="423" t="s">
        <v>143</v>
      </c>
      <c r="F146" s="424">
        <f>COUNTIFS(G$1:G$142,40,J$1:J$142, "Positif")</f>
        <v>33</v>
      </c>
      <c r="G146" s="419">
        <f>COUNTIFS(G$1:G$142,40,J$1:J$142, "Negatif")+COUNTIFS(G$1:G$142,40,J$1:J$142, "Negative")+COUNTIFS(G$1:G$142,40,J$1:J$142, "négatif")+COUNTIFS(G$1:G$142,40,J$1:J$142, "négative")</f>
        <v>0</v>
      </c>
      <c r="H146" s="415"/>
      <c r="I146" s="425" t="s">
        <v>146</v>
      </c>
      <c r="J146" s="418">
        <f>COUNTIFS(F$1:F$142,"web",G$1:G$142, 40)</f>
        <v>18</v>
      </c>
      <c r="K146" s="418">
        <f>COUNTIFS(F$1:F$142,"web",G$1:G$142, 65)</f>
        <v>13</v>
      </c>
      <c r="L146" s="419">
        <f>COUNTIFS(F$1:F$142,"web",G$1:G$142, 64)</f>
        <v>5</v>
      </c>
      <c r="M146" s="1146"/>
      <c r="N146" s="446"/>
      <c r="O146" s="22"/>
      <c r="P146" s="22"/>
      <c r="Q146" s="22"/>
      <c r="R146" s="22"/>
      <c r="S146" s="22"/>
      <c r="T146" s="22"/>
      <c r="U146" s="22"/>
    </row>
    <row r="147" spans="1:21">
      <c r="A147" s="22"/>
      <c r="B147" s="22"/>
      <c r="C147" s="1609"/>
      <c r="D147" s="412"/>
      <c r="E147" s="423" t="s">
        <v>132</v>
      </c>
      <c r="F147" s="424">
        <f>COUNTIFS(G$1:G$142,65,J$1:J$142, "Positif")+COUNTIFS(G$1:G$142,65,J$1:J$142,"Positive")</f>
        <v>27</v>
      </c>
      <c r="G147" s="419">
        <f>COUNTIFS(G$1:G$142,65,J$1:J$142, "Negatif")+COUNTIFS(G$1:G$142,65,J$1:J$142, "Negative")+COUNTIFS(G$1:G$142,65,J$1:J$142, "négatif")+COUNTIFS(G$1:G$142,65,J$1:J$142, "négative")</f>
        <v>6</v>
      </c>
      <c r="H147" s="415"/>
      <c r="I147" s="425" t="s">
        <v>147</v>
      </c>
      <c r="J147" s="418">
        <f>COUNTIFS(F$1:F$142,"radio",G$1:G$142, 40)</f>
        <v>9</v>
      </c>
      <c r="K147" s="418">
        <f>COUNTIFS(F$1:F$142,"radio",G$1:G$142, 65)</f>
        <v>0</v>
      </c>
      <c r="L147" s="419">
        <f>COUNTIFS(F$1:F$142,"radio",G$1:G$142, 64)</f>
        <v>2</v>
      </c>
      <c r="M147" s="1146"/>
      <c r="N147" s="446"/>
      <c r="O147" s="22"/>
      <c r="P147" s="22"/>
      <c r="Q147" s="22"/>
      <c r="R147" s="22"/>
      <c r="S147" s="22"/>
      <c r="T147" s="22"/>
      <c r="U147" s="22"/>
    </row>
    <row r="148" spans="1:21" ht="16.5" thickBot="1">
      <c r="A148" s="22"/>
      <c r="B148" s="22"/>
      <c r="C148" s="1609"/>
      <c r="D148" s="412"/>
      <c r="E148" s="426" t="s">
        <v>134</v>
      </c>
      <c r="F148" s="427">
        <f>COUNTIFS(G$1:G$142,64,J$1:J$142, "Positif")+COUNTIFS(G$1:G$142,64,J$1:J$142,"Positive")</f>
        <v>18</v>
      </c>
      <c r="G148" s="428">
        <f>COUNTIFS(G$7:G$142,64,J$7:J$142, "Negatif")+COUNTIFS(G$7:G$142,64,J$7:J$142, "Negative")+COUNTIFS(G$7:G$142,64,J$7:J$142, "négatif")+COUNTIFS(G$7:G$142,64,J$7:J$142, "négative")</f>
        <v>4</v>
      </c>
      <c r="H148" s="415"/>
      <c r="I148" s="429" t="s">
        <v>148</v>
      </c>
      <c r="J148" s="430">
        <f>COUNTIFS(F$1:F$142,"TV",G$1:G$142, 40)</f>
        <v>1</v>
      </c>
      <c r="K148" s="430">
        <f>COUNTIFS(F$1:F$142,"TV",G$1:G$142, 65)</f>
        <v>0</v>
      </c>
      <c r="L148" s="431">
        <f>COUNTIFS(F$1:F$142,"TV",G$1:G$142, 64)</f>
        <v>0</v>
      </c>
      <c r="M148" s="1146"/>
      <c r="N148" s="446"/>
      <c r="O148" s="22"/>
      <c r="P148" s="22"/>
      <c r="Q148" s="22"/>
      <c r="R148" s="22"/>
      <c r="S148" s="22"/>
      <c r="T148" s="22"/>
      <c r="U148" s="22"/>
    </row>
    <row r="149" spans="1:21">
      <c r="A149" s="22"/>
      <c r="B149" s="22"/>
      <c r="C149" s="1609"/>
      <c r="D149" s="412"/>
      <c r="E149" s="432"/>
      <c r="F149" s="433"/>
      <c r="G149" s="433"/>
      <c r="H149" s="415"/>
      <c r="I149" s="434"/>
      <c r="J149" s="435"/>
      <c r="K149" s="436"/>
      <c r="L149" s="434"/>
      <c r="M149" s="437"/>
      <c r="N149" s="446"/>
      <c r="O149" s="22"/>
      <c r="P149" s="22"/>
      <c r="Q149" s="22"/>
      <c r="R149" s="22"/>
      <c r="S149" s="22"/>
      <c r="T149" s="22"/>
      <c r="U149" s="22"/>
    </row>
    <row r="150" spans="1:21" ht="16.5" thickBot="1">
      <c r="A150" s="22"/>
      <c r="B150" s="22"/>
      <c r="C150" s="1610"/>
      <c r="D150" s="438"/>
      <c r="E150" s="439"/>
      <c r="F150" s="440"/>
      <c r="G150" s="441"/>
      <c r="H150" s="442"/>
      <c r="I150" s="443"/>
      <c r="J150" s="441"/>
      <c r="K150" s="444"/>
      <c r="L150" s="443"/>
      <c r="M150" s="445"/>
      <c r="N150" s="446"/>
      <c r="O150" s="22"/>
      <c r="P150" s="22"/>
      <c r="Q150" s="22"/>
      <c r="R150" s="22"/>
      <c r="S150" s="22"/>
      <c r="T150" s="22"/>
      <c r="U150" s="22"/>
    </row>
    <row r="151" spans="1:21" ht="16.5" thickBot="1">
      <c r="A151" s="22"/>
      <c r="B151" s="22"/>
      <c r="C151" s="446"/>
      <c r="D151" s="446"/>
      <c r="E151" s="446"/>
      <c r="F151" s="446"/>
      <c r="G151" s="446"/>
      <c r="H151" s="446"/>
      <c r="I151" s="446"/>
      <c r="J151" s="446"/>
      <c r="K151" s="446"/>
      <c r="L151" s="446"/>
      <c r="M151" s="446"/>
      <c r="N151" s="446"/>
      <c r="O151" s="22"/>
      <c r="P151" s="22"/>
      <c r="Q151" s="22"/>
      <c r="R151" s="22"/>
      <c r="S151" s="22"/>
      <c r="T151" s="22"/>
      <c r="U151" s="22"/>
    </row>
    <row r="152" spans="1:21" ht="16.5" customHeight="1" thickBot="1">
      <c r="A152" s="22"/>
      <c r="B152" s="185"/>
      <c r="C152" s="1608" t="s">
        <v>138</v>
      </c>
      <c r="D152" s="1147"/>
      <c r="E152" s="447"/>
      <c r="F152" s="1148"/>
      <c r="G152" s="1149"/>
      <c r="H152" s="1148"/>
      <c r="I152" s="411"/>
      <c r="J152" s="1150"/>
      <c r="K152" s="446"/>
      <c r="L152" s="446"/>
      <c r="M152" s="446"/>
      <c r="N152" s="538"/>
      <c r="O152" s="22"/>
      <c r="P152" s="22"/>
      <c r="Q152" s="22"/>
      <c r="R152" s="22"/>
      <c r="S152" s="22"/>
      <c r="T152" s="22"/>
      <c r="U152" s="22"/>
    </row>
    <row r="153" spans="1:21">
      <c r="A153" s="22"/>
      <c r="B153" s="185"/>
      <c r="C153" s="1609"/>
      <c r="D153" s="1151"/>
      <c r="E153" s="1611" t="s">
        <v>149</v>
      </c>
      <c r="F153" s="1612"/>
      <c r="G153" s="1153"/>
      <c r="H153" s="1611" t="s">
        <v>236</v>
      </c>
      <c r="I153" s="1612"/>
      <c r="J153" s="1146"/>
      <c r="K153" s="446"/>
      <c r="L153" s="446"/>
      <c r="M153" s="446"/>
      <c r="N153" s="538"/>
      <c r="O153" s="22"/>
      <c r="P153" s="22"/>
      <c r="Q153" s="22"/>
      <c r="R153" s="22"/>
      <c r="S153" s="22"/>
      <c r="T153" s="22"/>
      <c r="U153" s="22"/>
    </row>
    <row r="154" spans="1:21">
      <c r="A154" s="22"/>
      <c r="B154" s="22"/>
      <c r="C154" s="1609"/>
      <c r="D154" s="1151"/>
      <c r="E154" s="1613"/>
      <c r="F154" s="1614"/>
      <c r="G154" s="1153"/>
      <c r="H154" s="1615"/>
      <c r="I154" s="1616"/>
      <c r="J154" s="1146"/>
      <c r="K154" s="446"/>
      <c r="L154" s="446"/>
      <c r="M154" s="446"/>
      <c r="N154" s="446"/>
      <c r="O154" s="22"/>
      <c r="P154" s="22"/>
      <c r="Q154" s="22"/>
      <c r="R154" s="22"/>
      <c r="S154" s="22"/>
      <c r="T154" s="22"/>
      <c r="U154" s="22"/>
    </row>
    <row r="155" spans="1:21">
      <c r="A155" s="22"/>
      <c r="B155" s="186"/>
      <c r="C155" s="1609"/>
      <c r="D155" s="1151"/>
      <c r="E155" s="1613"/>
      <c r="F155" s="1614"/>
      <c r="G155" s="1153"/>
      <c r="H155" s="449" t="s">
        <v>151</v>
      </c>
      <c r="I155" s="450">
        <f>SUM(T:T)</f>
        <v>48</v>
      </c>
      <c r="J155" s="1146"/>
      <c r="K155" s="446"/>
      <c r="L155" s="446"/>
      <c r="M155" s="446"/>
      <c r="N155" s="488"/>
      <c r="O155" s="22"/>
      <c r="P155" s="22"/>
      <c r="Q155" s="22"/>
      <c r="R155" s="22"/>
      <c r="S155" s="22"/>
      <c r="T155" s="22"/>
      <c r="U155" s="22"/>
    </row>
    <row r="156" spans="1:21">
      <c r="A156" s="22"/>
      <c r="B156" s="186"/>
      <c r="C156" s="1609"/>
      <c r="D156" s="1151"/>
      <c r="E156" s="452" t="s">
        <v>152</v>
      </c>
      <c r="F156" s="450">
        <f>COUNTIF(Q:Q,40)</f>
        <v>4</v>
      </c>
      <c r="G156" s="1153"/>
      <c r="H156" s="453" t="s">
        <v>153</v>
      </c>
      <c r="I156" s="450">
        <f>SUMIFS(T:T,Q:Q, 40)</f>
        <v>21</v>
      </c>
      <c r="J156" s="1146"/>
      <c r="K156" s="446"/>
      <c r="L156" s="446"/>
      <c r="M156" s="446"/>
      <c r="N156" s="488"/>
      <c r="O156" s="22"/>
      <c r="P156" s="22"/>
      <c r="Q156" s="22"/>
      <c r="R156" s="22"/>
      <c r="S156" s="22"/>
      <c r="T156" s="22"/>
      <c r="U156" s="22"/>
    </row>
    <row r="157" spans="1:21">
      <c r="A157" s="22"/>
      <c r="B157" s="186"/>
      <c r="C157" s="1609"/>
      <c r="D157" s="1154"/>
      <c r="E157" s="453" t="s">
        <v>154</v>
      </c>
      <c r="F157" s="450">
        <f>COUNTIF(Q:Q,65)</f>
        <v>5</v>
      </c>
      <c r="G157" s="1154"/>
      <c r="H157" s="453" t="s">
        <v>155</v>
      </c>
      <c r="I157" s="450">
        <f>SUMIFS(T:T,Q:Q, 65)</f>
        <v>18</v>
      </c>
      <c r="J157" s="1155"/>
      <c r="K157" s="454"/>
      <c r="L157" s="446"/>
      <c r="M157" s="446"/>
      <c r="N157" s="488"/>
      <c r="O157" s="22"/>
      <c r="P157" s="22"/>
      <c r="Q157" s="22"/>
      <c r="R157" s="22"/>
      <c r="S157" s="22"/>
      <c r="T157" s="22"/>
      <c r="U157" s="22"/>
    </row>
    <row r="158" spans="1:21" ht="16.5" thickBot="1">
      <c r="A158" s="22"/>
      <c r="B158" s="187"/>
      <c r="C158" s="1609"/>
      <c r="D158" s="1154"/>
      <c r="E158" s="455" t="s">
        <v>156</v>
      </c>
      <c r="F158" s="456">
        <f>COUNTIF(Q:Q,64)</f>
        <v>4</v>
      </c>
      <c r="G158" s="1154"/>
      <c r="H158" s="455" t="s">
        <v>157</v>
      </c>
      <c r="I158" s="456">
        <f>SUMIFS(T:T,Q:Q, 64)</f>
        <v>9</v>
      </c>
      <c r="J158" s="1155"/>
      <c r="K158" s="454"/>
      <c r="L158" s="446"/>
      <c r="M158" s="446"/>
      <c r="N158" s="539"/>
      <c r="O158" s="22"/>
      <c r="P158" s="22"/>
      <c r="Q158" s="22"/>
      <c r="R158" s="22"/>
      <c r="S158" s="22"/>
      <c r="T158" s="22"/>
      <c r="U158" s="22"/>
    </row>
    <row r="159" spans="1:21" ht="16.5" thickBot="1">
      <c r="A159" s="22"/>
      <c r="B159" s="186"/>
      <c r="C159" s="1610"/>
      <c r="D159" s="1156"/>
      <c r="E159" s="1156"/>
      <c r="F159" s="1156"/>
      <c r="G159" s="1156"/>
      <c r="H159" s="1156"/>
      <c r="I159" s="1156"/>
      <c r="J159" s="1157"/>
      <c r="K159" s="458"/>
      <c r="L159" s="446"/>
      <c r="M159" s="446"/>
      <c r="N159" s="488"/>
      <c r="O159" s="22"/>
      <c r="P159" s="22"/>
      <c r="Q159" s="22"/>
      <c r="R159" s="22"/>
      <c r="S159" s="22"/>
      <c r="T159" s="22"/>
      <c r="U159" s="22"/>
    </row>
    <row r="160" spans="1:21" ht="16.5" thickBot="1">
      <c r="A160" s="22"/>
      <c r="B160" s="22"/>
      <c r="C160" s="459"/>
      <c r="D160" s="460"/>
      <c r="E160" s="446"/>
      <c r="F160" s="461"/>
      <c r="G160" s="458"/>
      <c r="H160" s="462"/>
      <c r="I160" s="463"/>
      <c r="J160" s="463"/>
      <c r="K160" s="454"/>
      <c r="L160" s="446"/>
      <c r="M160" s="446"/>
      <c r="N160" s="446"/>
      <c r="O160" s="22"/>
      <c r="P160" s="22"/>
      <c r="Q160" s="22"/>
      <c r="R160" s="22"/>
      <c r="S160" s="22"/>
      <c r="T160" s="22"/>
      <c r="U160" s="22"/>
    </row>
    <row r="161" spans="1:21" ht="16.5" customHeight="1" thickBot="1">
      <c r="A161" s="22"/>
      <c r="B161" s="187"/>
      <c r="C161" s="1608" t="s">
        <v>138</v>
      </c>
      <c r="D161" s="1158"/>
      <c r="E161" s="1158"/>
      <c r="F161" s="1158"/>
      <c r="G161" s="1158"/>
      <c r="H161" s="1158"/>
      <c r="I161" s="1158"/>
      <c r="J161" s="1159"/>
      <c r="K161" s="446"/>
      <c r="L161" s="446"/>
      <c r="M161" s="446"/>
      <c r="N161" s="539"/>
      <c r="O161" s="22"/>
      <c r="P161" s="22"/>
      <c r="Q161" s="22"/>
      <c r="R161" s="22"/>
      <c r="S161" s="22"/>
      <c r="T161" s="22"/>
      <c r="U161" s="22"/>
    </row>
    <row r="162" spans="1:21">
      <c r="A162" s="22"/>
      <c r="B162" s="186"/>
      <c r="C162" s="1609"/>
      <c r="D162" s="1154"/>
      <c r="E162" s="1617" t="s">
        <v>237</v>
      </c>
      <c r="F162" s="1618"/>
      <c r="G162" s="1618"/>
      <c r="H162" s="1618"/>
      <c r="I162" s="1619"/>
      <c r="J162" s="1155"/>
      <c r="K162" s="446"/>
      <c r="L162" s="446"/>
      <c r="M162" s="446"/>
      <c r="N162" s="488"/>
      <c r="O162" s="22"/>
      <c r="P162" s="22"/>
      <c r="Q162" s="22"/>
      <c r="R162" s="22"/>
      <c r="S162" s="22"/>
      <c r="T162" s="22"/>
      <c r="U162" s="22"/>
    </row>
    <row r="163" spans="1:21">
      <c r="A163" s="22"/>
      <c r="B163" s="186"/>
      <c r="C163" s="1609"/>
      <c r="D163" s="1154"/>
      <c r="E163" s="464" t="s">
        <v>72</v>
      </c>
      <c r="F163" s="465" t="s">
        <v>159</v>
      </c>
      <c r="G163" s="466" t="s">
        <v>143</v>
      </c>
      <c r="H163" s="466" t="s">
        <v>132</v>
      </c>
      <c r="I163" s="467" t="s">
        <v>134</v>
      </c>
      <c r="J163" s="1155"/>
      <c r="K163" s="446"/>
      <c r="L163" s="446"/>
      <c r="M163" s="446"/>
      <c r="N163" s="488"/>
      <c r="O163" s="22"/>
      <c r="P163" s="22"/>
      <c r="Q163" s="22"/>
      <c r="R163" s="22"/>
      <c r="S163" s="22"/>
      <c r="T163" s="22"/>
      <c r="U163" s="22"/>
    </row>
    <row r="164" spans="1:21">
      <c r="A164" s="22"/>
      <c r="B164" s="22"/>
      <c r="C164" s="1609"/>
      <c r="D164" s="1154"/>
      <c r="E164" s="468" t="s">
        <v>47</v>
      </c>
      <c r="F164" s="1160">
        <f t="shared" ref="F164:F171" si="0">COUNTIFS(I$11:I$142, E164)</f>
        <v>0</v>
      </c>
      <c r="G164" s="1161">
        <f t="shared" ref="G164:G171" si="1">COUNTIFS(G$11:G$142,40,I$11:I$142, E164)</f>
        <v>0</v>
      </c>
      <c r="H164" s="1162">
        <f t="shared" ref="H164:H171" si="2">COUNTIFS(G$11:G$142,65,I$11:I$142, E164)</f>
        <v>0</v>
      </c>
      <c r="I164" s="1163">
        <f t="shared" ref="I164:I171" si="3">COUNTIFS(G$11:G$142,64,I$11:I$142, E164)</f>
        <v>0</v>
      </c>
      <c r="J164" s="1155"/>
      <c r="K164" s="446"/>
      <c r="L164" s="446"/>
      <c r="M164" s="446"/>
      <c r="N164" s="446"/>
      <c r="O164" s="22"/>
      <c r="P164" s="22"/>
      <c r="Q164" s="22"/>
      <c r="R164" s="22"/>
      <c r="S164" s="22"/>
      <c r="T164" s="22"/>
      <c r="U164" s="22"/>
    </row>
    <row r="165" spans="1:21">
      <c r="A165" s="22"/>
      <c r="B165" s="22"/>
      <c r="C165" s="1609"/>
      <c r="D165" s="1154"/>
      <c r="E165" s="469" t="s">
        <v>48</v>
      </c>
      <c r="F165" s="1160">
        <f t="shared" si="0"/>
        <v>1</v>
      </c>
      <c r="G165" s="1161">
        <f t="shared" si="1"/>
        <v>0</v>
      </c>
      <c r="H165" s="1162">
        <f t="shared" si="2"/>
        <v>0</v>
      </c>
      <c r="I165" s="1163">
        <f t="shared" si="3"/>
        <v>1</v>
      </c>
      <c r="J165" s="1155"/>
      <c r="K165" s="446"/>
      <c r="L165" s="446"/>
      <c r="M165" s="446"/>
      <c r="N165" s="446"/>
      <c r="O165" s="22"/>
      <c r="P165" s="22"/>
      <c r="Q165" s="22"/>
      <c r="R165" s="22"/>
      <c r="S165" s="22"/>
      <c r="T165" s="22"/>
      <c r="U165" s="22"/>
    </row>
    <row r="166" spans="1:21">
      <c r="A166" s="22"/>
      <c r="B166" s="22"/>
      <c r="C166" s="1609"/>
      <c r="D166" s="1154"/>
      <c r="E166" s="469" t="s">
        <v>49</v>
      </c>
      <c r="F166" s="1160">
        <f t="shared" si="0"/>
        <v>0</v>
      </c>
      <c r="G166" s="1161">
        <f t="shared" si="1"/>
        <v>0</v>
      </c>
      <c r="H166" s="1162">
        <f t="shared" si="2"/>
        <v>0</v>
      </c>
      <c r="I166" s="1163">
        <f t="shared" si="3"/>
        <v>0</v>
      </c>
      <c r="J166" s="1155"/>
      <c r="K166" s="446"/>
      <c r="L166" s="446"/>
      <c r="M166" s="446"/>
      <c r="N166" s="446"/>
      <c r="O166" s="22"/>
      <c r="P166" s="22"/>
      <c r="Q166" s="22"/>
      <c r="R166" s="22"/>
      <c r="S166" s="22"/>
      <c r="T166" s="22"/>
      <c r="U166" s="22"/>
    </row>
    <row r="167" spans="1:21">
      <c r="A167" s="22"/>
      <c r="B167" s="186"/>
      <c r="C167" s="1609"/>
      <c r="D167" s="1154"/>
      <c r="E167" s="469" t="s">
        <v>50</v>
      </c>
      <c r="F167" s="1160">
        <f t="shared" si="0"/>
        <v>28</v>
      </c>
      <c r="G167" s="1161">
        <f t="shared" si="1"/>
        <v>3</v>
      </c>
      <c r="H167" s="1162">
        <f t="shared" si="2"/>
        <v>16</v>
      </c>
      <c r="I167" s="1163">
        <f t="shared" si="3"/>
        <v>9</v>
      </c>
      <c r="J167" s="1155"/>
      <c r="K167" s="446"/>
      <c r="L167" s="446"/>
      <c r="M167" s="446"/>
      <c r="N167" s="488"/>
      <c r="O167" s="22"/>
      <c r="P167" s="22"/>
      <c r="Q167" s="22"/>
      <c r="R167" s="22"/>
      <c r="S167" s="22"/>
      <c r="T167" s="22"/>
      <c r="U167" s="22"/>
    </row>
    <row r="168" spans="1:21">
      <c r="A168" s="22"/>
      <c r="B168" s="186"/>
      <c r="C168" s="1609"/>
      <c r="D168" s="1154"/>
      <c r="E168" s="469" t="s">
        <v>51</v>
      </c>
      <c r="F168" s="1160">
        <f t="shared" si="0"/>
        <v>16</v>
      </c>
      <c r="G168" s="1161">
        <f t="shared" si="1"/>
        <v>7</v>
      </c>
      <c r="H168" s="1162">
        <f t="shared" si="2"/>
        <v>5</v>
      </c>
      <c r="I168" s="1163">
        <f t="shared" si="3"/>
        <v>4</v>
      </c>
      <c r="J168" s="1155"/>
      <c r="K168" s="446"/>
      <c r="L168" s="446"/>
      <c r="M168" s="446"/>
      <c r="N168" s="488"/>
      <c r="O168" s="22"/>
      <c r="P168" s="22"/>
      <c r="Q168" s="22"/>
      <c r="R168" s="22"/>
      <c r="S168" s="22"/>
      <c r="T168" s="22"/>
      <c r="U168" s="22"/>
    </row>
    <row r="169" spans="1:21">
      <c r="A169" s="22"/>
      <c r="B169" s="186"/>
      <c r="C169" s="1609"/>
      <c r="D169" s="1154"/>
      <c r="E169" s="469" t="s">
        <v>52</v>
      </c>
      <c r="F169" s="1160">
        <f t="shared" si="0"/>
        <v>18</v>
      </c>
      <c r="G169" s="1161">
        <f t="shared" si="1"/>
        <v>10</v>
      </c>
      <c r="H169" s="1162">
        <f t="shared" si="2"/>
        <v>5</v>
      </c>
      <c r="I169" s="1163">
        <f t="shared" si="3"/>
        <v>3</v>
      </c>
      <c r="J169" s="1155"/>
      <c r="K169" s="446"/>
      <c r="L169" s="446"/>
      <c r="M169" s="446"/>
      <c r="N169" s="488"/>
      <c r="O169" s="22"/>
      <c r="P169" s="22"/>
      <c r="Q169" s="22"/>
      <c r="R169" s="22"/>
      <c r="S169" s="22"/>
      <c r="T169" s="22"/>
      <c r="U169" s="22"/>
    </row>
    <row r="170" spans="1:21">
      <c r="A170" s="22"/>
      <c r="B170" s="22"/>
      <c r="C170" s="1609"/>
      <c r="D170" s="1154"/>
      <c r="E170" s="469" t="s">
        <v>53</v>
      </c>
      <c r="F170" s="1160">
        <f t="shared" si="0"/>
        <v>14</v>
      </c>
      <c r="G170" s="1161">
        <f t="shared" si="1"/>
        <v>2</v>
      </c>
      <c r="H170" s="1162">
        <f t="shared" si="2"/>
        <v>7</v>
      </c>
      <c r="I170" s="1163">
        <f t="shared" si="3"/>
        <v>5</v>
      </c>
      <c r="J170" s="1155"/>
      <c r="K170" s="446"/>
      <c r="L170" s="446"/>
      <c r="M170" s="446"/>
      <c r="N170" s="446"/>
      <c r="O170" s="22"/>
      <c r="P170" s="22"/>
      <c r="Q170" s="22"/>
      <c r="R170" s="22"/>
      <c r="S170" s="22"/>
      <c r="T170" s="22"/>
      <c r="U170" s="22"/>
    </row>
    <row r="171" spans="1:21" ht="16.5" thickBot="1">
      <c r="A171" s="22"/>
      <c r="B171" s="186"/>
      <c r="C171" s="1609"/>
      <c r="D171" s="1154"/>
      <c r="E171" s="470" t="s">
        <v>54</v>
      </c>
      <c r="F171" s="1164">
        <f t="shared" si="0"/>
        <v>11</v>
      </c>
      <c r="G171" s="1165">
        <f t="shared" si="1"/>
        <v>11</v>
      </c>
      <c r="H171" s="1166">
        <f t="shared" si="2"/>
        <v>0</v>
      </c>
      <c r="I171" s="1167">
        <f t="shared" si="3"/>
        <v>0</v>
      </c>
      <c r="J171" s="1155"/>
      <c r="K171" s="446"/>
      <c r="L171" s="446"/>
      <c r="M171" s="446"/>
      <c r="N171" s="488"/>
      <c r="O171" s="22"/>
      <c r="P171" s="22"/>
      <c r="Q171" s="22"/>
      <c r="R171" s="22"/>
      <c r="S171" s="22"/>
      <c r="T171" s="22"/>
      <c r="U171" s="22"/>
    </row>
    <row r="172" spans="1:21">
      <c r="A172" s="22"/>
      <c r="B172" s="22"/>
      <c r="C172" s="1609"/>
      <c r="D172" s="1154"/>
      <c r="E172" s="1154"/>
      <c r="F172" s="1154"/>
      <c r="G172" s="1154"/>
      <c r="H172" s="1154"/>
      <c r="I172" s="1154"/>
      <c r="J172" s="1155"/>
      <c r="K172" s="446"/>
      <c r="L172" s="446"/>
      <c r="M172" s="446"/>
      <c r="N172" s="446"/>
      <c r="O172" s="22"/>
      <c r="P172" s="22"/>
      <c r="Q172" s="22"/>
      <c r="R172" s="22"/>
      <c r="S172" s="22"/>
      <c r="T172" s="22"/>
      <c r="U172" s="22"/>
    </row>
    <row r="173" spans="1:21" ht="16.5" thickBot="1">
      <c r="A173" s="22"/>
      <c r="B173" s="186"/>
      <c r="C173" s="1610"/>
      <c r="D173" s="1156"/>
      <c r="E173" s="1156"/>
      <c r="F173" s="1156"/>
      <c r="G173" s="1156"/>
      <c r="H173" s="1156"/>
      <c r="I173" s="1156"/>
      <c r="J173" s="1157"/>
      <c r="K173" s="446"/>
      <c r="L173" s="446"/>
      <c r="M173" s="446"/>
      <c r="N173" s="488"/>
      <c r="O173" s="22"/>
      <c r="P173" s="22"/>
      <c r="Q173" s="22"/>
      <c r="R173" s="22"/>
      <c r="S173" s="22"/>
      <c r="T173" s="22"/>
      <c r="U173" s="22"/>
    </row>
    <row r="174" spans="1:21">
      <c r="A174" s="22"/>
      <c r="B174" s="186"/>
      <c r="C174" s="446"/>
      <c r="D174" s="446"/>
      <c r="E174" s="446"/>
      <c r="F174" s="446"/>
      <c r="G174" s="446"/>
      <c r="H174" s="446"/>
      <c r="I174" s="446"/>
      <c r="J174" s="446"/>
      <c r="K174" s="446"/>
      <c r="L174" s="446"/>
      <c r="M174" s="446"/>
      <c r="N174" s="488"/>
      <c r="O174" s="22"/>
      <c r="P174" s="22"/>
      <c r="Q174" s="22"/>
      <c r="R174" s="22"/>
      <c r="S174" s="22"/>
      <c r="T174" s="22"/>
      <c r="U174" s="22"/>
    </row>
    <row r="175" spans="1:21" ht="16.5" thickBot="1">
      <c r="A175" s="22"/>
      <c r="B175" s="186"/>
      <c r="C175" s="446"/>
      <c r="D175" s="446"/>
      <c r="E175" s="446"/>
      <c r="F175" s="446"/>
      <c r="G175" s="446"/>
      <c r="H175" s="446"/>
      <c r="I175" s="446"/>
      <c r="J175" s="446"/>
      <c r="K175" s="446"/>
      <c r="L175" s="446"/>
      <c r="M175" s="446"/>
      <c r="N175" s="488"/>
      <c r="O175" s="22"/>
      <c r="P175" s="22"/>
      <c r="Q175" s="22"/>
      <c r="R175" s="22"/>
      <c r="S175" s="22"/>
      <c r="T175" s="22"/>
      <c r="U175" s="22"/>
    </row>
    <row r="176" spans="1:21" ht="16.5" customHeight="1" thickBot="1">
      <c r="A176" s="22"/>
      <c r="B176" s="186"/>
      <c r="C176" s="1600" t="s">
        <v>138</v>
      </c>
      <c r="D176" s="471"/>
      <c r="E176" s="472"/>
      <c r="F176" s="472"/>
      <c r="G176" s="472"/>
      <c r="H176" s="472"/>
      <c r="I176" s="472"/>
      <c r="J176" s="472"/>
      <c r="K176" s="472"/>
      <c r="L176" s="472"/>
      <c r="M176" s="472"/>
      <c r="N176" s="473"/>
      <c r="O176" s="22"/>
      <c r="P176" s="22"/>
      <c r="Q176" s="22"/>
      <c r="R176" s="22"/>
      <c r="S176" s="22"/>
      <c r="T176" s="22"/>
      <c r="U176" s="22"/>
    </row>
    <row r="177" spans="1:21">
      <c r="A177" s="22"/>
      <c r="B177" s="186"/>
      <c r="C177" s="1601"/>
      <c r="D177" s="474"/>
      <c r="E177" s="1634" t="s">
        <v>160</v>
      </c>
      <c r="F177" s="1635"/>
      <c r="G177" s="1635"/>
      <c r="H177" s="1635"/>
      <c r="I177" s="1635"/>
      <c r="J177" s="1635"/>
      <c r="K177" s="1635"/>
      <c r="L177" s="1635"/>
      <c r="M177" s="1636"/>
      <c r="N177" s="1168"/>
      <c r="O177" s="22"/>
      <c r="P177" s="22"/>
      <c r="Q177" s="22"/>
      <c r="R177" s="22"/>
      <c r="S177" s="22"/>
      <c r="T177" s="22"/>
      <c r="U177" s="22"/>
    </row>
    <row r="178" spans="1:21">
      <c r="A178" s="22"/>
      <c r="B178" s="186"/>
      <c r="C178" s="1601"/>
      <c r="D178" s="474"/>
      <c r="E178" s="1637"/>
      <c r="F178" s="1638"/>
      <c r="G178" s="1638"/>
      <c r="H178" s="1638"/>
      <c r="I178" s="1638"/>
      <c r="J178" s="1638"/>
      <c r="K178" s="1638"/>
      <c r="L178" s="1638"/>
      <c r="M178" s="1639"/>
      <c r="N178" s="475"/>
      <c r="O178" s="22"/>
      <c r="P178" s="22"/>
      <c r="Q178" s="22"/>
      <c r="R178" s="22"/>
      <c r="S178" s="22"/>
      <c r="T178" s="22"/>
      <c r="U178" s="22"/>
    </row>
    <row r="179" spans="1:21">
      <c r="A179" s="22"/>
      <c r="B179" s="186"/>
      <c r="C179" s="1601"/>
      <c r="D179" s="474"/>
      <c r="E179" s="464" t="s">
        <v>161</v>
      </c>
      <c r="F179" s="1603" t="s">
        <v>159</v>
      </c>
      <c r="G179" s="1604"/>
      <c r="H179" s="1605" t="s">
        <v>143</v>
      </c>
      <c r="I179" s="1606"/>
      <c r="J179" s="1605" t="s">
        <v>162</v>
      </c>
      <c r="K179" s="1606"/>
      <c r="L179" s="1605" t="s">
        <v>163</v>
      </c>
      <c r="M179" s="1607"/>
      <c r="N179" s="475"/>
      <c r="O179" s="22"/>
      <c r="P179" s="22"/>
      <c r="Q179" s="22"/>
      <c r="R179" s="22"/>
      <c r="S179" s="22"/>
      <c r="T179" s="22"/>
      <c r="U179" s="22"/>
    </row>
    <row r="180" spans="1:21">
      <c r="A180" s="22"/>
      <c r="B180" s="22"/>
      <c r="C180" s="1601"/>
      <c r="D180" s="474"/>
      <c r="E180" s="476" t="s">
        <v>47</v>
      </c>
      <c r="F180" s="1169">
        <f>SUM(H180,J180,L180)</f>
        <v>0</v>
      </c>
      <c r="G180" s="1170">
        <f>SUM(I180,K180,M180)</f>
        <v>0</v>
      </c>
      <c r="H180" s="1169">
        <f t="shared" ref="H180:H187" si="4">COUNTIFS(I$1:I$142, E180,J$1:J$142, "Positif",G$1:G$142, 40)</f>
        <v>0</v>
      </c>
      <c r="I180" s="1170">
        <f t="shared" ref="I180:I187" si="5">COUNTIFS(I$1:I$142,E180,J$1:J$142,"Negatif",G$1:G$142,40)+COUNTIFS(I$1:I$142,E180,J$1:J$142,"Négatif",G$1:G$142,40)</f>
        <v>0</v>
      </c>
      <c r="J180" s="1169">
        <f t="shared" ref="J180:J187" si="6">COUNTIFS(I$1:I$142, E180,J$1:J$142, "Positif",G$1:G$142, 65)</f>
        <v>0</v>
      </c>
      <c r="K180" s="1170">
        <f t="shared" ref="K180:K187" si="7">COUNTIFS(I$1:I$142,E180,J$1:J$142,"Negatif",G$1:G$142,65)+COUNTIFS(I$1:I$142,E180,J$1:J$142,"Négatif",G$1:G$142,65)</f>
        <v>0</v>
      </c>
      <c r="L180" s="1169">
        <f t="shared" ref="L180:L187" si="8">COUNTIFS(I$1:I$142, E180,J$1:J$142, "Positif",G$1:G$142,64)</f>
        <v>0</v>
      </c>
      <c r="M180" s="1171">
        <f t="shared" ref="M180:M187" si="9">COUNTIFS(I$1:I$142,E180,J$1:J$142,"Negatif",G$1:G$142,64)+COUNTIFS(I$1:I$142,E180,J$1:J$142,"Négatif",G$1:G$142,64)</f>
        <v>0</v>
      </c>
      <c r="N180" s="475"/>
      <c r="O180" s="22"/>
      <c r="P180" s="22"/>
      <c r="Q180" s="22"/>
      <c r="R180" s="22"/>
      <c r="S180" s="22"/>
      <c r="T180" s="22"/>
      <c r="U180" s="22"/>
    </row>
    <row r="181" spans="1:21">
      <c r="A181" s="22"/>
      <c r="B181" s="22"/>
      <c r="C181" s="1601"/>
      <c r="D181" s="474"/>
      <c r="E181" s="476" t="s">
        <v>48</v>
      </c>
      <c r="F181" s="1169">
        <f t="shared" ref="F181:G187" si="10">SUM(H181,J181,L181)</f>
        <v>0</v>
      </c>
      <c r="G181" s="1170">
        <f t="shared" si="10"/>
        <v>1</v>
      </c>
      <c r="H181" s="1169">
        <f t="shared" si="4"/>
        <v>0</v>
      </c>
      <c r="I181" s="1170">
        <f t="shared" si="5"/>
        <v>0</v>
      </c>
      <c r="J181" s="1169">
        <f t="shared" si="6"/>
        <v>0</v>
      </c>
      <c r="K181" s="1170">
        <f t="shared" si="7"/>
        <v>0</v>
      </c>
      <c r="L181" s="1169">
        <f t="shared" si="8"/>
        <v>0</v>
      </c>
      <c r="M181" s="1171">
        <f t="shared" si="9"/>
        <v>1</v>
      </c>
      <c r="N181" s="475"/>
      <c r="O181" s="22"/>
      <c r="P181" s="22"/>
      <c r="Q181" s="22"/>
      <c r="R181" s="22"/>
      <c r="S181" s="22"/>
      <c r="T181" s="22"/>
      <c r="U181" s="22"/>
    </row>
    <row r="182" spans="1:21">
      <c r="A182" s="22"/>
      <c r="B182" s="22"/>
      <c r="C182" s="1601"/>
      <c r="D182" s="474"/>
      <c r="E182" s="476" t="s">
        <v>49</v>
      </c>
      <c r="F182" s="1169">
        <f t="shared" si="10"/>
        <v>0</v>
      </c>
      <c r="G182" s="1170">
        <f t="shared" si="10"/>
        <v>0</v>
      </c>
      <c r="H182" s="1169">
        <f t="shared" si="4"/>
        <v>0</v>
      </c>
      <c r="I182" s="1170">
        <f t="shared" si="5"/>
        <v>0</v>
      </c>
      <c r="J182" s="1169">
        <f t="shared" si="6"/>
        <v>0</v>
      </c>
      <c r="K182" s="1170">
        <f t="shared" si="7"/>
        <v>0</v>
      </c>
      <c r="L182" s="1169">
        <f t="shared" si="8"/>
        <v>0</v>
      </c>
      <c r="M182" s="1171">
        <f t="shared" si="9"/>
        <v>0</v>
      </c>
      <c r="N182" s="475"/>
      <c r="O182" s="22"/>
      <c r="P182" s="22"/>
      <c r="Q182" s="22"/>
      <c r="R182" s="22"/>
      <c r="S182" s="22"/>
      <c r="T182" s="22"/>
      <c r="U182" s="22"/>
    </row>
    <row r="183" spans="1:21">
      <c r="A183" s="22"/>
      <c r="B183" s="22"/>
      <c r="C183" s="1601"/>
      <c r="D183" s="474"/>
      <c r="E183" s="476" t="s">
        <v>50</v>
      </c>
      <c r="F183" s="1169">
        <f t="shared" si="10"/>
        <v>28</v>
      </c>
      <c r="G183" s="1170">
        <f t="shared" si="10"/>
        <v>0</v>
      </c>
      <c r="H183" s="1169">
        <f t="shared" si="4"/>
        <v>3</v>
      </c>
      <c r="I183" s="1170">
        <f t="shared" si="5"/>
        <v>0</v>
      </c>
      <c r="J183" s="1169">
        <f t="shared" si="6"/>
        <v>16</v>
      </c>
      <c r="K183" s="1170">
        <f t="shared" si="7"/>
        <v>0</v>
      </c>
      <c r="L183" s="1169">
        <f t="shared" si="8"/>
        <v>9</v>
      </c>
      <c r="M183" s="1171">
        <f t="shared" si="9"/>
        <v>0</v>
      </c>
      <c r="N183" s="475"/>
      <c r="O183" s="22"/>
      <c r="P183" s="22"/>
      <c r="Q183" s="22"/>
      <c r="R183" s="22"/>
      <c r="S183" s="22"/>
      <c r="T183" s="22"/>
      <c r="U183" s="22"/>
    </row>
    <row r="184" spans="1:21">
      <c r="A184" s="22"/>
      <c r="B184" s="186"/>
      <c r="C184" s="1601"/>
      <c r="D184" s="474"/>
      <c r="E184" s="476" t="s">
        <v>51</v>
      </c>
      <c r="F184" s="1169">
        <f t="shared" si="10"/>
        <v>16</v>
      </c>
      <c r="G184" s="1170">
        <f t="shared" si="10"/>
        <v>0</v>
      </c>
      <c r="H184" s="1169">
        <f t="shared" si="4"/>
        <v>7</v>
      </c>
      <c r="I184" s="1170">
        <f t="shared" si="5"/>
        <v>0</v>
      </c>
      <c r="J184" s="1169">
        <f t="shared" si="6"/>
        <v>5</v>
      </c>
      <c r="K184" s="1170">
        <f t="shared" si="7"/>
        <v>0</v>
      </c>
      <c r="L184" s="1169">
        <f t="shared" si="8"/>
        <v>4</v>
      </c>
      <c r="M184" s="1171">
        <f t="shared" si="9"/>
        <v>0</v>
      </c>
      <c r="N184" s="475"/>
      <c r="O184" s="22"/>
      <c r="P184" s="22"/>
      <c r="Q184" s="22"/>
      <c r="R184" s="22"/>
      <c r="S184" s="22"/>
      <c r="T184" s="22"/>
      <c r="U184" s="22"/>
    </row>
    <row r="185" spans="1:21">
      <c r="A185" s="22"/>
      <c r="B185" s="186"/>
      <c r="C185" s="1601"/>
      <c r="D185" s="474"/>
      <c r="E185" s="476" t="s">
        <v>52</v>
      </c>
      <c r="F185" s="1169">
        <f t="shared" si="10"/>
        <v>18</v>
      </c>
      <c r="G185" s="1170">
        <f t="shared" si="10"/>
        <v>0</v>
      </c>
      <c r="H185" s="1169">
        <f t="shared" si="4"/>
        <v>10</v>
      </c>
      <c r="I185" s="1170">
        <f t="shared" si="5"/>
        <v>0</v>
      </c>
      <c r="J185" s="1169">
        <f t="shared" si="6"/>
        <v>5</v>
      </c>
      <c r="K185" s="1170">
        <f t="shared" si="7"/>
        <v>0</v>
      </c>
      <c r="L185" s="1169">
        <f t="shared" si="8"/>
        <v>3</v>
      </c>
      <c r="M185" s="1171">
        <f t="shared" si="9"/>
        <v>0</v>
      </c>
      <c r="N185" s="475"/>
      <c r="O185" s="22"/>
      <c r="P185" s="22"/>
      <c r="Q185" s="22"/>
      <c r="R185" s="22"/>
      <c r="S185" s="22"/>
      <c r="T185" s="22"/>
      <c r="U185" s="22"/>
    </row>
    <row r="186" spans="1:21">
      <c r="A186" s="22"/>
      <c r="B186" s="186"/>
      <c r="C186" s="1601"/>
      <c r="D186" s="474"/>
      <c r="E186" s="476" t="s">
        <v>53</v>
      </c>
      <c r="F186" s="1169">
        <f t="shared" si="10"/>
        <v>5</v>
      </c>
      <c r="G186" s="1170">
        <f t="shared" si="10"/>
        <v>9</v>
      </c>
      <c r="H186" s="1169">
        <f t="shared" si="4"/>
        <v>2</v>
      </c>
      <c r="I186" s="1170">
        <f t="shared" si="5"/>
        <v>0</v>
      </c>
      <c r="J186" s="1169">
        <f t="shared" si="6"/>
        <v>1</v>
      </c>
      <c r="K186" s="1170">
        <f t="shared" si="7"/>
        <v>6</v>
      </c>
      <c r="L186" s="1169">
        <f t="shared" si="8"/>
        <v>2</v>
      </c>
      <c r="M186" s="1171">
        <f t="shared" si="9"/>
        <v>3</v>
      </c>
      <c r="N186" s="475"/>
      <c r="O186" s="22"/>
      <c r="P186" s="22"/>
      <c r="Q186" s="22"/>
      <c r="R186" s="22"/>
      <c r="S186" s="22"/>
      <c r="T186" s="22"/>
      <c r="U186" s="22"/>
    </row>
    <row r="187" spans="1:21" ht="16.5" thickBot="1">
      <c r="A187" s="22"/>
      <c r="B187" s="186"/>
      <c r="C187" s="1601"/>
      <c r="D187" s="474"/>
      <c r="E187" s="477" t="s">
        <v>54</v>
      </c>
      <c r="F187" s="1172">
        <f t="shared" si="10"/>
        <v>11</v>
      </c>
      <c r="G187" s="1173">
        <f>SUM(I187,K187,M187)</f>
        <v>0</v>
      </c>
      <c r="H187" s="1172">
        <f t="shared" si="4"/>
        <v>11</v>
      </c>
      <c r="I187" s="1173">
        <f t="shared" si="5"/>
        <v>0</v>
      </c>
      <c r="J187" s="1172">
        <f t="shared" si="6"/>
        <v>0</v>
      </c>
      <c r="K187" s="1173">
        <f t="shared" si="7"/>
        <v>0</v>
      </c>
      <c r="L187" s="1172">
        <f t="shared" si="8"/>
        <v>0</v>
      </c>
      <c r="M187" s="1174">
        <f t="shared" si="9"/>
        <v>0</v>
      </c>
      <c r="N187" s="475"/>
      <c r="O187" s="22"/>
      <c r="P187" s="22"/>
      <c r="Q187" s="22"/>
      <c r="R187" s="22"/>
      <c r="S187" s="22"/>
      <c r="T187" s="22"/>
      <c r="U187" s="22"/>
    </row>
    <row r="188" spans="1:21">
      <c r="A188" s="22"/>
      <c r="B188" s="186"/>
      <c r="C188" s="1601"/>
      <c r="D188" s="474"/>
      <c r="E188" s="478"/>
      <c r="F188" s="479"/>
      <c r="G188" s="479"/>
      <c r="H188" s="479"/>
      <c r="I188" s="479"/>
      <c r="J188" s="480"/>
      <c r="K188" s="480"/>
      <c r="L188" s="480"/>
      <c r="M188" s="480"/>
      <c r="N188" s="475"/>
      <c r="O188" s="22"/>
      <c r="P188" s="22"/>
      <c r="Q188" s="22"/>
      <c r="R188" s="22"/>
      <c r="S188" s="22"/>
      <c r="T188" s="22"/>
      <c r="U188" s="22"/>
    </row>
    <row r="189" spans="1:21" ht="16.5" thickBot="1">
      <c r="A189" s="22"/>
      <c r="B189" s="186"/>
      <c r="C189" s="1602"/>
      <c r="D189" s="481"/>
      <c r="E189" s="482"/>
      <c r="F189" s="482"/>
      <c r="G189" s="482"/>
      <c r="H189" s="482"/>
      <c r="I189" s="482"/>
      <c r="J189" s="482"/>
      <c r="K189" s="482"/>
      <c r="L189" s="482"/>
      <c r="M189" s="482"/>
      <c r="N189" s="483"/>
      <c r="O189" s="22"/>
      <c r="P189" s="22"/>
      <c r="Q189" s="22"/>
      <c r="R189" s="22"/>
      <c r="S189" s="22"/>
      <c r="T189" s="22"/>
      <c r="U189" s="22"/>
    </row>
    <row r="190" spans="1:21">
      <c r="A190" s="22"/>
      <c r="B190" s="22"/>
      <c r="C190" s="182"/>
      <c r="D190" s="227"/>
      <c r="E190" s="183"/>
      <c r="F190" s="22"/>
      <c r="G190" s="184"/>
      <c r="H190" s="22"/>
      <c r="I190" s="22"/>
      <c r="J190" s="182"/>
      <c r="K190" s="22"/>
      <c r="L190" s="186"/>
      <c r="M190" s="189"/>
      <c r="N190" s="22"/>
      <c r="O190" s="22"/>
      <c r="P190" s="22"/>
      <c r="Q190" s="22"/>
      <c r="R190" s="22"/>
      <c r="S190" s="22"/>
      <c r="T190" s="22"/>
      <c r="U190" s="22"/>
    </row>
    <row r="191" spans="1:21">
      <c r="A191" s="22"/>
      <c r="B191" s="22"/>
      <c r="C191" s="182"/>
      <c r="D191" s="227"/>
      <c r="E191" s="183"/>
      <c r="F191" s="22"/>
      <c r="G191" s="184"/>
      <c r="H191" s="22"/>
      <c r="I191" s="22"/>
      <c r="J191" s="182"/>
      <c r="K191" s="22"/>
      <c r="L191" s="186"/>
      <c r="M191" s="189"/>
      <c r="N191" s="22"/>
      <c r="O191" s="22"/>
      <c r="P191" s="22"/>
      <c r="Q191" s="22"/>
      <c r="R191" s="22"/>
      <c r="S191" s="22"/>
      <c r="T191" s="22"/>
      <c r="U191" s="22"/>
    </row>
    <row r="192" spans="1:21">
      <c r="A192" s="22"/>
      <c r="B192" s="22"/>
      <c r="C192" s="182"/>
      <c r="D192" s="227"/>
      <c r="E192" s="183"/>
      <c r="F192" s="22"/>
      <c r="G192" s="184"/>
      <c r="H192" s="22"/>
      <c r="I192" s="22"/>
      <c r="J192" s="182"/>
      <c r="K192" s="22"/>
      <c r="L192" s="186"/>
      <c r="M192" s="189"/>
      <c r="N192" s="22"/>
      <c r="O192" s="22"/>
      <c r="P192" s="22"/>
      <c r="Q192" s="22"/>
      <c r="R192" s="22"/>
      <c r="S192" s="22"/>
      <c r="T192" s="22"/>
      <c r="U192" s="22"/>
    </row>
    <row r="193" spans="1:21">
      <c r="A193" s="22"/>
      <c r="B193" s="22"/>
      <c r="C193" s="182"/>
      <c r="D193" s="227"/>
      <c r="E193" s="183"/>
      <c r="F193" s="22"/>
      <c r="G193" s="184"/>
      <c r="H193" s="22"/>
      <c r="I193" s="22"/>
      <c r="J193" s="182"/>
      <c r="K193" s="22"/>
      <c r="L193" s="186"/>
      <c r="M193" s="189"/>
      <c r="N193" s="22"/>
      <c r="O193" s="22"/>
      <c r="P193" s="22"/>
      <c r="Q193" s="22"/>
      <c r="R193" s="22"/>
      <c r="S193" s="22"/>
      <c r="T193" s="22"/>
      <c r="U193" s="22"/>
    </row>
    <row r="194" spans="1:21">
      <c r="A194" s="22"/>
      <c r="B194" s="22"/>
      <c r="C194" s="182"/>
      <c r="D194" s="227"/>
      <c r="E194" s="183"/>
      <c r="F194" s="22"/>
      <c r="G194" s="184"/>
      <c r="H194" s="22"/>
      <c r="I194" s="22"/>
      <c r="J194" s="182"/>
      <c r="K194" s="22"/>
      <c r="L194" s="186"/>
      <c r="M194" s="189"/>
      <c r="N194" s="22"/>
      <c r="O194" s="22"/>
      <c r="P194" s="22"/>
      <c r="Q194" s="22"/>
      <c r="R194" s="22"/>
      <c r="S194" s="22"/>
      <c r="T194" s="22"/>
      <c r="U194" s="22"/>
    </row>
    <row r="195" spans="1:21">
      <c r="A195" s="22"/>
      <c r="B195" s="22"/>
      <c r="C195" s="182"/>
      <c r="D195" s="227"/>
      <c r="E195" s="183"/>
      <c r="F195" s="22"/>
      <c r="G195" s="184"/>
      <c r="H195" s="22"/>
      <c r="I195" s="22"/>
      <c r="J195" s="182"/>
      <c r="K195" s="22"/>
      <c r="L195" s="186"/>
      <c r="M195" s="189"/>
      <c r="N195" s="22"/>
      <c r="O195" s="22"/>
      <c r="P195" s="22"/>
      <c r="Q195" s="22"/>
      <c r="R195" s="22"/>
      <c r="S195" s="22"/>
      <c r="T195" s="22"/>
      <c r="U195" s="22"/>
    </row>
    <row r="196" spans="1:21">
      <c r="A196" s="22"/>
      <c r="B196" s="22"/>
      <c r="C196" s="182"/>
      <c r="D196" s="227"/>
      <c r="E196" s="183"/>
      <c r="F196" s="22"/>
      <c r="G196" s="184"/>
      <c r="H196" s="22"/>
      <c r="I196" s="22"/>
      <c r="J196" s="182"/>
      <c r="K196" s="22"/>
      <c r="L196" s="186"/>
      <c r="M196" s="189"/>
      <c r="N196" s="22"/>
      <c r="O196" s="22"/>
      <c r="P196" s="22"/>
      <c r="Q196" s="22"/>
      <c r="R196" s="22"/>
      <c r="S196" s="22"/>
      <c r="T196" s="22"/>
      <c r="U196" s="22"/>
    </row>
    <row r="197" spans="1:21">
      <c r="A197" s="22"/>
      <c r="B197" s="22"/>
      <c r="C197" s="182"/>
      <c r="D197" s="227"/>
      <c r="E197" s="183"/>
      <c r="F197" s="22"/>
      <c r="G197" s="184"/>
      <c r="H197" s="22"/>
      <c r="I197" s="22"/>
      <c r="J197" s="182"/>
      <c r="K197" s="22"/>
      <c r="L197" s="186"/>
      <c r="M197" s="189"/>
      <c r="N197" s="22"/>
      <c r="O197" s="22"/>
      <c r="P197" s="22"/>
      <c r="Q197" s="22"/>
      <c r="R197" s="22"/>
      <c r="S197" s="22"/>
      <c r="T197" s="22"/>
      <c r="U197" s="22"/>
    </row>
    <row r="198" spans="1:21">
      <c r="A198" s="22"/>
      <c r="B198" s="22"/>
      <c r="C198" s="182"/>
      <c r="D198" s="227"/>
      <c r="E198" s="183"/>
      <c r="F198" s="22"/>
      <c r="G198" s="184"/>
      <c r="H198" s="22"/>
      <c r="I198" s="22"/>
      <c r="J198" s="182"/>
      <c r="K198" s="22"/>
      <c r="L198" s="186"/>
      <c r="M198" s="189"/>
      <c r="N198" s="22"/>
      <c r="O198" s="22"/>
      <c r="P198" s="22"/>
      <c r="Q198" s="22"/>
      <c r="R198" s="22"/>
      <c r="S198" s="22"/>
      <c r="T198" s="22"/>
      <c r="U198" s="22"/>
    </row>
    <row r="199" spans="1:21">
      <c r="A199" s="22"/>
      <c r="B199" s="22"/>
      <c r="C199" s="182"/>
      <c r="D199" s="227"/>
      <c r="E199" s="183"/>
      <c r="F199" s="22"/>
      <c r="G199" s="184"/>
      <c r="H199" s="22"/>
      <c r="I199" s="22"/>
      <c r="J199" s="182"/>
      <c r="K199" s="22"/>
      <c r="L199" s="186"/>
      <c r="M199" s="189"/>
      <c r="N199" s="22"/>
      <c r="O199" s="22"/>
      <c r="P199" s="22"/>
      <c r="Q199" s="22"/>
      <c r="R199" s="22"/>
      <c r="S199" s="22"/>
      <c r="T199" s="22"/>
      <c r="U199" s="22"/>
    </row>
    <row r="200" spans="1:21">
      <c r="A200" s="22"/>
      <c r="B200" s="22"/>
      <c r="C200" s="182"/>
      <c r="D200" s="227"/>
      <c r="E200" s="183"/>
      <c r="F200" s="22"/>
      <c r="G200" s="184"/>
      <c r="H200" s="22"/>
      <c r="I200" s="22"/>
      <c r="J200" s="182"/>
      <c r="K200" s="22"/>
      <c r="L200" s="186"/>
      <c r="M200" s="189"/>
      <c r="N200" s="22"/>
      <c r="O200" s="22"/>
      <c r="P200" s="22"/>
      <c r="Q200" s="22"/>
      <c r="R200" s="22"/>
      <c r="S200" s="22"/>
      <c r="T200" s="22"/>
      <c r="U200" s="22"/>
    </row>
    <row r="201" spans="1:21">
      <c r="A201" s="22"/>
      <c r="B201" s="22"/>
      <c r="C201" s="182"/>
      <c r="D201" s="227"/>
      <c r="E201" s="183"/>
      <c r="F201" s="22"/>
      <c r="G201" s="184"/>
      <c r="H201" s="22"/>
      <c r="I201" s="22"/>
      <c r="J201" s="182"/>
      <c r="K201" s="22"/>
      <c r="L201" s="186"/>
      <c r="M201" s="189"/>
      <c r="N201" s="22"/>
      <c r="O201" s="22"/>
      <c r="P201" s="22"/>
      <c r="Q201" s="22"/>
      <c r="R201" s="22"/>
      <c r="S201" s="22"/>
      <c r="T201" s="22"/>
      <c r="U201" s="22"/>
    </row>
    <row r="202" spans="1:21">
      <c r="A202" s="22"/>
      <c r="B202" s="22"/>
      <c r="C202" s="182"/>
      <c r="D202" s="227"/>
      <c r="E202" s="183"/>
      <c r="F202" s="22"/>
      <c r="G202" s="184"/>
      <c r="H202" s="22"/>
      <c r="I202" s="22"/>
      <c r="J202" s="182"/>
      <c r="K202" s="22"/>
      <c r="L202" s="186"/>
      <c r="M202" s="189"/>
      <c r="N202" s="22"/>
      <c r="O202" s="22"/>
      <c r="P202" s="22"/>
      <c r="Q202" s="22"/>
      <c r="R202" s="22"/>
      <c r="S202" s="22"/>
      <c r="T202" s="22"/>
      <c r="U202" s="22"/>
    </row>
    <row r="203" spans="1:21">
      <c r="A203" s="22"/>
      <c r="B203" s="22"/>
      <c r="C203" s="182"/>
      <c r="D203" s="227"/>
      <c r="E203" s="183"/>
      <c r="F203" s="22"/>
      <c r="G203" s="184"/>
      <c r="H203" s="22"/>
      <c r="I203" s="22"/>
      <c r="J203" s="182"/>
      <c r="K203" s="22"/>
      <c r="L203" s="186"/>
      <c r="M203" s="189"/>
      <c r="N203" s="22"/>
      <c r="O203" s="22"/>
      <c r="P203" s="22"/>
      <c r="Q203" s="22"/>
      <c r="R203" s="22"/>
      <c r="S203" s="22"/>
      <c r="T203" s="22"/>
      <c r="U203" s="22"/>
    </row>
    <row r="204" spans="1:21">
      <c r="A204" s="22"/>
      <c r="B204" s="22"/>
      <c r="C204" s="182"/>
      <c r="D204" s="227"/>
      <c r="E204" s="183"/>
      <c r="F204" s="22"/>
      <c r="G204" s="184"/>
      <c r="H204" s="22"/>
      <c r="I204" s="22"/>
      <c r="J204" s="182"/>
      <c r="K204" s="22"/>
      <c r="L204" s="186"/>
      <c r="M204" s="189"/>
      <c r="N204" s="22"/>
      <c r="O204" s="22"/>
      <c r="P204" s="22"/>
      <c r="Q204" s="22"/>
      <c r="R204" s="22"/>
      <c r="S204" s="22"/>
      <c r="T204" s="22"/>
      <c r="U204" s="22"/>
    </row>
    <row r="205" spans="1:21">
      <c r="A205" s="22"/>
      <c r="B205" s="22"/>
      <c r="C205" s="182"/>
      <c r="D205" s="227"/>
      <c r="E205" s="183"/>
      <c r="F205" s="22"/>
      <c r="G205" s="184"/>
      <c r="H205" s="22"/>
      <c r="I205" s="22"/>
      <c r="J205" s="182"/>
      <c r="K205" s="22"/>
      <c r="L205" s="186"/>
      <c r="M205" s="189"/>
      <c r="N205" s="22"/>
      <c r="O205" s="22"/>
      <c r="P205" s="22"/>
      <c r="Q205" s="22"/>
      <c r="R205" s="22"/>
      <c r="S205" s="22"/>
      <c r="T205" s="22"/>
      <c r="U205" s="22"/>
    </row>
    <row r="206" spans="1:21">
      <c r="A206" s="22"/>
      <c r="B206" s="22"/>
      <c r="C206" s="182"/>
      <c r="D206" s="227"/>
      <c r="E206" s="183"/>
      <c r="F206" s="22"/>
      <c r="G206" s="184"/>
      <c r="H206" s="22"/>
      <c r="I206" s="22"/>
      <c r="J206" s="182"/>
      <c r="K206" s="22"/>
      <c r="L206" s="186"/>
      <c r="M206" s="189"/>
      <c r="N206" s="22"/>
      <c r="O206" s="22"/>
      <c r="P206" s="22"/>
      <c r="Q206" s="22"/>
      <c r="R206" s="22"/>
      <c r="S206" s="22"/>
      <c r="T206" s="22"/>
      <c r="U206" s="22"/>
    </row>
    <row r="207" spans="1:21">
      <c r="O207" s="22"/>
      <c r="P207" s="22"/>
      <c r="Q207" s="22"/>
      <c r="R207" s="22"/>
      <c r="S207" s="22"/>
      <c r="T207" s="22"/>
      <c r="U207" s="22"/>
    </row>
    <row r="208" spans="1:21">
      <c r="O208" s="22"/>
      <c r="P208" s="22"/>
      <c r="Q208" s="22"/>
      <c r="R208" s="22"/>
      <c r="S208" s="22"/>
      <c r="T208" s="22"/>
      <c r="U208" s="22"/>
    </row>
    <row r="209" spans="15:21">
      <c r="O209" s="22"/>
      <c r="P209" s="22"/>
      <c r="Q209" s="22"/>
      <c r="R209" s="22"/>
      <c r="S209" s="22"/>
      <c r="T209" s="22"/>
      <c r="U209" s="22"/>
    </row>
    <row r="210" spans="15:21">
      <c r="O210" s="22"/>
      <c r="P210" s="22"/>
      <c r="Q210" s="22"/>
      <c r="R210" s="22"/>
      <c r="S210" s="22"/>
      <c r="T210" s="22"/>
      <c r="U210" s="22"/>
    </row>
    <row r="211" spans="15:21">
      <c r="O211" s="22"/>
      <c r="P211" s="22"/>
      <c r="Q211" s="22"/>
      <c r="R211" s="22"/>
      <c r="S211" s="22"/>
      <c r="T211" s="22"/>
      <c r="U211" s="22"/>
    </row>
    <row r="212" spans="15:21">
      <c r="O212" s="22"/>
      <c r="P212" s="22"/>
      <c r="Q212" s="22"/>
      <c r="R212" s="22"/>
      <c r="S212" s="22"/>
      <c r="T212" s="22"/>
      <c r="U212" s="22"/>
    </row>
    <row r="213" spans="15:21">
      <c r="O213" s="22"/>
      <c r="P213" s="22"/>
      <c r="Q213" s="22"/>
      <c r="R213" s="22"/>
      <c r="S213" s="22"/>
      <c r="T213" s="22"/>
      <c r="U213" s="22"/>
    </row>
    <row r="214" spans="15:21">
      <c r="O214" s="22"/>
      <c r="P214" s="22"/>
      <c r="Q214" s="22"/>
      <c r="R214" s="22"/>
      <c r="S214" s="22"/>
      <c r="T214" s="22"/>
      <c r="U214" s="22"/>
    </row>
    <row r="215" spans="15:21">
      <c r="O215" s="22"/>
      <c r="P215" s="22"/>
      <c r="Q215" s="22"/>
      <c r="R215" s="22"/>
      <c r="S215" s="22"/>
      <c r="T215" s="22"/>
      <c r="U215" s="22"/>
    </row>
    <row r="216" spans="15:21">
      <c r="O216" s="22"/>
      <c r="P216" s="22"/>
      <c r="Q216" s="22"/>
      <c r="R216" s="22"/>
      <c r="S216" s="22"/>
      <c r="T216" s="22"/>
      <c r="U216" s="22"/>
    </row>
    <row r="217" spans="15:21">
      <c r="O217" s="22"/>
      <c r="P217" s="22"/>
      <c r="Q217" s="22"/>
      <c r="R217" s="22"/>
      <c r="S217" s="22"/>
      <c r="T217" s="22"/>
      <c r="U217" s="22"/>
    </row>
    <row r="218" spans="15:21">
      <c r="O218" s="22"/>
      <c r="P218" s="22"/>
      <c r="Q218" s="22"/>
      <c r="R218" s="22"/>
      <c r="S218" s="22"/>
      <c r="T218" s="22"/>
      <c r="U218" s="22"/>
    </row>
    <row r="219" spans="15:21">
      <c r="O219" s="22"/>
      <c r="P219" s="22"/>
      <c r="Q219" s="22"/>
      <c r="R219" s="22"/>
      <c r="S219" s="22"/>
      <c r="T219" s="22"/>
      <c r="U219" s="22"/>
    </row>
    <row r="220" spans="15:21">
      <c r="O220" s="22"/>
      <c r="P220" s="22"/>
      <c r="Q220" s="22"/>
      <c r="R220" s="22"/>
      <c r="S220" s="22"/>
      <c r="T220" s="22"/>
      <c r="U220" s="22"/>
    </row>
  </sheetData>
  <sheetProtection formatCells="0" insertHyperlinks="0"/>
  <autoFilter ref="C10:J100" xr:uid="{00000000-0009-0000-0000-000009000000}">
    <sortState xmlns:xlrd2="http://schemas.microsoft.com/office/spreadsheetml/2017/richdata2" ref="C11:J98">
      <sortCondition ref="C10:C98"/>
    </sortState>
  </autoFilter>
  <mergeCells count="25">
    <mergeCell ref="B2:L4"/>
    <mergeCell ref="C143:C150"/>
    <mergeCell ref="C8:K9"/>
    <mergeCell ref="M8:T9"/>
    <mergeCell ref="S12:S14"/>
    <mergeCell ref="P17:P19"/>
    <mergeCell ref="P12:P14"/>
    <mergeCell ref="M12:M14"/>
    <mergeCell ref="M17:M19"/>
    <mergeCell ref="M20:M21"/>
    <mergeCell ref="O20:O21"/>
    <mergeCell ref="P20:P21"/>
    <mergeCell ref="S20:S21"/>
    <mergeCell ref="C142:M142"/>
    <mergeCell ref="C176:C189"/>
    <mergeCell ref="E177:M178"/>
    <mergeCell ref="F179:G179"/>
    <mergeCell ref="H179:I179"/>
    <mergeCell ref="J179:K179"/>
    <mergeCell ref="L179:M179"/>
    <mergeCell ref="C161:C173"/>
    <mergeCell ref="E162:I162"/>
    <mergeCell ref="C152:C159"/>
    <mergeCell ref="E153:F155"/>
    <mergeCell ref="H153:I154"/>
  </mergeCells>
  <conditionalFormatting sqref="K143 J18:J21">
    <cfRule type="cellIs" dxfId="379" priority="257" operator="equal">
      <formula>"Positif"</formula>
    </cfRule>
    <cfRule type="cellIs" dxfId="378" priority="258" operator="equal">
      <formula>"Negatif"</formula>
    </cfRule>
  </conditionalFormatting>
  <conditionalFormatting sqref="J18:J21">
    <cfRule type="cellIs" dxfId="377" priority="256" operator="equal">
      <formula>"négatif"</formula>
    </cfRule>
  </conditionalFormatting>
  <conditionalFormatting sqref="J18:J21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6" priority="2696" operator="equal">
      <formula>"Negatif"</formula>
    </cfRule>
    <cfRule type="colorScale" priority="2697">
      <colorScale>
        <cfvo type="min"/>
        <cfvo type="max"/>
        <color rgb="FFFF7128"/>
        <color rgb="FFFFEF9C"/>
      </colorScale>
    </cfRule>
  </conditionalFormatting>
  <conditionalFormatting sqref="J18:J21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5" priority="2720" operator="equal">
      <formula>"Negatif"</formula>
    </cfRule>
    <cfRule type="colorScale" priority="2721">
      <colorScale>
        <cfvo type="min"/>
        <cfvo type="max"/>
        <color rgb="FFFF7128"/>
        <color rgb="FFFFEF9C"/>
      </colorScale>
    </cfRule>
  </conditionalFormatting>
  <conditionalFormatting sqref="J18:J21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4" priority="2735" operator="equal">
      <formula>"Negatif"</formula>
    </cfRule>
    <cfRule type="colorScale" priority="2736">
      <colorScale>
        <cfvo type="min"/>
        <cfvo type="max"/>
        <color rgb="FFFF7128"/>
        <color rgb="FFFFEF9C"/>
      </colorScale>
    </cfRule>
  </conditionalFormatting>
  <conditionalFormatting sqref="J11">
    <cfRule type="cellIs" dxfId="373" priority="98" operator="equal">
      <formula>"Positif"</formula>
    </cfRule>
    <cfRule type="cellIs" dxfId="372" priority="99" operator="equal">
      <formula>"Negatif"</formula>
    </cfRule>
  </conditionalFormatting>
  <conditionalFormatting sqref="J11">
    <cfRule type="cellIs" dxfId="371" priority="97" operator="equal">
      <formula>"négatif"</formula>
    </cfRule>
  </conditionalFormatting>
  <conditionalFormatting sqref="J1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0" priority="101" operator="equal">
      <formula>"Negatif"</formula>
    </cfRule>
    <cfRule type="colorScale" priority="102">
      <colorScale>
        <cfvo type="min"/>
        <cfvo type="max"/>
        <color rgb="FFFF7128"/>
        <color rgb="FFFFEF9C"/>
      </colorScale>
    </cfRule>
  </conditionalFormatting>
  <conditionalFormatting sqref="J1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9" priority="104" operator="equal">
      <formula>"Negatif"</formula>
    </cfRule>
    <cfRule type="colorScale" priority="105">
      <colorScale>
        <cfvo type="min"/>
        <cfvo type="max"/>
        <color rgb="FFFF7128"/>
        <color rgb="FFFFEF9C"/>
      </colorScale>
    </cfRule>
  </conditionalFormatting>
  <conditionalFormatting sqref="J1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8" priority="107" operator="equal">
      <formula>"Negatif"</formula>
    </cfRule>
    <cfRule type="colorScale" priority="108">
      <colorScale>
        <cfvo type="min"/>
        <cfvo type="max"/>
        <color rgb="FFFF7128"/>
        <color rgb="FFFFEF9C"/>
      </colorScale>
    </cfRule>
  </conditionalFormatting>
  <conditionalFormatting sqref="J22">
    <cfRule type="cellIs" dxfId="367" priority="86" operator="equal">
      <formula>"Positif"</formula>
    </cfRule>
    <cfRule type="cellIs" dxfId="366" priority="87" operator="equal">
      <formula>"Negatif"</formula>
    </cfRule>
  </conditionalFormatting>
  <conditionalFormatting sqref="J22">
    <cfRule type="cellIs" dxfId="365" priority="85" operator="equal">
      <formula>"négatif"</formula>
    </cfRule>
  </conditionalFormatting>
  <conditionalFormatting sqref="J2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4" priority="89" operator="equal">
      <formula>"Negatif"</formula>
    </cfRule>
    <cfRule type="colorScale" priority="90">
      <colorScale>
        <cfvo type="min"/>
        <cfvo type="max"/>
        <color rgb="FFFF7128"/>
        <color rgb="FFFFEF9C"/>
      </colorScale>
    </cfRule>
  </conditionalFormatting>
  <conditionalFormatting sqref="J2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3" priority="92" operator="equal">
      <formula>"Negatif"</formula>
    </cfRule>
    <cfRule type="colorScale" priority="93">
      <colorScale>
        <cfvo type="min"/>
        <cfvo type="max"/>
        <color rgb="FFFF7128"/>
        <color rgb="FFFFEF9C"/>
      </colorScale>
    </cfRule>
  </conditionalFormatting>
  <conditionalFormatting sqref="J2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2" priority="95" operator="equal">
      <formula>"Negatif"</formula>
    </cfRule>
    <cfRule type="colorScale" priority="96">
      <colorScale>
        <cfvo type="min"/>
        <cfvo type="max"/>
        <color rgb="FFFF7128"/>
        <color rgb="FFFFEF9C"/>
      </colorScale>
    </cfRule>
  </conditionalFormatting>
  <conditionalFormatting sqref="J77">
    <cfRule type="cellIs" dxfId="361" priority="38" operator="equal">
      <formula>"Positif"</formula>
    </cfRule>
    <cfRule type="cellIs" dxfId="360" priority="39" operator="equal">
      <formula>"Negatif"</formula>
    </cfRule>
  </conditionalFormatting>
  <conditionalFormatting sqref="J77">
    <cfRule type="cellIs" dxfId="359" priority="37" operator="equal">
      <formula>"négatif"</formula>
    </cfRule>
  </conditionalFormatting>
  <conditionalFormatting sqref="J7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8" priority="41" operator="equal">
      <formula>"Negatif"</formula>
    </cfRule>
    <cfRule type="colorScale" priority="42">
      <colorScale>
        <cfvo type="min"/>
        <cfvo type="max"/>
        <color rgb="FFFF7128"/>
        <color rgb="FFFFEF9C"/>
      </colorScale>
    </cfRule>
  </conditionalFormatting>
  <conditionalFormatting sqref="J7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7" priority="44" operator="equal">
      <formula>"Negatif"</formula>
    </cfRule>
    <cfRule type="colorScale" priority="45">
      <colorScale>
        <cfvo type="min"/>
        <cfvo type="max"/>
        <color rgb="FFFF7128"/>
        <color rgb="FFFFEF9C"/>
      </colorScale>
    </cfRule>
  </conditionalFormatting>
  <conditionalFormatting sqref="J7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6" priority="47" operator="equal">
      <formula>"Negatif"</formula>
    </cfRule>
    <cfRule type="colorScale" priority="48">
      <colorScale>
        <cfvo type="min"/>
        <cfvo type="max"/>
        <color rgb="FFFF7128"/>
        <color rgb="FFFFEF9C"/>
      </colorScale>
    </cfRule>
  </conditionalFormatting>
  <conditionalFormatting sqref="J12">
    <cfRule type="cellIs" dxfId="355" priority="26" operator="equal">
      <formula>"Positif"</formula>
    </cfRule>
    <cfRule type="cellIs" dxfId="354" priority="27" operator="equal">
      <formula>"Negatif"</formula>
    </cfRule>
  </conditionalFormatting>
  <conditionalFormatting sqref="J12">
    <cfRule type="cellIs" dxfId="353" priority="25" operator="equal">
      <formula>"négatif"</formula>
    </cfRule>
  </conditionalFormatting>
  <conditionalFormatting sqref="J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2" priority="29" operator="equal">
      <formula>"Negatif"</formula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J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1" priority="32" operator="equal">
      <formula>"Negatif"</formula>
    </cfRule>
    <cfRule type="colorScale" priority="33">
      <colorScale>
        <cfvo type="min"/>
        <cfvo type="max"/>
        <color rgb="FFFF7128"/>
        <color rgb="FFFFEF9C"/>
      </colorScale>
    </cfRule>
  </conditionalFormatting>
  <conditionalFormatting sqref="J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0" priority="35" operator="equal">
      <formula>"Negatif"</formula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J13">
    <cfRule type="cellIs" dxfId="349" priority="14" operator="equal">
      <formula>"Positif"</formula>
    </cfRule>
    <cfRule type="cellIs" dxfId="348" priority="15" operator="equal">
      <formula>"Negatif"</formula>
    </cfRule>
  </conditionalFormatting>
  <conditionalFormatting sqref="J13">
    <cfRule type="cellIs" dxfId="347" priority="13" operator="equal">
      <formula>"négatif"</formula>
    </cfRule>
  </conditionalFormatting>
  <conditionalFormatting sqref="J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46" priority="17" operator="equal">
      <formula>"Negatif"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J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45" priority="20" operator="equal">
      <formula>"Negatif"</formula>
    </cfRule>
    <cfRule type="colorScale" priority="21">
      <colorScale>
        <cfvo type="min"/>
        <cfvo type="max"/>
        <color rgb="FFFF7128"/>
        <color rgb="FFFFEF9C"/>
      </colorScale>
    </cfRule>
  </conditionalFormatting>
  <conditionalFormatting sqref="J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44" priority="23" operator="equal">
      <formula>"Negatif"</formula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J14">
    <cfRule type="cellIs" dxfId="343" priority="2" operator="equal">
      <formula>"Positif"</formula>
    </cfRule>
    <cfRule type="cellIs" dxfId="342" priority="3" operator="equal">
      <formula>"Negatif"</formula>
    </cfRule>
  </conditionalFormatting>
  <conditionalFormatting sqref="J14">
    <cfRule type="cellIs" dxfId="341" priority="1" operator="equal">
      <formula>"négatif"</formula>
    </cfRule>
  </conditionalFormatting>
  <conditionalFormatting sqref="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40" priority="5" operator="equal">
      <formula>"Negatif"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9" priority="8" operator="equal">
      <formula>"Negatif"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J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8" priority="11" operator="equal">
      <formula>"Negatif"</formula>
    </cfRule>
    <cfRule type="colorScale" priority="12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I11:I100" xr:uid="{00000000-0002-0000-0900-000000000000}">
      <formula1>$E$164:$E$171</formula1>
    </dataValidation>
  </dataValidations>
  <hyperlinks>
    <hyperlink ref="S11" r:id="rId1" xr:uid="{00000000-0004-0000-0900-000000000000}"/>
    <hyperlink ref="S12:S14" r:id="rId2" display="PDF " xr:uid="{00000000-0004-0000-0900-000001000000}"/>
    <hyperlink ref="S15" r:id="rId3" xr:uid="{00000000-0004-0000-0900-000002000000}"/>
    <hyperlink ref="S20:S21" r:id="rId4" display="Lien" xr:uid="{00000000-0004-0000-0900-000003000000}"/>
    <hyperlink ref="K14" r:id="rId5" xr:uid="{00000000-0004-0000-0900-000004000000}"/>
    <hyperlink ref="K17" r:id="rId6" xr:uid="{00000000-0004-0000-0900-000005000000}"/>
    <hyperlink ref="K29" r:id="rId7" xr:uid="{00000000-0004-0000-0900-000006000000}"/>
    <hyperlink ref="K30" r:id="rId8" xr:uid="{00000000-0004-0000-0900-000007000000}"/>
    <hyperlink ref="K12" r:id="rId9" xr:uid="{00000000-0004-0000-0900-000008000000}"/>
    <hyperlink ref="K18" r:id="rId10" xr:uid="{00000000-0004-0000-0900-000009000000}"/>
    <hyperlink ref="K19" r:id="rId11" xr:uid="{00000000-0004-0000-0900-00000A000000}"/>
    <hyperlink ref="K20" r:id="rId12" xr:uid="{00000000-0004-0000-0900-00000B000000}"/>
    <hyperlink ref="K21" r:id="rId13" xr:uid="{00000000-0004-0000-0900-00000C000000}"/>
    <hyperlink ref="K22" r:id="rId14" xr:uid="{00000000-0004-0000-0900-00000D000000}"/>
    <hyperlink ref="K24" r:id="rId15" xr:uid="{00000000-0004-0000-0900-00000E000000}"/>
    <hyperlink ref="K31" r:id="rId16" xr:uid="{00000000-0004-0000-0900-00000F000000}"/>
    <hyperlink ref="K32" r:id="rId17" xr:uid="{00000000-0004-0000-0900-000010000000}"/>
    <hyperlink ref="K35" r:id="rId18" xr:uid="{00000000-0004-0000-0900-000011000000}"/>
    <hyperlink ref="K39" r:id="rId19" xr:uid="{00000000-0004-0000-0900-000012000000}"/>
    <hyperlink ref="K43" r:id="rId20" xr:uid="{00000000-0004-0000-0900-000013000000}"/>
    <hyperlink ref="K48" r:id="rId21" xr:uid="{00000000-0004-0000-0900-000014000000}"/>
    <hyperlink ref="K49" r:id="rId22" xr:uid="{00000000-0004-0000-0900-000015000000}"/>
    <hyperlink ref="K23" r:id="rId23" xr:uid="{00000000-0004-0000-0900-000016000000}"/>
    <hyperlink ref="K16" r:id="rId24" xr:uid="{00000000-0004-0000-0900-000017000000}"/>
    <hyperlink ref="K36" r:id="rId25" xr:uid="{00000000-0004-0000-0900-000018000000}"/>
    <hyperlink ref="K37" r:id="rId26" xr:uid="{00000000-0004-0000-0900-000019000000}"/>
    <hyperlink ref="K50" r:id="rId27" xr:uid="{00000000-0004-0000-0900-00001A000000}"/>
    <hyperlink ref="K26" r:id="rId28" xr:uid="{00000000-0004-0000-0900-00001B000000}"/>
    <hyperlink ref="K51" r:id="rId29" xr:uid="{00000000-0004-0000-0900-00001C000000}"/>
    <hyperlink ref="K53" r:id="rId30" xr:uid="{00000000-0004-0000-0900-00001D000000}"/>
    <hyperlink ref="K55" r:id="rId31" xr:uid="{00000000-0004-0000-0900-00001E000000}"/>
    <hyperlink ref="K59" r:id="rId32" xr:uid="{00000000-0004-0000-0900-00001F000000}"/>
    <hyperlink ref="K58" r:id="rId33" xr:uid="{00000000-0004-0000-0900-000020000000}"/>
    <hyperlink ref="K56" r:id="rId34" xr:uid="{00000000-0004-0000-0900-000021000000}"/>
    <hyperlink ref="K57" r:id="rId35" xr:uid="{00000000-0004-0000-0900-000022000000}"/>
    <hyperlink ref="K60" r:id="rId36" xr:uid="{00000000-0004-0000-0900-000023000000}"/>
    <hyperlink ref="K61" r:id="rId37" xr:uid="{00000000-0004-0000-0900-000024000000}"/>
    <hyperlink ref="K62" r:id="rId38" xr:uid="{00000000-0004-0000-0900-000025000000}"/>
    <hyperlink ref="K63" r:id="rId39" xr:uid="{00000000-0004-0000-0900-000026000000}"/>
    <hyperlink ref="K64" r:id="rId40" xr:uid="{00000000-0004-0000-0900-000027000000}"/>
    <hyperlink ref="K65" r:id="rId41" xr:uid="{00000000-0004-0000-0900-000028000000}"/>
    <hyperlink ref="K66" r:id="rId42" xr:uid="{00000000-0004-0000-0900-000029000000}"/>
    <hyperlink ref="K45" r:id="rId43" xr:uid="{00000000-0004-0000-0900-00002A000000}"/>
    <hyperlink ref="K68" r:id="rId44" xr:uid="{00000000-0004-0000-0900-00002B000000}"/>
    <hyperlink ref="K69" r:id="rId45" xr:uid="{00000000-0004-0000-0900-00002C000000}"/>
    <hyperlink ref="K70" r:id="rId46" xr:uid="{00000000-0004-0000-0900-00002D000000}"/>
    <hyperlink ref="K67" r:id="rId47" xr:uid="{00000000-0004-0000-0900-00002E000000}"/>
    <hyperlink ref="K71" r:id="rId48" xr:uid="{00000000-0004-0000-0900-00002F000000}"/>
    <hyperlink ref="K72" r:id="rId49" xr:uid="{00000000-0004-0000-0900-000030000000}"/>
    <hyperlink ref="K75" r:id="rId50" xr:uid="{00000000-0004-0000-0900-000031000000}"/>
    <hyperlink ref="K76" r:id="rId51" xr:uid="{00000000-0004-0000-0900-000032000000}"/>
    <hyperlink ref="K77" r:id="rId52" xr:uid="{00000000-0004-0000-0900-000033000000}"/>
    <hyperlink ref="K78" r:id="rId53" xr:uid="{00000000-0004-0000-0900-000034000000}"/>
    <hyperlink ref="K89" r:id="rId54" xr:uid="{00000000-0004-0000-0900-000035000000}"/>
    <hyperlink ref="K90" r:id="rId55" xr:uid="{00000000-0004-0000-0900-000036000000}"/>
    <hyperlink ref="K91" r:id="rId56" xr:uid="{00000000-0004-0000-0900-000037000000}"/>
    <hyperlink ref="K93" r:id="rId57" xr:uid="{00000000-0004-0000-0900-000038000000}"/>
    <hyperlink ref="K94" r:id="rId58" xr:uid="{00000000-0004-0000-0900-000039000000}"/>
    <hyperlink ref="K95" r:id="rId59" xr:uid="{00000000-0004-0000-0900-00003A000000}"/>
    <hyperlink ref="K96" r:id="rId60" xr:uid="{00000000-0004-0000-0900-00003B000000}"/>
    <hyperlink ref="K97" r:id="rId61" xr:uid="{00000000-0004-0000-0900-00003C000000}"/>
    <hyperlink ref="K98" r:id="rId62" xr:uid="{00000000-0004-0000-0900-00003D000000}"/>
    <hyperlink ref="K79" r:id="rId63" display="PQR" xr:uid="{00000000-0004-0000-0900-00003E000000}"/>
    <hyperlink ref="K80" r:id="rId64" xr:uid="{00000000-0004-0000-0900-00003F000000}"/>
    <hyperlink ref="K81" r:id="rId65" xr:uid="{00000000-0004-0000-0900-000040000000}"/>
    <hyperlink ref="K82" r:id="rId66" xr:uid="{00000000-0004-0000-0900-000041000000}"/>
    <hyperlink ref="K83" r:id="rId67" xr:uid="{00000000-0004-0000-0900-000042000000}"/>
    <hyperlink ref="K84" r:id="rId68" xr:uid="{00000000-0004-0000-0900-000043000000}"/>
    <hyperlink ref="K85" r:id="rId69" display="Lien" xr:uid="{00000000-0004-0000-0900-000044000000}"/>
    <hyperlink ref="K86" r:id="rId70" xr:uid="{00000000-0004-0000-0900-000045000000}"/>
    <hyperlink ref="K87" r:id="rId71" xr:uid="{00000000-0004-0000-0900-000046000000}"/>
    <hyperlink ref="K88" r:id="rId72" xr:uid="{00000000-0004-0000-0900-000047000000}"/>
    <hyperlink ref="K13" r:id="rId73" xr:uid="{00000000-0004-0000-0900-000048000000}"/>
    <hyperlink ref="K15" r:id="rId74" xr:uid="{00000000-0004-0000-0900-000049000000}"/>
    <hyperlink ref="K33" r:id="rId75" xr:uid="{00000000-0004-0000-0900-00004A000000}"/>
    <hyperlink ref="K34" r:id="rId76" xr:uid="{00000000-0004-0000-0900-00004B000000}"/>
    <hyperlink ref="K40" r:id="rId77" xr:uid="{00000000-0004-0000-0900-00004C000000}"/>
    <hyperlink ref="K92" r:id="rId78" display="\\Ntkd0\co\ZE0SF000\ENEDIS_COMMUNICATION_PYRENEES_LANDES\Relations presses\Mediascope - kantarmedia\Articles presse\2020\JUIN\2020-06-30 - La nouvelle république des pyréneées - Des travaux d’Enedis sur le réseau entraîneront des coupures d’électricité.pd" xr:uid="{00000000-0004-0000-0900-00004D000000}"/>
    <hyperlink ref="K25" r:id="rId79" xr:uid="{00000000-0004-0000-0900-00004E000000}"/>
    <hyperlink ref="K38" r:id="rId80" xr:uid="{00000000-0004-0000-0900-00004F000000}"/>
    <hyperlink ref="K41" r:id="rId81" xr:uid="{00000000-0004-0000-0900-000050000000}"/>
    <hyperlink ref="K42" r:id="rId82" xr:uid="{00000000-0004-0000-0900-000051000000}"/>
    <hyperlink ref="K52" r:id="rId83" xr:uid="{00000000-0004-0000-0900-000052000000}"/>
    <hyperlink ref="K54" r:id="rId84" xr:uid="{00000000-0004-0000-0900-000053000000}"/>
    <hyperlink ref="K73" r:id="rId85" xr:uid="{00000000-0004-0000-0900-000054000000}"/>
    <hyperlink ref="K99" r:id="rId86" xr:uid="{00000000-0004-0000-0900-000055000000}"/>
    <hyperlink ref="K11" r:id="rId87" xr:uid="{00000000-0004-0000-0900-000056000000}"/>
  </hyperlinks>
  <pageMargins left="0.7" right="0.7" top="0.75" bottom="0.75" header="0.3" footer="0.3"/>
  <pageSetup paperSize="9" orientation="portrait" r:id="rId88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AK345"/>
  <sheetViews>
    <sheetView topLeftCell="J1" zoomScale="80" zoomScaleNormal="80" workbookViewId="0">
      <selection activeCell="M17" sqref="M17:T17"/>
    </sheetView>
  </sheetViews>
  <sheetFormatPr defaultColWidth="11" defaultRowHeight="15.75"/>
  <cols>
    <col min="1" max="1" width="4.25" style="329" customWidth="1"/>
    <col min="2" max="2" width="3.125" style="329" customWidth="1"/>
    <col min="3" max="3" width="8.25" style="400" customWidth="1"/>
    <col min="4" max="4" width="7.25" style="401" customWidth="1"/>
    <col min="5" max="5" width="83.625" style="402" customWidth="1"/>
    <col min="6" max="6" width="10.25" style="329" customWidth="1"/>
    <col min="7" max="7" width="9.5" style="403" customWidth="1"/>
    <col min="8" max="8" width="33.25" style="329" customWidth="1"/>
    <col min="9" max="9" width="21.125" style="329" customWidth="1"/>
    <col min="10" max="10" width="11.5" style="400" customWidth="1"/>
    <col min="11" max="11" width="11.25" style="329" customWidth="1"/>
    <col min="12" max="12" width="6.125" style="362" customWidth="1"/>
    <col min="13" max="13" width="16.125" style="404" customWidth="1"/>
    <col min="14" max="14" width="7.75" style="329" customWidth="1"/>
    <col min="15" max="15" width="55.5" style="329" customWidth="1"/>
    <col min="16" max="16" width="7.625" style="329" customWidth="1"/>
    <col min="17" max="17" width="7.75" style="329" customWidth="1"/>
    <col min="18" max="18" width="17" style="329" customWidth="1"/>
    <col min="19" max="19" width="9.125" style="329" customWidth="1"/>
    <col min="20" max="20" width="16" style="329" customWidth="1"/>
    <col min="21" max="22" width="11" style="329"/>
    <col min="23" max="23" width="11" style="321"/>
    <col min="24" max="24" width="37.125" style="321" customWidth="1"/>
    <col min="25" max="25" width="9.75" style="321" customWidth="1"/>
    <col min="26" max="26" width="24.125" style="321" customWidth="1"/>
    <col min="27" max="27" width="13" style="321" customWidth="1"/>
    <col min="28" max="28" width="16.125" style="321" customWidth="1"/>
    <col min="29" max="29" width="14.625" style="321" customWidth="1"/>
    <col min="30" max="30" width="15.75" style="321" customWidth="1"/>
    <col min="31" max="37" width="11" style="321"/>
    <col min="38" max="16384" width="11" style="329"/>
  </cols>
  <sheetData>
    <row r="1" spans="1:37" ht="16.5" thickBot="1">
      <c r="A1" s="321"/>
      <c r="B1" s="321"/>
      <c r="C1" s="322"/>
      <c r="D1" s="323"/>
      <c r="E1" s="324"/>
      <c r="F1" s="321"/>
      <c r="G1" s="325"/>
      <c r="H1" s="321"/>
      <c r="I1" s="321"/>
      <c r="J1" s="322"/>
      <c r="K1" s="326"/>
      <c r="L1" s="327"/>
      <c r="M1" s="328"/>
      <c r="N1" s="321"/>
      <c r="O1" s="321"/>
      <c r="P1" s="321"/>
      <c r="Q1" s="321"/>
      <c r="R1" s="321"/>
      <c r="S1" s="321"/>
      <c r="T1" s="321"/>
      <c r="U1" s="321"/>
      <c r="V1" s="321"/>
    </row>
    <row r="2" spans="1:37" ht="15.75" customHeight="1">
      <c r="A2" s="321"/>
      <c r="B2" s="1557" t="s">
        <v>548</v>
      </c>
      <c r="C2" s="1558"/>
      <c r="D2" s="1558"/>
      <c r="E2" s="1558"/>
      <c r="F2" s="1558"/>
      <c r="G2" s="1558"/>
      <c r="H2" s="1558"/>
      <c r="I2" s="1558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  <c r="V2" s="321"/>
    </row>
    <row r="3" spans="1:37" ht="15.75" customHeight="1">
      <c r="A3" s="321"/>
      <c r="B3" s="1560"/>
      <c r="C3" s="1561"/>
      <c r="D3" s="1561"/>
      <c r="E3" s="1561"/>
      <c r="F3" s="1561"/>
      <c r="G3" s="1561"/>
      <c r="H3" s="1561"/>
      <c r="I3" s="1561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37" ht="15.75" customHeight="1" thickBot="1">
      <c r="A4" s="321"/>
      <c r="B4" s="1563"/>
      <c r="C4" s="1564"/>
      <c r="D4" s="1564"/>
      <c r="E4" s="1564"/>
      <c r="F4" s="1564"/>
      <c r="G4" s="1564"/>
      <c r="H4" s="1564"/>
      <c r="I4" s="1564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  <c r="V4" s="321"/>
    </row>
    <row r="5" spans="1:37" ht="15.75" customHeight="1">
      <c r="A5" s="321"/>
      <c r="B5" s="326"/>
      <c r="C5" s="330"/>
      <c r="D5" s="331"/>
      <c r="E5" s="330"/>
      <c r="F5" s="330"/>
      <c r="G5" s="330"/>
      <c r="H5" s="330"/>
      <c r="I5" s="330"/>
      <c r="J5" s="330"/>
      <c r="K5" s="332"/>
      <c r="L5" s="332"/>
      <c r="M5" s="326"/>
      <c r="N5" s="321"/>
      <c r="O5" s="321"/>
      <c r="P5" s="321"/>
      <c r="Q5" s="321"/>
      <c r="R5" s="321"/>
      <c r="S5" s="321"/>
      <c r="T5" s="321"/>
      <c r="U5" s="321"/>
      <c r="V5" s="321"/>
    </row>
    <row r="6" spans="1:37" ht="15.75" customHeight="1" thickBot="1">
      <c r="A6" s="321"/>
      <c r="B6" s="326"/>
      <c r="C6" s="330"/>
      <c r="D6" s="331"/>
      <c r="E6" s="330"/>
      <c r="F6" s="330"/>
      <c r="G6" s="330"/>
      <c r="H6" s="330"/>
      <c r="I6" s="330"/>
      <c r="J6" s="330"/>
      <c r="K6" s="332"/>
      <c r="L6" s="332"/>
      <c r="M6" s="326"/>
      <c r="N6" s="321"/>
      <c r="O6" s="321"/>
      <c r="P6" s="321"/>
      <c r="Q6" s="321"/>
      <c r="R6" s="321"/>
      <c r="S6" s="321"/>
      <c r="T6" s="321"/>
      <c r="U6" s="321"/>
      <c r="V6" s="321"/>
    </row>
    <row r="7" spans="1:37" ht="15.75" customHeight="1" thickBot="1">
      <c r="A7" s="321"/>
      <c r="B7" s="333"/>
      <c r="C7" s="334"/>
      <c r="D7" s="335"/>
      <c r="E7" s="334"/>
      <c r="F7" s="334"/>
      <c r="G7" s="334"/>
      <c r="H7" s="334"/>
      <c r="I7" s="334"/>
      <c r="J7" s="334"/>
      <c r="K7" s="336"/>
      <c r="L7" s="336"/>
      <c r="M7" s="337"/>
      <c r="N7" s="337"/>
      <c r="O7" s="337"/>
      <c r="P7" s="337"/>
      <c r="Q7" s="337"/>
      <c r="R7" s="337"/>
      <c r="S7" s="337"/>
      <c r="T7" s="337"/>
      <c r="U7" s="338"/>
      <c r="V7" s="321"/>
    </row>
    <row r="8" spans="1:37" ht="15.75" customHeight="1">
      <c r="A8" s="321"/>
      <c r="B8" s="339"/>
      <c r="C8" s="1620" t="s">
        <v>64</v>
      </c>
      <c r="D8" s="1621"/>
      <c r="E8" s="1621"/>
      <c r="F8" s="1621"/>
      <c r="G8" s="1621"/>
      <c r="H8" s="1621"/>
      <c r="I8" s="1621"/>
      <c r="J8" s="1621"/>
      <c r="K8" s="1622"/>
      <c r="L8" s="340"/>
      <c r="M8" s="1551" t="s">
        <v>65</v>
      </c>
      <c r="N8" s="1552"/>
      <c r="O8" s="1552"/>
      <c r="P8" s="1552"/>
      <c r="Q8" s="1552"/>
      <c r="R8" s="1552"/>
      <c r="S8" s="1552"/>
      <c r="T8" s="1553"/>
      <c r="U8" s="341"/>
      <c r="V8" s="321"/>
    </row>
    <row r="9" spans="1:37" ht="15.75" customHeight="1">
      <c r="A9" s="321"/>
      <c r="B9" s="339"/>
      <c r="C9" s="1623"/>
      <c r="D9" s="1624"/>
      <c r="E9" s="1624"/>
      <c r="F9" s="1624"/>
      <c r="G9" s="1624"/>
      <c r="H9" s="1624"/>
      <c r="I9" s="1624"/>
      <c r="J9" s="1624"/>
      <c r="K9" s="1625"/>
      <c r="L9" s="340"/>
      <c r="M9" s="1554"/>
      <c r="N9" s="1555"/>
      <c r="O9" s="1555"/>
      <c r="P9" s="1555"/>
      <c r="Q9" s="1555"/>
      <c r="R9" s="1555"/>
      <c r="S9" s="1555"/>
      <c r="T9" s="1556"/>
      <c r="U9" s="341"/>
      <c r="V9" s="321"/>
    </row>
    <row r="10" spans="1:37" ht="30" customHeight="1">
      <c r="A10" s="321"/>
      <c r="B10" s="339"/>
      <c r="C10" s="797" t="s">
        <v>66</v>
      </c>
      <c r="D10" s="798" t="s">
        <v>67</v>
      </c>
      <c r="E10" s="799" t="s">
        <v>68</v>
      </c>
      <c r="F10" s="801" t="s">
        <v>69</v>
      </c>
      <c r="G10" s="801" t="s">
        <v>70</v>
      </c>
      <c r="H10" s="801" t="s">
        <v>71</v>
      </c>
      <c r="I10" s="801" t="s">
        <v>72</v>
      </c>
      <c r="J10" s="802" t="s">
        <v>73</v>
      </c>
      <c r="K10" s="840" t="s">
        <v>74</v>
      </c>
      <c r="L10" s="346"/>
      <c r="M10" s="735" t="s">
        <v>75</v>
      </c>
      <c r="N10" s="348" t="s">
        <v>76</v>
      </c>
      <c r="O10" s="349" t="s">
        <v>77</v>
      </c>
      <c r="P10" s="349" t="s">
        <v>69</v>
      </c>
      <c r="Q10" s="349" t="s">
        <v>70</v>
      </c>
      <c r="R10" s="685" t="s">
        <v>72</v>
      </c>
      <c r="S10" s="349" t="s">
        <v>74</v>
      </c>
      <c r="T10" s="350" t="s">
        <v>64</v>
      </c>
      <c r="U10" s="341"/>
      <c r="V10" s="321"/>
    </row>
    <row r="11" spans="1:37" s="357" customFormat="1">
      <c r="A11" s="351"/>
      <c r="B11" s="352"/>
      <c r="C11" s="1058">
        <v>44013</v>
      </c>
      <c r="D11" s="1059"/>
      <c r="E11" s="1062" t="s">
        <v>549</v>
      </c>
      <c r="F11" s="1137" t="s">
        <v>8</v>
      </c>
      <c r="G11" s="1133">
        <f>IF( F11="Radio", VLOOKUP(H11,radio!$A$2:$B$33,2), IF(F11="PQR",VLOOKUP(H11,pqr!$A$2:$B$20,2),IF(F11="INTERNET",VLOOKUP(H11,internet!$A$2:$C$43,2),IF(F11="TV",VLOOKUP(H11,tv!$A$2:$B$10,2),""))) )</f>
        <v>65</v>
      </c>
      <c r="H11" s="1062" t="s">
        <v>550</v>
      </c>
      <c r="I11" s="1062" t="s">
        <v>52</v>
      </c>
      <c r="J11" s="1134" t="s">
        <v>80</v>
      </c>
      <c r="K11" s="804" t="s">
        <v>81</v>
      </c>
      <c r="L11" s="353"/>
      <c r="M11" s="1064">
        <v>44034</v>
      </c>
      <c r="N11" s="1065">
        <v>62</v>
      </c>
      <c r="O11" s="1066" t="s">
        <v>551</v>
      </c>
      <c r="P11" s="1067" t="s">
        <v>94</v>
      </c>
      <c r="Q11" s="1067">
        <v>40</v>
      </c>
      <c r="R11" s="1179" t="s">
        <v>53</v>
      </c>
      <c r="S11" s="1035" t="s">
        <v>96</v>
      </c>
      <c r="T11" s="1068">
        <f>COUNTIF(D:D,N11)+COUNTIF(Aout!D:D,N11)</f>
        <v>0</v>
      </c>
      <c r="U11" s="356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351"/>
      <c r="AJ11" s="351"/>
      <c r="AK11" s="351"/>
    </row>
    <row r="12" spans="1:37" s="357" customFormat="1" ht="15.75" customHeight="1">
      <c r="A12" s="351"/>
      <c r="B12" s="352"/>
      <c r="C12" s="1058">
        <v>44013</v>
      </c>
      <c r="D12" s="1059">
        <v>63</v>
      </c>
      <c r="E12" s="1062" t="s">
        <v>542</v>
      </c>
      <c r="F12" s="1137" t="s">
        <v>8</v>
      </c>
      <c r="G12" s="1133">
        <f>IF( F12="Radio", VLOOKUP(H12,radio!$A$2:$B$33,2), IF(F12="PQR",VLOOKUP(H12,pqr!$A$2:$B$20,2),IF(F12="INTERNET",VLOOKUP(H12,internet!$A$2:$C$43,2),IF(F12="TV",VLOOKUP(H12,tv!$A$2:$B$10,2),""))) )</f>
        <v>65</v>
      </c>
      <c r="H12" s="1062" t="s">
        <v>91</v>
      </c>
      <c r="I12" s="1062" t="s">
        <v>52</v>
      </c>
      <c r="J12" s="1134" t="s">
        <v>80</v>
      </c>
      <c r="K12" s="804" t="s">
        <v>81</v>
      </c>
      <c r="L12" s="358"/>
      <c r="M12" s="1295">
        <v>44013</v>
      </c>
      <c r="N12" s="1296">
        <v>63</v>
      </c>
      <c r="O12" s="794" t="s">
        <v>552</v>
      </c>
      <c r="P12" s="1297" t="s">
        <v>553</v>
      </c>
      <c r="Q12" s="1298">
        <v>65</v>
      </c>
      <c r="R12" s="1297" t="s">
        <v>554</v>
      </c>
      <c r="S12" s="730"/>
      <c r="T12" s="1068">
        <f>COUNTIF(D:D,N12)+COUNTIF(Aout!D:D,N12)</f>
        <v>1</v>
      </c>
      <c r="U12" s="34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  <c r="AG12" s="351"/>
      <c r="AH12" s="351"/>
      <c r="AI12" s="351"/>
      <c r="AJ12" s="351"/>
      <c r="AK12" s="351"/>
    </row>
    <row r="13" spans="1:37" s="357" customFormat="1" ht="15.75" customHeight="1" thickBot="1">
      <c r="A13" s="351"/>
      <c r="B13" s="352"/>
      <c r="C13" s="1058">
        <v>44014</v>
      </c>
      <c r="D13" s="1059"/>
      <c r="E13" s="1062" t="s">
        <v>555</v>
      </c>
      <c r="F13" s="1137" t="s">
        <v>8</v>
      </c>
      <c r="G13" s="1133">
        <f>IF( F13="Radio", VLOOKUP(H13,radio!$A$2:$B$33,2), IF(F13="PQR",VLOOKUP(H13,pqr!$A$2:$B$20,2),IF(F13="INTERNET",VLOOKUP(H13,internet!$A$2:$C$43,2),IF(F13="TV",VLOOKUP(H13,tv!$A$2:$B$10,2),""))) )</f>
        <v>64</v>
      </c>
      <c r="H13" s="1062" t="s">
        <v>556</v>
      </c>
      <c r="I13" s="1062" t="s">
        <v>52</v>
      </c>
      <c r="J13" s="1134" t="s">
        <v>80</v>
      </c>
      <c r="K13" s="804" t="s">
        <v>81</v>
      </c>
      <c r="L13" s="358"/>
      <c r="M13" s="1299"/>
      <c r="N13" s="1300"/>
      <c r="O13" s="1301"/>
      <c r="P13" s="1302"/>
      <c r="Q13" s="1302"/>
      <c r="R13" s="1302"/>
      <c r="S13" s="1303"/>
      <c r="T13" s="1068">
        <f>COUNTIF(D:D,N13)+COUNTIF(Aout!D:D,N13)</f>
        <v>0</v>
      </c>
      <c r="U13" s="34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351"/>
      <c r="AJ13" s="351"/>
      <c r="AK13" s="351"/>
    </row>
    <row r="14" spans="1:37" ht="30.75" thickBot="1">
      <c r="A14" s="321"/>
      <c r="B14" s="339"/>
      <c r="C14" s="1058">
        <v>44014</v>
      </c>
      <c r="D14" s="1059">
        <v>65</v>
      </c>
      <c r="E14" s="1062" t="s">
        <v>557</v>
      </c>
      <c r="F14" s="1137" t="s">
        <v>9</v>
      </c>
      <c r="G14" s="1133">
        <v>65</v>
      </c>
      <c r="H14" s="1062"/>
      <c r="I14" s="1062" t="s">
        <v>52</v>
      </c>
      <c r="J14" s="1134" t="s">
        <v>80</v>
      </c>
      <c r="K14" s="846" t="s">
        <v>427</v>
      </c>
      <c r="L14" s="359"/>
      <c r="M14" s="1299">
        <v>44013</v>
      </c>
      <c r="N14" s="1300">
        <v>65</v>
      </c>
      <c r="O14" s="1301" t="s">
        <v>558</v>
      </c>
      <c r="P14" s="1302" t="s">
        <v>94</v>
      </c>
      <c r="Q14" s="1302">
        <v>65</v>
      </c>
      <c r="R14" s="1302" t="s">
        <v>554</v>
      </c>
      <c r="S14" s="871" t="s">
        <v>96</v>
      </c>
      <c r="T14" s="1068">
        <f>COUNTIF(D:D,N14)+COUNTIF(Aout!D:D,N14)</f>
        <v>5</v>
      </c>
      <c r="U14" s="341"/>
      <c r="V14" s="321"/>
    </row>
    <row r="15" spans="1:37" ht="16.5" thickBot="1">
      <c r="A15" s="321"/>
      <c r="B15" s="339"/>
      <c r="C15" s="1058">
        <v>44015</v>
      </c>
      <c r="D15" s="1059" t="s">
        <v>453</v>
      </c>
      <c r="E15" s="1062" t="s">
        <v>559</v>
      </c>
      <c r="F15" s="1137" t="s">
        <v>9</v>
      </c>
      <c r="G15" s="1133">
        <v>64</v>
      </c>
      <c r="H15" s="1062" t="s">
        <v>560</v>
      </c>
      <c r="I15" s="1062" t="s">
        <v>52</v>
      </c>
      <c r="J15" s="1134" t="s">
        <v>80</v>
      </c>
      <c r="K15" s="804" t="s">
        <v>96</v>
      </c>
      <c r="L15" s="359"/>
      <c r="M15" s="1299">
        <v>44021</v>
      </c>
      <c r="N15" s="1300">
        <v>66</v>
      </c>
      <c r="O15" s="1301" t="s">
        <v>561</v>
      </c>
      <c r="P15" s="1302" t="s">
        <v>94</v>
      </c>
      <c r="Q15" s="1302">
        <v>40</v>
      </c>
      <c r="R15" s="1302" t="s">
        <v>562</v>
      </c>
      <c r="S15" s="1303"/>
      <c r="T15" s="1068">
        <f>COUNTIF(D:D,N15)+COUNTIF(Aout!D:D,N15)</f>
        <v>3</v>
      </c>
      <c r="U15" s="341"/>
      <c r="V15" s="321"/>
    </row>
    <row r="16" spans="1:37" s="362" customFormat="1" ht="16.5" thickBot="1">
      <c r="A16" s="360"/>
      <c r="B16" s="361"/>
      <c r="C16" s="1058">
        <v>44017</v>
      </c>
      <c r="D16" s="1059" t="s">
        <v>453</v>
      </c>
      <c r="E16" s="1062" t="s">
        <v>542</v>
      </c>
      <c r="F16" s="1137" t="s">
        <v>8</v>
      </c>
      <c r="G16" s="1133">
        <f>IF( F16="Radio", VLOOKUP(H16,radio!$A$2:$B$33,2), IF(F16="PQR",VLOOKUP(H16,pqr!$A$2:$B$20,2),IF(F16="INTERNET",VLOOKUP(H16,internet!$A$2:$C$43,2),IF(F16="TV",VLOOKUP(H16,tv!$A$2:$B$10,2),""))) )</f>
        <v>65</v>
      </c>
      <c r="H16" s="1062" t="s">
        <v>311</v>
      </c>
      <c r="I16" s="1062" t="s">
        <v>52</v>
      </c>
      <c r="J16" s="1134" t="s">
        <v>80</v>
      </c>
      <c r="K16" s="804" t="s">
        <v>81</v>
      </c>
      <c r="L16" s="358"/>
      <c r="M16" s="1299">
        <v>44035</v>
      </c>
      <c r="N16" s="1300">
        <v>67</v>
      </c>
      <c r="O16" s="1301" t="s">
        <v>563</v>
      </c>
      <c r="P16" s="1302" t="s">
        <v>114</v>
      </c>
      <c r="Q16" s="1302">
        <v>40</v>
      </c>
      <c r="R16" s="1302" t="s">
        <v>114</v>
      </c>
      <c r="S16" s="1303"/>
      <c r="T16" s="1068">
        <f>COUNTIF(D:D,N16)+COUNTIF(Aout!D:D,N16)</f>
        <v>1</v>
      </c>
      <c r="U16" s="341"/>
      <c r="V16" s="360"/>
      <c r="W16" s="360"/>
      <c r="X16" s="360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360"/>
      <c r="AJ16" s="360"/>
      <c r="AK16" s="360"/>
    </row>
    <row r="17" spans="1:37" s="362" customFormat="1" ht="16.5" thickBot="1">
      <c r="A17" s="360"/>
      <c r="B17" s="361"/>
      <c r="C17" s="1058">
        <v>44018</v>
      </c>
      <c r="D17" s="1059" t="s">
        <v>453</v>
      </c>
      <c r="E17" s="1062" t="s">
        <v>564</v>
      </c>
      <c r="F17" s="1137" t="s">
        <v>8</v>
      </c>
      <c r="G17" s="1133">
        <f>IF( F17="Radio", VLOOKUP(H17,radio!$A$2:$B$33,2), IF(F17="PQR",VLOOKUP(H17,pqr!$A$2:$B$20,2),IF(F17="INTERNET",VLOOKUP(H17,internet!$A$2:$C$43,2),IF(F17="TV",VLOOKUP(H17,tv!$A$2:$B$10,2),""))) )</f>
        <v>65</v>
      </c>
      <c r="H17" s="1062" t="s">
        <v>91</v>
      </c>
      <c r="I17" s="1062" t="s">
        <v>52</v>
      </c>
      <c r="J17" s="1134" t="s">
        <v>80</v>
      </c>
      <c r="K17" s="861" t="s">
        <v>81</v>
      </c>
      <c r="L17" s="358"/>
      <c r="M17" s="1299">
        <v>44034</v>
      </c>
      <c r="N17" s="1300">
        <v>68</v>
      </c>
      <c r="O17" s="1301" t="s">
        <v>565</v>
      </c>
      <c r="P17" s="1302" t="s">
        <v>107</v>
      </c>
      <c r="Q17" s="1302">
        <v>40</v>
      </c>
      <c r="R17" s="1302" t="s">
        <v>554</v>
      </c>
      <c r="S17" s="1303"/>
      <c r="T17" s="1068">
        <f>COUNTIF(D:D,N17)+COUNTIF(Aout!D:D,N17)</f>
        <v>2</v>
      </c>
      <c r="U17" s="341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</row>
    <row r="18" spans="1:37" s="362" customFormat="1" ht="16.5" thickBot="1">
      <c r="A18" s="360"/>
      <c r="B18" s="361"/>
      <c r="C18" s="1058">
        <v>44018</v>
      </c>
      <c r="D18" s="1059" t="s">
        <v>453</v>
      </c>
      <c r="E18" s="1062" t="s">
        <v>566</v>
      </c>
      <c r="F18" s="1137" t="s">
        <v>8</v>
      </c>
      <c r="G18" s="1133">
        <f>IF( F18="Radio", VLOOKUP(H18,radio!$A$2:$B$33,2), IF(F18="PQR",VLOOKUP(H18,pqr!$A$2:$B$20,2),IF(F18="INTERNET",VLOOKUP(H18,internet!$A$2:$C$43,2),IF(F18="TV",VLOOKUP(H18,tv!$A$2:$B$10,2),""))) )</f>
        <v>64</v>
      </c>
      <c r="H18" s="1062" t="s">
        <v>396</v>
      </c>
      <c r="I18" s="1062" t="s">
        <v>52</v>
      </c>
      <c r="J18" s="1134" t="s">
        <v>80</v>
      </c>
      <c r="K18" s="861" t="s">
        <v>81</v>
      </c>
      <c r="L18" s="358"/>
      <c r="M18" s="1299">
        <v>44038</v>
      </c>
      <c r="N18" s="1300">
        <v>69</v>
      </c>
      <c r="O18" s="1301" t="s">
        <v>567</v>
      </c>
      <c r="P18" s="1302" t="s">
        <v>114</v>
      </c>
      <c r="Q18" s="1302">
        <v>65</v>
      </c>
      <c r="R18" s="1302" t="s">
        <v>48</v>
      </c>
      <c r="S18" s="1303"/>
      <c r="T18" s="1068">
        <f>COUNTIF(D:D,N18)+COUNTIF(Aout!D:D,N18)</f>
        <v>3</v>
      </c>
      <c r="U18" s="341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360"/>
      <c r="AK18" s="360"/>
    </row>
    <row r="19" spans="1:37" s="365" customFormat="1" ht="16.5" thickBot="1">
      <c r="A19" s="363"/>
      <c r="B19" s="364"/>
      <c r="C19" s="1058">
        <v>44018</v>
      </c>
      <c r="D19" s="1059" t="s">
        <v>453</v>
      </c>
      <c r="E19" s="1062" t="s">
        <v>564</v>
      </c>
      <c r="F19" s="1137" t="s">
        <v>8</v>
      </c>
      <c r="G19" s="1133">
        <f>IF( F19="Radio", VLOOKUP(H19,radio!$A$2:$B$33,2), IF(F19="PQR",VLOOKUP(H19,pqr!$A$2:$B$20,2),IF(F19="INTERNET",VLOOKUP(H19,internet!$A$2:$C$43,2),IF(F19="TV",VLOOKUP(H19,tv!$A$2:$B$10,2),""))) )</f>
        <v>65</v>
      </c>
      <c r="H19" s="1062" t="s">
        <v>311</v>
      </c>
      <c r="I19" s="1062" t="s">
        <v>52</v>
      </c>
      <c r="J19" s="1134" t="s">
        <v>80</v>
      </c>
      <c r="K19" s="861" t="s">
        <v>81</v>
      </c>
      <c r="L19" s="353"/>
      <c r="M19" s="1299">
        <v>44040</v>
      </c>
      <c r="N19" s="1300">
        <v>70</v>
      </c>
      <c r="O19" s="1301" t="s">
        <v>568</v>
      </c>
      <c r="P19" s="1302" t="s">
        <v>83</v>
      </c>
      <c r="Q19" s="1302">
        <v>40</v>
      </c>
      <c r="R19" s="1302" t="s">
        <v>51</v>
      </c>
      <c r="S19" s="1303"/>
      <c r="T19" s="1068">
        <f>COUNTIF(D:D,N19)+COUNTIF(Aout!D:D,N19)</f>
        <v>15</v>
      </c>
      <c r="U19" s="341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  <c r="AH19" s="363"/>
      <c r="AI19" s="363"/>
      <c r="AJ19" s="363"/>
      <c r="AK19" s="363"/>
    </row>
    <row r="20" spans="1:37" s="365" customFormat="1" ht="16.5" thickBot="1">
      <c r="A20" s="363"/>
      <c r="B20" s="364"/>
      <c r="C20" s="1058">
        <v>44019</v>
      </c>
      <c r="D20" s="1059">
        <v>65</v>
      </c>
      <c r="E20" s="1071" t="s">
        <v>569</v>
      </c>
      <c r="F20" s="1137" t="s">
        <v>9</v>
      </c>
      <c r="G20" s="1133">
        <v>65</v>
      </c>
      <c r="H20" s="1062" t="s">
        <v>570</v>
      </c>
      <c r="I20" s="1062" t="s">
        <v>53</v>
      </c>
      <c r="J20" s="1134" t="s">
        <v>80</v>
      </c>
      <c r="K20" s="804" t="s">
        <v>96</v>
      </c>
      <c r="L20" s="353"/>
      <c r="M20" s="1299">
        <v>44042</v>
      </c>
      <c r="N20" s="1300">
        <v>71</v>
      </c>
      <c r="O20" s="1301" t="s">
        <v>571</v>
      </c>
      <c r="P20" s="1302" t="s">
        <v>83</v>
      </c>
      <c r="Q20" s="1302">
        <v>64</v>
      </c>
      <c r="R20" s="1302" t="s">
        <v>51</v>
      </c>
      <c r="S20" s="1303"/>
      <c r="T20" s="1068">
        <f>COUNTIF(D:D,N20)+COUNTIF(Aout!D:D,N20)</f>
        <v>10</v>
      </c>
      <c r="U20" s="341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363"/>
      <c r="AK20" s="363"/>
    </row>
    <row r="21" spans="1:37" s="365" customFormat="1" ht="16.5" thickBot="1">
      <c r="A21" s="363"/>
      <c r="B21" s="364"/>
      <c r="C21" s="1058">
        <v>44019</v>
      </c>
      <c r="D21" s="1059">
        <v>65</v>
      </c>
      <c r="E21" s="1062" t="s">
        <v>569</v>
      </c>
      <c r="F21" s="1137" t="s">
        <v>9</v>
      </c>
      <c r="G21" s="1133">
        <v>65</v>
      </c>
      <c r="H21" s="1062" t="s">
        <v>572</v>
      </c>
      <c r="I21" s="1062" t="s">
        <v>53</v>
      </c>
      <c r="J21" s="1134" t="s">
        <v>80</v>
      </c>
      <c r="K21" s="804" t="s">
        <v>96</v>
      </c>
      <c r="L21" s="353"/>
      <c r="M21" s="1299"/>
      <c r="N21" s="1300"/>
      <c r="O21" s="1301"/>
      <c r="P21" s="1302"/>
      <c r="Q21" s="1302"/>
      <c r="R21" s="1302"/>
      <c r="S21" s="1303"/>
      <c r="T21" s="1068">
        <f>COUNTIF(D:D,N21)+COUNTIF(Aout!D:D,N21)</f>
        <v>0</v>
      </c>
      <c r="U21" s="341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  <c r="AG21" s="363"/>
      <c r="AH21" s="363"/>
      <c r="AI21" s="363"/>
      <c r="AJ21" s="363"/>
      <c r="AK21" s="363"/>
    </row>
    <row r="22" spans="1:37" s="365" customFormat="1" ht="16.5" thickBot="1">
      <c r="A22" s="363"/>
      <c r="B22" s="364"/>
      <c r="C22" s="1058">
        <v>44019</v>
      </c>
      <c r="D22" s="1059">
        <v>65</v>
      </c>
      <c r="E22" s="1062" t="s">
        <v>573</v>
      </c>
      <c r="F22" s="1137" t="s">
        <v>8</v>
      </c>
      <c r="G22" s="1133">
        <f>IF( F22="Radio", VLOOKUP(H22,radio!$A$2:$B$33,2), IF(F22="PQR",VLOOKUP(H22,pqr!$A$2:$B$20,2),IF(F22="INTERNET",VLOOKUP(H22,internet!$A$2:$C$43,2),IF(F22="TV",VLOOKUP(H22,tv!$A$2:$B$10,2),""))) )</f>
        <v>65</v>
      </c>
      <c r="H22" s="1062" t="s">
        <v>311</v>
      </c>
      <c r="I22" s="1062" t="s">
        <v>53</v>
      </c>
      <c r="J22" s="1134" t="s">
        <v>80</v>
      </c>
      <c r="K22" s="861" t="s">
        <v>81</v>
      </c>
      <c r="L22" s="353"/>
      <c r="M22" s="1299"/>
      <c r="N22" s="1300"/>
      <c r="O22" s="1301"/>
      <c r="P22" s="1302"/>
      <c r="Q22" s="1302"/>
      <c r="R22" s="1302"/>
      <c r="S22" s="1303"/>
      <c r="T22" s="1068">
        <f>COUNTIF(D:D,N22)+COUNTIF(Aout!D:D,N22)</f>
        <v>0</v>
      </c>
      <c r="U22" s="341"/>
      <c r="V22" s="363"/>
      <c r="W22" s="363"/>
      <c r="X22" s="363"/>
      <c r="Y22" s="363"/>
      <c r="Z22" s="363"/>
      <c r="AA22" s="363"/>
      <c r="AB22" s="363"/>
      <c r="AC22" s="363"/>
      <c r="AD22" s="363"/>
      <c r="AE22" s="363"/>
      <c r="AF22" s="363"/>
      <c r="AG22" s="363"/>
      <c r="AH22" s="363"/>
      <c r="AI22" s="363"/>
      <c r="AJ22" s="363"/>
      <c r="AK22" s="363"/>
    </row>
    <row r="23" spans="1:37" s="365" customFormat="1" ht="16.5" thickBot="1">
      <c r="A23" s="363"/>
      <c r="B23" s="364"/>
      <c r="C23" s="1058">
        <v>44020</v>
      </c>
      <c r="D23" s="1059">
        <v>65</v>
      </c>
      <c r="E23" s="1071" t="s">
        <v>574</v>
      </c>
      <c r="F23" s="1137" t="s">
        <v>8</v>
      </c>
      <c r="G23" s="1133">
        <f>IF( F23="Radio", VLOOKUP(H23,radio!$A$2:$B$33,2), IF(F23="PQR",VLOOKUP(H23,pqr!$A$2:$B$20,2),IF(F23="INTERNET",VLOOKUP(H23,internet!$A$2:$C$43,2),IF(F23="TV",VLOOKUP(H23,tv!$A$2:$B$10,2),""))) )</f>
        <v>65</v>
      </c>
      <c r="H23" s="1062" t="s">
        <v>550</v>
      </c>
      <c r="I23" s="1062" t="s">
        <v>53</v>
      </c>
      <c r="J23" s="1134" t="s">
        <v>80</v>
      </c>
      <c r="K23" s="804" t="s">
        <v>81</v>
      </c>
      <c r="L23" s="353"/>
      <c r="M23" s="1299"/>
      <c r="N23" s="1300"/>
      <c r="O23" s="1301"/>
      <c r="P23" s="1302"/>
      <c r="Q23" s="1302"/>
      <c r="R23" s="1302"/>
      <c r="S23" s="1303"/>
      <c r="T23" s="1068">
        <f>COUNTIF(D:D,N23)+COUNTIF(Aout!D:D,N23)</f>
        <v>0</v>
      </c>
      <c r="U23" s="341"/>
      <c r="V23" s="363"/>
      <c r="W23" s="363"/>
      <c r="X23" s="363"/>
      <c r="Y23" s="363"/>
      <c r="Z23" s="363"/>
      <c r="AA23" s="363"/>
      <c r="AB23" s="363"/>
      <c r="AC23" s="363"/>
      <c r="AD23" s="363"/>
      <c r="AE23" s="363"/>
      <c r="AF23" s="363"/>
      <c r="AG23" s="363"/>
      <c r="AH23" s="363"/>
      <c r="AI23" s="363"/>
      <c r="AJ23" s="363"/>
      <c r="AK23" s="363"/>
    </row>
    <row r="24" spans="1:37" s="365" customFormat="1" ht="16.5" thickBot="1">
      <c r="A24" s="363"/>
      <c r="B24" s="364"/>
      <c r="C24" s="1058">
        <v>44021</v>
      </c>
      <c r="D24" s="1059"/>
      <c r="E24" s="1062" t="s">
        <v>575</v>
      </c>
      <c r="F24" s="1137" t="s">
        <v>8</v>
      </c>
      <c r="G24" s="1133">
        <f>IF( F24="Radio", VLOOKUP(H24,radio!$A$2:$B$33,2), IF(F24="PQR",VLOOKUP(H24,pqr!$A$2:$B$20,2),IF(F24="INTERNET",VLOOKUP(H24,internet!$A$2:$C$43,2),IF(F24="TV",VLOOKUP(H24,tv!$A$2:$B$10,2),""))) )</f>
        <v>40</v>
      </c>
      <c r="H24" s="1062" t="s">
        <v>85</v>
      </c>
      <c r="I24" s="1062" t="s">
        <v>49</v>
      </c>
      <c r="J24" s="1134" t="s">
        <v>80</v>
      </c>
      <c r="K24" s="861" t="s">
        <v>81</v>
      </c>
      <c r="L24" s="353"/>
      <c r="M24" s="1299"/>
      <c r="N24" s="1300"/>
      <c r="O24" s="1301"/>
      <c r="P24" s="1302"/>
      <c r="Q24" s="1302"/>
      <c r="R24" s="1302"/>
      <c r="S24" s="1303"/>
      <c r="T24" s="1068">
        <f>COUNTIF(D:D,N24)+COUNTIF(Aout!D:D,N24)</f>
        <v>0</v>
      </c>
      <c r="U24" s="341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3"/>
      <c r="AJ24" s="363"/>
      <c r="AK24" s="363"/>
    </row>
    <row r="25" spans="1:37" s="365" customFormat="1" ht="16.5" thickBot="1">
      <c r="A25" s="363"/>
      <c r="B25" s="364"/>
      <c r="C25" s="1058">
        <v>44021</v>
      </c>
      <c r="D25" s="1059">
        <v>66</v>
      </c>
      <c r="E25" s="1069" t="s">
        <v>576</v>
      </c>
      <c r="F25" s="1137" t="s">
        <v>9</v>
      </c>
      <c r="G25" s="1133">
        <v>40</v>
      </c>
      <c r="H25" s="1062" t="s">
        <v>577</v>
      </c>
      <c r="I25" s="1062" t="s">
        <v>52</v>
      </c>
      <c r="J25" s="1134" t="s">
        <v>80</v>
      </c>
      <c r="K25" s="861" t="s">
        <v>96</v>
      </c>
      <c r="L25" s="353"/>
      <c r="M25" s="1299"/>
      <c r="N25" s="1300"/>
      <c r="O25" s="1301"/>
      <c r="P25" s="1302"/>
      <c r="Q25" s="1302"/>
      <c r="R25" s="1302"/>
      <c r="S25" s="1303"/>
      <c r="T25" s="1068">
        <f>COUNTIF(D:D,N25)+COUNTIF(Aout!D:D,N25)</f>
        <v>0</v>
      </c>
      <c r="U25" s="341"/>
      <c r="V25" s="363"/>
      <c r="W25" s="363"/>
      <c r="X25" s="363"/>
      <c r="Y25" s="363"/>
      <c r="Z25" s="363"/>
      <c r="AA25" s="363"/>
      <c r="AB25" s="363"/>
      <c r="AC25" s="363"/>
      <c r="AD25" s="363"/>
      <c r="AE25" s="363"/>
      <c r="AF25" s="363"/>
      <c r="AG25" s="363"/>
      <c r="AH25" s="363"/>
      <c r="AI25" s="363"/>
      <c r="AJ25" s="363"/>
      <c r="AK25" s="363"/>
    </row>
    <row r="26" spans="1:37" s="365" customFormat="1" ht="16.5" thickBot="1">
      <c r="A26" s="363"/>
      <c r="B26" s="364"/>
      <c r="C26" s="1058">
        <v>44025</v>
      </c>
      <c r="D26" s="1059">
        <v>66</v>
      </c>
      <c r="E26" s="1069" t="s">
        <v>578</v>
      </c>
      <c r="F26" s="1137" t="s">
        <v>8</v>
      </c>
      <c r="G26" s="1133">
        <v>40</v>
      </c>
      <c r="H26" s="1062" t="s">
        <v>577</v>
      </c>
      <c r="I26" s="1062" t="s">
        <v>52</v>
      </c>
      <c r="J26" s="1134" t="s">
        <v>80</v>
      </c>
      <c r="K26" s="861" t="s">
        <v>81</v>
      </c>
      <c r="L26" s="353"/>
      <c r="M26" s="1299"/>
      <c r="N26" s="1300"/>
      <c r="O26" s="1301"/>
      <c r="P26" s="1302"/>
      <c r="Q26" s="1302"/>
      <c r="R26" s="1302"/>
      <c r="S26" s="1303"/>
      <c r="T26" s="1068">
        <f>COUNTIF(D:D,N26)+COUNTIF(Aout!D:D,N26)</f>
        <v>0</v>
      </c>
      <c r="U26" s="341"/>
      <c r="V26" s="363"/>
      <c r="W26" s="363"/>
      <c r="X26" s="363"/>
      <c r="Y26" s="363"/>
      <c r="Z26" s="363"/>
      <c r="AA26" s="363"/>
      <c r="AB26" s="363"/>
      <c r="AC26" s="363"/>
      <c r="AD26" s="363"/>
      <c r="AE26" s="363"/>
      <c r="AF26" s="363"/>
      <c r="AG26" s="363"/>
      <c r="AH26" s="363"/>
      <c r="AI26" s="363"/>
      <c r="AJ26" s="363"/>
      <c r="AK26" s="363"/>
    </row>
    <row r="27" spans="1:37" s="365" customFormat="1" ht="16.5" thickBot="1">
      <c r="A27" s="363"/>
      <c r="B27" s="364"/>
      <c r="C27" s="1058">
        <v>44027</v>
      </c>
      <c r="D27" s="1059"/>
      <c r="E27" s="1069" t="s">
        <v>579</v>
      </c>
      <c r="F27" s="1137" t="s">
        <v>9</v>
      </c>
      <c r="G27" s="1133">
        <v>40</v>
      </c>
      <c r="H27" s="1062" t="s">
        <v>577</v>
      </c>
      <c r="I27" s="1062" t="s">
        <v>49</v>
      </c>
      <c r="J27" s="1134" t="s">
        <v>80</v>
      </c>
      <c r="K27" s="804" t="s">
        <v>96</v>
      </c>
      <c r="L27" s="353"/>
      <c r="M27" s="1299"/>
      <c r="N27" s="1300"/>
      <c r="O27" s="1301"/>
      <c r="P27" s="1302"/>
      <c r="Q27" s="1302"/>
      <c r="R27" s="1302"/>
      <c r="S27" s="1303"/>
      <c r="T27" s="1068">
        <f>COUNTIF(D:D,N27)+COUNTIF(Aout!D:D,N27)</f>
        <v>0</v>
      </c>
      <c r="U27" s="341"/>
      <c r="V27" s="363"/>
      <c r="W27" s="363"/>
      <c r="X27" s="363"/>
      <c r="Y27" s="363"/>
      <c r="Z27" s="363"/>
      <c r="AA27" s="363"/>
      <c r="AB27" s="363"/>
      <c r="AC27" s="363"/>
      <c r="AD27" s="363"/>
      <c r="AE27" s="363"/>
      <c r="AF27" s="363"/>
      <c r="AG27" s="363"/>
      <c r="AH27" s="363"/>
      <c r="AI27" s="363"/>
      <c r="AJ27" s="363"/>
      <c r="AK27" s="363"/>
    </row>
    <row r="28" spans="1:37" s="365" customFormat="1" ht="16.5" thickBot="1">
      <c r="A28" s="363"/>
      <c r="B28" s="364"/>
      <c r="C28" s="1058">
        <v>44028</v>
      </c>
      <c r="D28" s="1059" t="s">
        <v>453</v>
      </c>
      <c r="E28" s="1062" t="s">
        <v>580</v>
      </c>
      <c r="F28" s="1137" t="s">
        <v>8</v>
      </c>
      <c r="G28" s="1133">
        <f>IF( F28="Radio", VLOOKUP(H28,radio!$A$2:$B$33,2), IF(F28="PQR",VLOOKUP(H28,pqr!$A$2:$B$20,2),IF(F28="INTERNET",VLOOKUP(H28,internet!$A$2:$C$43,2),IF(F28="TV",VLOOKUP(H28,tv!$A$2:$B$10,2),""))) )</f>
        <v>65</v>
      </c>
      <c r="H28" s="1062" t="s">
        <v>311</v>
      </c>
      <c r="I28" s="1062" t="s">
        <v>52</v>
      </c>
      <c r="J28" s="1134" t="s">
        <v>80</v>
      </c>
      <c r="K28" s="861" t="s">
        <v>81</v>
      </c>
      <c r="L28" s="353"/>
      <c r="M28" s="1299"/>
      <c r="N28" s="1300"/>
      <c r="O28" s="1301"/>
      <c r="P28" s="1302"/>
      <c r="Q28" s="1302"/>
      <c r="R28" s="1302"/>
      <c r="S28" s="1303"/>
      <c r="T28" s="1068">
        <f>COUNTIF(D:D,N28)+COUNTIF(Aout!D:D,N28)</f>
        <v>0</v>
      </c>
      <c r="U28" s="341"/>
      <c r="V28" s="363"/>
      <c r="W28" s="363"/>
      <c r="X28" s="363"/>
      <c r="Y28" s="363"/>
      <c r="Z28" s="363"/>
      <c r="AA28" s="363"/>
      <c r="AB28" s="363"/>
      <c r="AC28" s="363"/>
      <c r="AD28" s="363"/>
      <c r="AE28" s="363"/>
      <c r="AF28" s="363"/>
      <c r="AG28" s="363"/>
      <c r="AH28" s="363"/>
      <c r="AI28" s="363"/>
      <c r="AJ28" s="363"/>
      <c r="AK28" s="363"/>
    </row>
    <row r="29" spans="1:37" s="365" customFormat="1" ht="19.5" customHeight="1" thickBot="1">
      <c r="A29" s="363"/>
      <c r="B29" s="364"/>
      <c r="C29" s="1058">
        <v>44031</v>
      </c>
      <c r="D29" s="1059"/>
      <c r="E29" s="1062" t="s">
        <v>581</v>
      </c>
      <c r="F29" s="1137" t="s">
        <v>9</v>
      </c>
      <c r="G29" s="1133">
        <v>64</v>
      </c>
      <c r="H29" s="1062" t="s">
        <v>560</v>
      </c>
      <c r="I29" s="1062" t="s">
        <v>50</v>
      </c>
      <c r="J29" s="1134" t="s">
        <v>80</v>
      </c>
      <c r="K29" s="804" t="s">
        <v>96</v>
      </c>
      <c r="L29" s="353"/>
      <c r="M29" s="1299"/>
      <c r="N29" s="1300"/>
      <c r="O29" s="1301"/>
      <c r="P29" s="1302"/>
      <c r="Q29" s="1302"/>
      <c r="R29" s="1302"/>
      <c r="S29" s="1303"/>
      <c r="T29" s="1068">
        <f>COUNTIF(D:D,N29)+COUNTIF(Aout!D:D,N29)</f>
        <v>0</v>
      </c>
      <c r="U29" s="341"/>
      <c r="V29" s="363"/>
      <c r="W29" s="363"/>
      <c r="X29" s="363"/>
      <c r="Y29" s="363"/>
      <c r="Z29" s="363"/>
      <c r="AA29" s="363"/>
      <c r="AB29" s="363"/>
      <c r="AC29" s="363"/>
      <c r="AD29" s="363"/>
      <c r="AE29" s="363"/>
      <c r="AF29" s="363"/>
      <c r="AG29" s="363"/>
      <c r="AH29" s="363"/>
      <c r="AI29" s="363"/>
      <c r="AJ29" s="363"/>
      <c r="AK29" s="363"/>
    </row>
    <row r="30" spans="1:37" s="362" customFormat="1" ht="16.5" thickBot="1">
      <c r="A30" s="360"/>
      <c r="B30" s="361"/>
      <c r="C30" s="1058">
        <v>44032</v>
      </c>
      <c r="D30" s="1059"/>
      <c r="E30" s="1062" t="s">
        <v>581</v>
      </c>
      <c r="F30" s="1137" t="s">
        <v>8</v>
      </c>
      <c r="G30" s="1133">
        <f>IF( F30="Radio", VLOOKUP(H30,radio!$A$2:$B$33,2), IF(F30="PQR",VLOOKUP(H30,pqr!$A$2:$B$20,2),IF(F30="INTERNET",VLOOKUP(H30,internet!$A$2:$C$43,2),IF(F30="TV",VLOOKUP(H30,tv!$A$2:$B$10,2),""))) )</f>
        <v>64</v>
      </c>
      <c r="H30" s="1062" t="s">
        <v>396</v>
      </c>
      <c r="I30" s="1062" t="s">
        <v>50</v>
      </c>
      <c r="J30" s="1134" t="s">
        <v>80</v>
      </c>
      <c r="K30" s="804" t="s">
        <v>81</v>
      </c>
      <c r="L30" s="353"/>
      <c r="M30" s="1299"/>
      <c r="N30" s="1300"/>
      <c r="O30" s="1301"/>
      <c r="P30" s="1302"/>
      <c r="Q30" s="1302"/>
      <c r="R30" s="1302"/>
      <c r="S30" s="1303"/>
      <c r="T30" s="1068">
        <f>COUNTIF(D:D,N30)+COUNTIF(Aout!D:D,N30)</f>
        <v>0</v>
      </c>
      <c r="U30" s="341"/>
      <c r="V30" s="360"/>
      <c r="W30" s="360"/>
      <c r="X30" s="360"/>
      <c r="Y30" s="360"/>
      <c r="Z30" s="360"/>
      <c r="AA30" s="360"/>
      <c r="AB30" s="360"/>
      <c r="AC30" s="360"/>
      <c r="AD30" s="360"/>
      <c r="AE30" s="360"/>
      <c r="AF30" s="360"/>
      <c r="AG30" s="360"/>
      <c r="AH30" s="360"/>
      <c r="AI30" s="360"/>
      <c r="AJ30" s="360"/>
      <c r="AK30" s="360"/>
    </row>
    <row r="31" spans="1:37" s="362" customFormat="1" ht="16.5" thickBot="1">
      <c r="A31" s="360"/>
      <c r="B31" s="361"/>
      <c r="C31" s="1058">
        <v>44032</v>
      </c>
      <c r="D31" s="1059"/>
      <c r="E31" s="1062" t="s">
        <v>581</v>
      </c>
      <c r="F31" s="1137" t="s">
        <v>8</v>
      </c>
      <c r="G31" s="1133">
        <f>IF( F31="Radio", VLOOKUP(H31,radio!$A$2:$B$33,2), IF(F31="PQR",VLOOKUP(H31,pqr!$A$2:$B$20,2),IF(F31="INTERNET",VLOOKUP(H31,internet!$A$2:$C$43,2),IF(F31="TV",VLOOKUP(H31,tv!$A$2:$B$10,2),""))) )</f>
        <v>64</v>
      </c>
      <c r="H31" s="1062" t="s">
        <v>556</v>
      </c>
      <c r="I31" s="1062" t="s">
        <v>50</v>
      </c>
      <c r="J31" s="1134" t="s">
        <v>80</v>
      </c>
      <c r="K31" s="804" t="s">
        <v>81</v>
      </c>
      <c r="L31" s="353"/>
      <c r="M31" s="1299"/>
      <c r="N31" s="1300"/>
      <c r="O31" s="1301"/>
      <c r="P31" s="1302"/>
      <c r="Q31" s="1302"/>
      <c r="R31" s="1302"/>
      <c r="S31" s="1303"/>
      <c r="T31" s="1068"/>
      <c r="U31" s="341"/>
      <c r="V31" s="360"/>
      <c r="W31" s="360"/>
      <c r="X31" s="360"/>
      <c r="Y31" s="360"/>
      <c r="Z31" s="360"/>
      <c r="AA31" s="360"/>
      <c r="AB31" s="360"/>
      <c r="AC31" s="360"/>
      <c r="AD31" s="360"/>
      <c r="AE31" s="360"/>
      <c r="AF31" s="360"/>
      <c r="AG31" s="360"/>
      <c r="AH31" s="360"/>
      <c r="AI31" s="360"/>
      <c r="AJ31" s="360"/>
      <c r="AK31" s="360"/>
    </row>
    <row r="32" spans="1:37" s="362" customFormat="1">
      <c r="A32" s="360"/>
      <c r="B32" s="361"/>
      <c r="C32" s="1058">
        <v>44032</v>
      </c>
      <c r="D32" s="1059"/>
      <c r="E32" s="1071" t="s">
        <v>582</v>
      </c>
      <c r="F32" s="1137" t="s">
        <v>9</v>
      </c>
      <c r="G32" s="1133">
        <v>64</v>
      </c>
      <c r="H32" s="1062" t="s">
        <v>560</v>
      </c>
      <c r="I32" s="1062" t="s">
        <v>50</v>
      </c>
      <c r="J32" s="1134" t="s">
        <v>80</v>
      </c>
      <c r="K32" s="804" t="s">
        <v>96</v>
      </c>
      <c r="L32" s="353"/>
      <c r="M32" s="697"/>
      <c r="N32" s="766"/>
      <c r="O32" s="369"/>
      <c r="P32" s="806"/>
      <c r="Q32" s="369"/>
      <c r="R32" s="369"/>
      <c r="S32" s="369"/>
      <c r="T32" s="369"/>
      <c r="U32" s="341"/>
      <c r="V32" s="360"/>
      <c r="W32" s="360"/>
      <c r="X32" s="360"/>
      <c r="Y32" s="360"/>
      <c r="Z32" s="360"/>
      <c r="AA32" s="360"/>
      <c r="AB32" s="360"/>
      <c r="AC32" s="360"/>
      <c r="AD32" s="360"/>
      <c r="AE32" s="360"/>
      <c r="AF32" s="360"/>
      <c r="AG32" s="360"/>
      <c r="AH32" s="360"/>
      <c r="AI32" s="360"/>
      <c r="AJ32" s="360"/>
      <c r="AK32" s="360"/>
    </row>
    <row r="33" spans="1:37">
      <c r="A33" s="321"/>
      <c r="B33" s="339"/>
      <c r="C33" s="1058">
        <v>44035</v>
      </c>
      <c r="D33" s="1059">
        <v>68</v>
      </c>
      <c r="E33" s="1071" t="s">
        <v>583</v>
      </c>
      <c r="F33" s="1137" t="s">
        <v>419</v>
      </c>
      <c r="G33" s="1133">
        <v>40</v>
      </c>
      <c r="H33" s="1062"/>
      <c r="I33" s="1062" t="s">
        <v>49</v>
      </c>
      <c r="J33" s="1134" t="s">
        <v>80</v>
      </c>
      <c r="K33" s="804"/>
      <c r="L33" s="353"/>
      <c r="M33" s="369"/>
      <c r="N33" s="369"/>
      <c r="O33" s="369"/>
      <c r="P33" s="806"/>
      <c r="Q33" s="369"/>
      <c r="R33" s="369"/>
      <c r="S33" s="369"/>
      <c r="T33" s="369"/>
      <c r="U33" s="341"/>
      <c r="V33" s="321"/>
    </row>
    <row r="34" spans="1:37" s="365" customFormat="1" ht="15.75" customHeight="1">
      <c r="A34" s="363"/>
      <c r="B34" s="364"/>
      <c r="C34" s="1058">
        <v>44034</v>
      </c>
      <c r="D34" s="1059"/>
      <c r="E34" s="1062" t="s">
        <v>584</v>
      </c>
      <c r="F34" s="1137" t="s">
        <v>8</v>
      </c>
      <c r="G34" s="1133">
        <f>IF( F34="Radio", VLOOKUP(H34,radio!$A$2:$B$33,2), IF(F34="PQR",VLOOKUP(H34,pqr!$A$2:$B$20,2),IF(F34="INTERNET",VLOOKUP(H34,internet!$A$2:$C$43,2),IF(F34="TV",VLOOKUP(H34,tv!$A$2:$B$10,2),""))) )</f>
        <v>64</v>
      </c>
      <c r="H34" s="1062" t="s">
        <v>556</v>
      </c>
      <c r="I34" s="1062" t="s">
        <v>51</v>
      </c>
      <c r="J34" s="1134" t="s">
        <v>80</v>
      </c>
      <c r="K34" s="804" t="s">
        <v>81</v>
      </c>
      <c r="L34" s="353"/>
      <c r="M34" s="369"/>
      <c r="N34" s="369"/>
      <c r="O34" s="369"/>
      <c r="P34" s="806"/>
      <c r="Q34" s="369"/>
      <c r="R34" s="369"/>
      <c r="S34" s="369"/>
      <c r="T34" s="369"/>
      <c r="U34" s="341"/>
      <c r="V34" s="363"/>
      <c r="W34" s="363"/>
      <c r="X34" s="363"/>
      <c r="Y34" s="363"/>
      <c r="Z34" s="363"/>
      <c r="AA34" s="363"/>
      <c r="AB34" s="363"/>
      <c r="AC34" s="363"/>
      <c r="AD34" s="363"/>
      <c r="AE34" s="363"/>
      <c r="AF34" s="363"/>
      <c r="AG34" s="363"/>
      <c r="AH34" s="363"/>
      <c r="AI34" s="363"/>
      <c r="AJ34" s="363"/>
      <c r="AK34" s="363"/>
    </row>
    <row r="35" spans="1:37" s="362" customFormat="1">
      <c r="A35" s="360"/>
      <c r="B35" s="361"/>
      <c r="C35" s="1058">
        <v>44035</v>
      </c>
      <c r="D35" s="1059"/>
      <c r="E35" s="1062" t="s">
        <v>585</v>
      </c>
      <c r="F35" s="1137" t="s">
        <v>8</v>
      </c>
      <c r="G35" s="1133">
        <f>IF( F35="Radio", VLOOKUP(H35,radio!$A$2:$B$33,2), IF(F35="PQR",VLOOKUP(H35,pqr!$A$2:$B$20,2),IF(F35="INTERNET",VLOOKUP(H35,internet!$A$2:$C$43,2),IF(F35="TV",VLOOKUP(H35,tv!$A$2:$B$10,2),""))) )</f>
        <v>64</v>
      </c>
      <c r="H35" s="1062" t="s">
        <v>396</v>
      </c>
      <c r="I35" s="1062" t="s">
        <v>51</v>
      </c>
      <c r="J35" s="1134" t="s">
        <v>80</v>
      </c>
      <c r="K35" s="804" t="s">
        <v>81</v>
      </c>
      <c r="L35" s="358"/>
      <c r="M35" s="369"/>
      <c r="N35" s="369"/>
      <c r="O35" s="369"/>
      <c r="P35" s="806"/>
      <c r="Q35" s="369"/>
      <c r="R35" s="369"/>
      <c r="S35" s="369"/>
      <c r="T35" s="369"/>
      <c r="U35" s="341"/>
      <c r="V35" s="360"/>
      <c r="W35" s="360"/>
      <c r="X35" s="360"/>
      <c r="Y35" s="360"/>
      <c r="Z35" s="360"/>
      <c r="AA35" s="360"/>
      <c r="AB35" s="360"/>
      <c r="AC35" s="360"/>
      <c r="AD35" s="360"/>
      <c r="AE35" s="360"/>
      <c r="AF35" s="360"/>
      <c r="AG35" s="360"/>
      <c r="AH35" s="360"/>
      <c r="AI35" s="360"/>
      <c r="AJ35" s="360"/>
      <c r="AK35" s="360"/>
    </row>
    <row r="36" spans="1:37" s="362" customFormat="1">
      <c r="A36" s="360"/>
      <c r="B36" s="361"/>
      <c r="C36" s="1058">
        <v>44035</v>
      </c>
      <c r="D36" s="1059"/>
      <c r="E36" s="1062" t="s">
        <v>585</v>
      </c>
      <c r="F36" s="1137" t="s">
        <v>8</v>
      </c>
      <c r="G36" s="1133">
        <f>IF( F36="Radio", VLOOKUP(H36,radio!$A$2:$B$33,2), IF(F36="PQR",VLOOKUP(H36,pqr!$A$2:$B$20,2),IF(F36="INTERNET",VLOOKUP(H36,internet!$A$2:$C$43,2),IF(F36="TV",VLOOKUP(H36,tv!$A$2:$B$10,2),""))) )</f>
        <v>64</v>
      </c>
      <c r="H36" s="1062" t="s">
        <v>556</v>
      </c>
      <c r="I36" s="1062" t="s">
        <v>51</v>
      </c>
      <c r="J36" s="1134" t="s">
        <v>80</v>
      </c>
      <c r="K36" s="804" t="s">
        <v>81</v>
      </c>
      <c r="L36" s="370"/>
      <c r="M36" s="369"/>
      <c r="N36" s="369"/>
      <c r="O36" s="346"/>
      <c r="P36" s="806"/>
      <c r="Q36" s="346"/>
      <c r="R36" s="346"/>
      <c r="S36" s="346"/>
      <c r="T36" s="346"/>
      <c r="U36" s="341"/>
      <c r="V36" s="360"/>
      <c r="W36" s="360"/>
      <c r="X36" s="360"/>
      <c r="Y36" s="360"/>
      <c r="Z36" s="360"/>
      <c r="AA36" s="360"/>
      <c r="AB36" s="360"/>
      <c r="AC36" s="360"/>
      <c r="AD36" s="360"/>
      <c r="AE36" s="360"/>
      <c r="AF36" s="360"/>
      <c r="AG36" s="360"/>
      <c r="AH36" s="360"/>
      <c r="AI36" s="360"/>
      <c r="AJ36" s="360"/>
      <c r="AK36" s="360"/>
    </row>
    <row r="37" spans="1:37" s="362" customFormat="1">
      <c r="A37" s="360"/>
      <c r="B37" s="361"/>
      <c r="C37" s="1058">
        <v>44035</v>
      </c>
      <c r="D37" s="1059">
        <v>67</v>
      </c>
      <c r="E37" s="1072" t="s">
        <v>586</v>
      </c>
      <c r="F37" s="1137" t="s">
        <v>8</v>
      </c>
      <c r="G37" s="1133">
        <v>40</v>
      </c>
      <c r="H37" s="1237"/>
      <c r="I37" s="1062" t="s">
        <v>47</v>
      </c>
      <c r="J37" s="1134" t="s">
        <v>80</v>
      </c>
      <c r="K37" s="804" t="s">
        <v>81</v>
      </c>
      <c r="L37" s="370"/>
      <c r="M37" s="369"/>
      <c r="N37" s="369"/>
      <c r="O37" s="346"/>
      <c r="P37" s="806"/>
      <c r="Q37" s="346"/>
      <c r="R37" s="346"/>
      <c r="S37" s="346"/>
      <c r="T37" s="346"/>
      <c r="U37" s="341"/>
      <c r="V37" s="360"/>
      <c r="W37" s="360"/>
      <c r="X37" s="360"/>
      <c r="Y37" s="360"/>
      <c r="Z37" s="360"/>
      <c r="AA37" s="360"/>
      <c r="AB37" s="360"/>
      <c r="AC37" s="360"/>
      <c r="AD37" s="360"/>
      <c r="AE37" s="360"/>
      <c r="AF37" s="360"/>
      <c r="AG37" s="360"/>
      <c r="AH37" s="360"/>
      <c r="AI37" s="360"/>
      <c r="AJ37" s="360"/>
      <c r="AK37" s="360"/>
    </row>
    <row r="38" spans="1:37">
      <c r="A38" s="321"/>
      <c r="B38" s="339"/>
      <c r="C38" s="1058">
        <v>44035</v>
      </c>
      <c r="D38" s="1059">
        <v>68</v>
      </c>
      <c r="E38" s="1078" t="s">
        <v>587</v>
      </c>
      <c r="F38" s="1137" t="s">
        <v>9</v>
      </c>
      <c r="G38" s="1133">
        <v>40</v>
      </c>
      <c r="H38" s="1237"/>
      <c r="I38" s="1062" t="s">
        <v>49</v>
      </c>
      <c r="J38" s="1134" t="s">
        <v>80</v>
      </c>
      <c r="K38" s="804" t="s">
        <v>96</v>
      </c>
      <c r="L38" s="370"/>
      <c r="M38" s="369"/>
      <c r="N38" s="369"/>
      <c r="O38" s="346"/>
      <c r="P38" s="806"/>
      <c r="Q38" s="346"/>
      <c r="R38" s="346"/>
      <c r="S38" s="346"/>
      <c r="T38" s="346"/>
      <c r="U38" s="341"/>
      <c r="V38" s="321"/>
    </row>
    <row r="39" spans="1:37">
      <c r="A39" s="321"/>
      <c r="B39" s="339"/>
      <c r="C39" s="1058">
        <v>44036</v>
      </c>
      <c r="D39" s="1059"/>
      <c r="E39" s="1062" t="s">
        <v>588</v>
      </c>
      <c r="F39" s="1137" t="s">
        <v>8</v>
      </c>
      <c r="G39" s="1133">
        <f>IF( F39="Radio", VLOOKUP(H39,radio!$A$2:$B$33,2), IF(F39="PQR",VLOOKUP(H39,pqr!$A$2:$B$20,2),IF(F39="INTERNET",VLOOKUP(H39,internet!$A$2:$C$43,2),IF(F39="TV",VLOOKUP(H39,tv!$A$2:$B$10,2),""))) )</f>
        <v>64</v>
      </c>
      <c r="H39" s="1062" t="s">
        <v>396</v>
      </c>
      <c r="I39" s="1062" t="s">
        <v>51</v>
      </c>
      <c r="J39" s="1134" t="s">
        <v>80</v>
      </c>
      <c r="K39" s="804" t="s">
        <v>81</v>
      </c>
      <c r="L39" s="370"/>
      <c r="M39" s="369"/>
      <c r="N39" s="369"/>
      <c r="O39" s="346"/>
      <c r="P39" s="806"/>
      <c r="Q39" s="346"/>
      <c r="R39" s="346"/>
      <c r="S39" s="346"/>
      <c r="T39" s="346"/>
      <c r="U39" s="341"/>
      <c r="V39" s="321"/>
    </row>
    <row r="40" spans="1:37" ht="16.5" thickBot="1">
      <c r="A40" s="321"/>
      <c r="B40" s="339"/>
      <c r="C40" s="1058">
        <v>44036</v>
      </c>
      <c r="D40" s="1059"/>
      <c r="E40" s="1062" t="s">
        <v>588</v>
      </c>
      <c r="F40" s="1137" t="s">
        <v>9</v>
      </c>
      <c r="G40" s="1133">
        <v>64</v>
      </c>
      <c r="H40" s="1062" t="s">
        <v>560</v>
      </c>
      <c r="I40" s="1062" t="s">
        <v>51</v>
      </c>
      <c r="J40" s="1134" t="s">
        <v>80</v>
      </c>
      <c r="K40" s="804" t="s">
        <v>96</v>
      </c>
      <c r="L40" s="370"/>
      <c r="M40" s="369"/>
      <c r="N40" s="369"/>
      <c r="O40" s="346"/>
      <c r="P40" s="806"/>
      <c r="Q40" s="346"/>
      <c r="R40" s="346"/>
      <c r="S40" s="346"/>
      <c r="T40" s="346"/>
      <c r="U40" s="341"/>
      <c r="V40" s="321"/>
    </row>
    <row r="41" spans="1:37">
      <c r="A41" s="321"/>
      <c r="B41" s="339"/>
      <c r="C41" s="1058">
        <v>44036</v>
      </c>
      <c r="D41" s="1059"/>
      <c r="E41" s="1062" t="s">
        <v>588</v>
      </c>
      <c r="F41" s="1137" t="s">
        <v>8</v>
      </c>
      <c r="G41" s="1133">
        <f>IF( F41="Radio", VLOOKUP(H41,radio!$A$2:$B$33,2), IF(F41="PQR",VLOOKUP(H41,pqr!$A$2:$B$20,2),IF(F41="INTERNET",VLOOKUP(H41,internet!$A$2:$C$43,2),IF(F41="TV",VLOOKUP(H41,tv!$A$2:$B$10,2),""))) )</f>
        <v>64</v>
      </c>
      <c r="H41" s="1062" t="s">
        <v>556</v>
      </c>
      <c r="I41" s="1062" t="s">
        <v>51</v>
      </c>
      <c r="J41" s="1134" t="s">
        <v>80</v>
      </c>
      <c r="K41" s="804" t="s">
        <v>81</v>
      </c>
      <c r="L41" s="358"/>
      <c r="M41" s="1684" t="s">
        <v>64</v>
      </c>
      <c r="N41" s="489"/>
      <c r="O41" s="346"/>
      <c r="P41" s="806"/>
      <c r="Q41" s="346"/>
      <c r="R41" s="346"/>
      <c r="S41" s="346"/>
      <c r="T41" s="346"/>
      <c r="U41" s="341"/>
      <c r="V41" s="321"/>
    </row>
    <row r="42" spans="1:37">
      <c r="A42" s="321"/>
      <c r="B42" s="339"/>
      <c r="C42" s="1058">
        <v>44036</v>
      </c>
      <c r="D42" s="1059">
        <v>69</v>
      </c>
      <c r="E42" s="1062" t="s">
        <v>589</v>
      </c>
      <c r="F42" s="1137" t="s">
        <v>9</v>
      </c>
      <c r="G42" s="1304">
        <v>65</v>
      </c>
      <c r="H42" s="1237"/>
      <c r="I42" s="1062" t="s">
        <v>48</v>
      </c>
      <c r="J42" s="1134" t="s">
        <v>80</v>
      </c>
      <c r="K42" s="804"/>
      <c r="L42" s="358"/>
      <c r="M42" s="1685"/>
      <c r="N42" s="692"/>
      <c r="O42" s="346"/>
      <c r="P42" s="806"/>
      <c r="Q42" s="346"/>
      <c r="R42" s="346"/>
      <c r="S42" s="346"/>
      <c r="T42" s="346"/>
      <c r="U42" s="341"/>
      <c r="V42" s="321"/>
    </row>
    <row r="43" spans="1:37">
      <c r="A43" s="321"/>
      <c r="B43" s="339"/>
      <c r="C43" s="1058">
        <v>44037</v>
      </c>
      <c r="D43" s="1059">
        <v>69</v>
      </c>
      <c r="E43" s="1062" t="s">
        <v>590</v>
      </c>
      <c r="F43" s="1137" t="s">
        <v>8</v>
      </c>
      <c r="G43" s="1133">
        <f>IF( F43="Radio", VLOOKUP(H43,radio!$A$2:$B$33,2), IF(F43="PQR",VLOOKUP(H43,pqr!$A$2:$B$20,2),IF(F43="INTERNET",VLOOKUP(H43,internet!$A$2:$C$43,2),IF(F43="TV",VLOOKUP(H43,tv!$A$2:$B$10,2),""))) )</f>
        <v>65</v>
      </c>
      <c r="H43" s="1062" t="s">
        <v>91</v>
      </c>
      <c r="I43" s="1062" t="s">
        <v>48</v>
      </c>
      <c r="J43" s="1134" t="s">
        <v>80</v>
      </c>
      <c r="K43" s="804" t="s">
        <v>81</v>
      </c>
      <c r="L43" s="358"/>
      <c r="M43" s="490" t="s">
        <v>128</v>
      </c>
      <c r="N43" s="450">
        <f>SUM(N44:N46)</f>
        <v>47</v>
      </c>
      <c r="O43" s="346"/>
      <c r="P43" s="806"/>
      <c r="Q43" s="346"/>
      <c r="R43" s="346"/>
      <c r="S43" s="346"/>
      <c r="T43" s="346"/>
      <c r="U43" s="341"/>
      <c r="V43" s="321"/>
    </row>
    <row r="44" spans="1:37" s="362" customFormat="1" ht="18.75" customHeight="1">
      <c r="A44" s="360"/>
      <c r="B44" s="361"/>
      <c r="C44" s="1058">
        <v>44037</v>
      </c>
      <c r="D44" s="1059">
        <v>69</v>
      </c>
      <c r="E44" s="1062" t="s">
        <v>591</v>
      </c>
      <c r="F44" s="1137" t="s">
        <v>8</v>
      </c>
      <c r="G44" s="1304">
        <v>65</v>
      </c>
      <c r="H44" s="1237"/>
      <c r="I44" s="1062" t="s">
        <v>48</v>
      </c>
      <c r="J44" s="1134" t="s">
        <v>80</v>
      </c>
      <c r="K44" s="804" t="s">
        <v>81</v>
      </c>
      <c r="L44" s="370"/>
      <c r="M44" s="491" t="s">
        <v>129</v>
      </c>
      <c r="N44" s="450">
        <f>COUNTIF(G$1:G225,40)</f>
        <v>17</v>
      </c>
      <c r="O44" s="346"/>
      <c r="P44" s="806"/>
      <c r="Q44" s="346"/>
      <c r="R44" s="346"/>
      <c r="S44" s="346"/>
      <c r="T44" s="346"/>
      <c r="U44" s="372"/>
      <c r="V44" s="360"/>
      <c r="W44" s="360"/>
      <c r="X44" s="360"/>
      <c r="Y44" s="360"/>
      <c r="Z44" s="360"/>
      <c r="AA44" s="360"/>
      <c r="AB44" s="360"/>
      <c r="AC44" s="360"/>
      <c r="AD44" s="360"/>
      <c r="AE44" s="360"/>
      <c r="AF44" s="360"/>
      <c r="AG44" s="360"/>
      <c r="AH44" s="360"/>
      <c r="AI44" s="360"/>
      <c r="AJ44" s="360"/>
      <c r="AK44" s="360"/>
    </row>
    <row r="45" spans="1:37" s="362" customFormat="1">
      <c r="A45" s="360"/>
      <c r="B45" s="361"/>
      <c r="C45" s="1081">
        <v>44040</v>
      </c>
      <c r="D45" s="1059">
        <v>66</v>
      </c>
      <c r="E45" s="1072" t="s">
        <v>592</v>
      </c>
      <c r="F45" s="1137" t="s">
        <v>8</v>
      </c>
      <c r="G45" s="1133">
        <f>IF( F45="Radio", VLOOKUP(H45,radio!$A$2:$B$33,2), IF(F45="PQR",VLOOKUP(H45,pqr!$A$2:$B$20,2),IF(F45="INTERNET",VLOOKUP(H45,internet!$A$2:$C$43,2),IF(F45="TV",VLOOKUP(H45,tv!$A$2:$B$10,2),""))) )</f>
        <v>40</v>
      </c>
      <c r="H45" s="1062" t="s">
        <v>85</v>
      </c>
      <c r="I45" s="1062" t="s">
        <v>52</v>
      </c>
      <c r="J45" s="1134" t="s">
        <v>80</v>
      </c>
      <c r="K45" s="804" t="s">
        <v>81</v>
      </c>
      <c r="L45" s="370"/>
      <c r="M45" s="491" t="s">
        <v>132</v>
      </c>
      <c r="N45" s="450">
        <f>COUNTIF(G$1:G225,65)</f>
        <v>14</v>
      </c>
      <c r="O45" s="369"/>
      <c r="P45" s="806"/>
      <c r="Q45" s="369"/>
      <c r="R45" s="369"/>
      <c r="S45" s="369"/>
      <c r="T45" s="369"/>
      <c r="U45" s="372"/>
      <c r="V45" s="360"/>
      <c r="W45" s="360"/>
      <c r="X45" s="360"/>
      <c r="Y45" s="360"/>
      <c r="Z45" s="360"/>
      <c r="AA45" s="360"/>
      <c r="AB45" s="360"/>
      <c r="AC45" s="360"/>
      <c r="AD45" s="360"/>
      <c r="AE45" s="360"/>
      <c r="AF45" s="360"/>
      <c r="AG45" s="360"/>
      <c r="AH45" s="360"/>
      <c r="AI45" s="360"/>
      <c r="AJ45" s="360"/>
      <c r="AK45" s="360"/>
    </row>
    <row r="46" spans="1:37" s="362" customFormat="1" ht="16.5" thickBot="1">
      <c r="A46" s="360"/>
      <c r="B46" s="361"/>
      <c r="C46" s="1058">
        <v>44040</v>
      </c>
      <c r="D46" s="1059">
        <v>70</v>
      </c>
      <c r="E46" s="1071" t="s">
        <v>593</v>
      </c>
      <c r="F46" s="1137" t="s">
        <v>9</v>
      </c>
      <c r="G46" s="1133">
        <v>40</v>
      </c>
      <c r="H46" s="1062" t="s">
        <v>577</v>
      </c>
      <c r="I46" s="1062" t="s">
        <v>51</v>
      </c>
      <c r="J46" s="1134" t="s">
        <v>80</v>
      </c>
      <c r="K46" s="804" t="s">
        <v>96</v>
      </c>
      <c r="L46" s="370"/>
      <c r="M46" s="492" t="s">
        <v>134</v>
      </c>
      <c r="N46" s="456">
        <f>COUNTIF(G$1:G225,64)</f>
        <v>16</v>
      </c>
      <c r="O46" s="346"/>
      <c r="P46" s="806"/>
      <c r="Q46" s="346"/>
      <c r="R46" s="346"/>
      <c r="S46" s="346"/>
      <c r="T46" s="346"/>
      <c r="U46" s="372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  <c r="AF46" s="360"/>
      <c r="AG46" s="360"/>
      <c r="AH46" s="360"/>
      <c r="AI46" s="360"/>
      <c r="AJ46" s="360"/>
      <c r="AK46" s="360"/>
    </row>
    <row r="47" spans="1:37" s="362" customFormat="1">
      <c r="A47" s="360"/>
      <c r="B47" s="361"/>
      <c r="C47" s="1058">
        <v>44041</v>
      </c>
      <c r="D47" s="1059">
        <v>70</v>
      </c>
      <c r="E47" s="1071" t="s">
        <v>594</v>
      </c>
      <c r="F47" s="1137" t="s">
        <v>10</v>
      </c>
      <c r="G47" s="1133">
        <f>IF( F47="Radio", VLOOKUP(H47,radio!$A$2:$B$33,2), IF(F47="PQR",VLOOKUP(H47,pqr!$A$2:$B$20,2),IF(F47="INTERNET",VLOOKUP(H47,internet!$A$2:$C$43,2),IF(F47="TV",VLOOKUP(H47,tv!$A$2:$B$10,2),""))) )</f>
        <v>40</v>
      </c>
      <c r="H47" s="1062" t="s">
        <v>275</v>
      </c>
      <c r="I47" s="1062" t="s">
        <v>51</v>
      </c>
      <c r="J47" s="1134" t="s">
        <v>80</v>
      </c>
      <c r="K47" s="839" t="s">
        <v>96</v>
      </c>
      <c r="L47" s="370"/>
      <c r="M47" s="699"/>
      <c r="N47" s="700"/>
      <c r="O47" s="346"/>
      <c r="P47" s="806"/>
      <c r="Q47" s="346"/>
      <c r="R47" s="346"/>
      <c r="S47" s="346"/>
      <c r="T47" s="346"/>
      <c r="U47" s="372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360"/>
      <c r="AJ47" s="360"/>
      <c r="AK47" s="360"/>
    </row>
    <row r="48" spans="1:37">
      <c r="A48" s="321"/>
      <c r="B48" s="339"/>
      <c r="C48" s="1058">
        <v>44041</v>
      </c>
      <c r="D48" s="1059">
        <v>70</v>
      </c>
      <c r="E48" s="1062" t="s">
        <v>595</v>
      </c>
      <c r="F48" s="1137" t="s">
        <v>8</v>
      </c>
      <c r="G48" s="1133">
        <f>IF( F48="Radio", VLOOKUP(H48,radio!$A$2:$B$33,2), IF(F48="PQR",VLOOKUP(H48,pqr!$A$2:$B$20,2),IF(F48="INTERNET",VLOOKUP(H48,internet!$A$2:$C$43,2),IF(F48="TV",VLOOKUP(H48,tv!$A$2:$B$10,2),""))) )</f>
        <v>40</v>
      </c>
      <c r="H48" s="1062" t="s">
        <v>85</v>
      </c>
      <c r="I48" s="1062" t="s">
        <v>51</v>
      </c>
      <c r="J48" s="1134" t="s">
        <v>80</v>
      </c>
      <c r="K48" s="804" t="s">
        <v>81</v>
      </c>
      <c r="L48" s="370"/>
      <c r="M48" s="699"/>
      <c r="N48" s="700"/>
      <c r="O48" s="346"/>
      <c r="P48" s="806"/>
      <c r="Q48" s="346"/>
      <c r="R48" s="346"/>
      <c r="S48" s="346"/>
      <c r="T48" s="346"/>
      <c r="U48" s="341"/>
      <c r="V48" s="321"/>
    </row>
    <row r="49" spans="1:37" s="362" customFormat="1">
      <c r="A49" s="360"/>
      <c r="B49" s="361"/>
      <c r="C49" s="1058">
        <v>44041</v>
      </c>
      <c r="D49" s="1059">
        <v>70</v>
      </c>
      <c r="E49" s="1062" t="s">
        <v>596</v>
      </c>
      <c r="F49" s="1137" t="s">
        <v>8</v>
      </c>
      <c r="G49" s="1133">
        <f>IF( F49="Radio", VLOOKUP(H49,radio!$A$2:$B$33,2), IF(F49="PQR",VLOOKUP(H49,pqr!$A$2:$B$20,2),IF(F49="INTERNET",VLOOKUP(H49,internet!$A$2:$C$43,2),IF(F49="TV",VLOOKUP(H49,tv!$A$2:$B$10,2),""))) )</f>
        <v>40</v>
      </c>
      <c r="H49" s="1062" t="s">
        <v>85</v>
      </c>
      <c r="I49" s="1062" t="s">
        <v>51</v>
      </c>
      <c r="J49" s="1134" t="s">
        <v>80</v>
      </c>
      <c r="K49" s="804" t="s">
        <v>81</v>
      </c>
      <c r="L49" s="370"/>
      <c r="M49" s="699"/>
      <c r="N49" s="700"/>
      <c r="O49" s="346"/>
      <c r="P49" s="806"/>
      <c r="Q49" s="346"/>
      <c r="R49" s="346"/>
      <c r="S49" s="346"/>
      <c r="T49" s="346"/>
      <c r="U49" s="372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/>
      <c r="AG49" s="360"/>
      <c r="AH49" s="360"/>
      <c r="AI49" s="360"/>
      <c r="AJ49" s="360"/>
      <c r="AK49" s="360"/>
    </row>
    <row r="50" spans="1:37" s="362" customFormat="1">
      <c r="A50" s="360"/>
      <c r="B50" s="361"/>
      <c r="C50" s="1058">
        <v>44043</v>
      </c>
      <c r="D50" s="1059">
        <v>70</v>
      </c>
      <c r="E50" s="1078" t="s">
        <v>597</v>
      </c>
      <c r="F50" s="1137" t="s">
        <v>10</v>
      </c>
      <c r="G50" s="1133">
        <f>IF( F50="Radio", VLOOKUP(H50,radio!$A$2:$B$33,2), IF(F50="PQR",VLOOKUP(H50,pqr!$A$2:$B$20,2),IF(F50="INTERNET",VLOOKUP(H50,internet!$A$2:$C$43,2),IF(F50="TV",VLOOKUP(H50,tv!$A$2:$B$10,2),""))) )</f>
        <v>40</v>
      </c>
      <c r="H50" s="1062" t="s">
        <v>275</v>
      </c>
      <c r="I50" s="1062" t="s">
        <v>51</v>
      </c>
      <c r="J50" s="1134" t="s">
        <v>80</v>
      </c>
      <c r="K50" s="839" t="s">
        <v>96</v>
      </c>
      <c r="L50" s="370"/>
      <c r="M50" s="699"/>
      <c r="N50" s="700"/>
      <c r="O50" s="346"/>
      <c r="P50" s="806"/>
      <c r="Q50" s="346"/>
      <c r="R50" s="346"/>
      <c r="S50" s="346"/>
      <c r="T50" s="346"/>
      <c r="U50" s="372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  <c r="AF50" s="360"/>
      <c r="AG50" s="360"/>
      <c r="AH50" s="360"/>
      <c r="AI50" s="360"/>
      <c r="AJ50" s="360"/>
      <c r="AK50" s="360"/>
    </row>
    <row r="51" spans="1:37" s="362" customFormat="1">
      <c r="A51" s="360"/>
      <c r="B51" s="361"/>
      <c r="C51" s="1058">
        <v>44043</v>
      </c>
      <c r="D51" s="1059">
        <v>70</v>
      </c>
      <c r="E51" s="1078" t="s">
        <v>598</v>
      </c>
      <c r="F51" s="1137" t="s">
        <v>10</v>
      </c>
      <c r="G51" s="1133">
        <f>IF( F51="Radio", VLOOKUP(H51,radio!$A$2:$B$33,2), IF(F51="PQR",VLOOKUP(H51,pqr!$A$2:$B$20,2),IF(F51="INTERNET",VLOOKUP(H51,internet!$A$2:$C$43,2),IF(F51="TV",VLOOKUP(H51,tv!$A$2:$B$10,2),""))) )</f>
        <v>40</v>
      </c>
      <c r="H51" s="1062" t="s">
        <v>275</v>
      </c>
      <c r="I51" s="1062" t="s">
        <v>51</v>
      </c>
      <c r="J51" s="1134" t="s">
        <v>80</v>
      </c>
      <c r="K51" s="839" t="s">
        <v>96</v>
      </c>
      <c r="L51" s="370"/>
      <c r="M51" s="373"/>
      <c r="N51" s="369"/>
      <c r="O51" s="369"/>
      <c r="P51" s="806"/>
      <c r="Q51" s="369"/>
      <c r="R51" s="369"/>
      <c r="S51" s="369"/>
      <c r="T51" s="369"/>
      <c r="U51" s="372"/>
      <c r="V51" s="360"/>
      <c r="W51" s="360"/>
      <c r="X51" s="360"/>
      <c r="Y51" s="360"/>
      <c r="Z51" s="360"/>
      <c r="AA51" s="360"/>
      <c r="AB51" s="360"/>
      <c r="AC51" s="360"/>
      <c r="AD51" s="360"/>
      <c r="AE51" s="360"/>
      <c r="AF51" s="360"/>
      <c r="AG51" s="360"/>
      <c r="AH51" s="360"/>
      <c r="AI51" s="360"/>
      <c r="AJ51" s="360"/>
      <c r="AK51" s="360"/>
    </row>
    <row r="52" spans="1:37" s="362" customFormat="1">
      <c r="A52" s="360"/>
      <c r="B52" s="361"/>
      <c r="C52" s="1058">
        <v>44043</v>
      </c>
      <c r="D52" s="1059">
        <v>70</v>
      </c>
      <c r="E52" s="1078" t="s">
        <v>599</v>
      </c>
      <c r="F52" s="1137" t="s">
        <v>10</v>
      </c>
      <c r="G52" s="1133">
        <f>IF( F52="Radio", VLOOKUP(H52,radio!$A$2:$B$33,2), IF(F52="PQR",VLOOKUP(H52,pqr!$A$2:$B$20,2),IF(F52="INTERNET",VLOOKUP(H52,internet!$A$2:$C$43,2),IF(F52="TV",VLOOKUP(H52,tv!$A$2:$B$10,2),""))) )</f>
        <v>40</v>
      </c>
      <c r="H52" s="1062" t="s">
        <v>275</v>
      </c>
      <c r="I52" s="1062" t="s">
        <v>51</v>
      </c>
      <c r="J52" s="1134" t="s">
        <v>80</v>
      </c>
      <c r="K52" s="839" t="s">
        <v>96</v>
      </c>
      <c r="L52" s="370"/>
      <c r="M52" s="373"/>
      <c r="N52" s="346"/>
      <c r="O52" s="346"/>
      <c r="P52" s="806"/>
      <c r="Q52" s="346"/>
      <c r="R52" s="346"/>
      <c r="S52" s="346"/>
      <c r="T52" s="346"/>
      <c r="U52" s="372"/>
      <c r="V52" s="360"/>
      <c r="W52" s="360"/>
      <c r="X52" s="360"/>
      <c r="Y52" s="360"/>
      <c r="Z52" s="360"/>
      <c r="AA52" s="360"/>
      <c r="AB52" s="360"/>
      <c r="AC52" s="360"/>
      <c r="AD52" s="360"/>
      <c r="AE52" s="360"/>
      <c r="AF52" s="360"/>
      <c r="AG52" s="360"/>
      <c r="AH52" s="360"/>
      <c r="AI52" s="360"/>
      <c r="AJ52" s="360"/>
      <c r="AK52" s="360"/>
    </row>
    <row r="53" spans="1:37" s="362" customFormat="1">
      <c r="A53" s="360"/>
      <c r="B53" s="361"/>
      <c r="C53" s="1058">
        <v>44043</v>
      </c>
      <c r="D53" s="1059">
        <v>70</v>
      </c>
      <c r="E53" s="1062" t="s">
        <v>600</v>
      </c>
      <c r="F53" s="1137" t="s">
        <v>9</v>
      </c>
      <c r="G53" s="1133">
        <v>40</v>
      </c>
      <c r="H53" s="1062" t="s">
        <v>601</v>
      </c>
      <c r="I53" s="1062" t="s">
        <v>51</v>
      </c>
      <c r="J53" s="1134" t="s">
        <v>80</v>
      </c>
      <c r="K53" s="804" t="s">
        <v>81</v>
      </c>
      <c r="L53" s="370"/>
      <c r="M53" s="373"/>
      <c r="N53" s="346"/>
      <c r="O53" s="346"/>
      <c r="P53" s="806"/>
      <c r="Q53" s="346"/>
      <c r="R53" s="346"/>
      <c r="S53" s="346"/>
      <c r="T53" s="346"/>
      <c r="U53" s="372"/>
      <c r="V53" s="360"/>
      <c r="W53" s="360"/>
      <c r="X53" s="360"/>
      <c r="Y53" s="360"/>
      <c r="Z53" s="360"/>
      <c r="AA53" s="360"/>
      <c r="AB53" s="360"/>
      <c r="AC53" s="360"/>
      <c r="AD53" s="360"/>
      <c r="AE53" s="360"/>
      <c r="AF53" s="360"/>
      <c r="AG53" s="360"/>
      <c r="AH53" s="360"/>
      <c r="AI53" s="360"/>
      <c r="AJ53" s="360"/>
      <c r="AK53" s="360"/>
    </row>
    <row r="54" spans="1:37">
      <c r="A54" s="321"/>
      <c r="B54" s="339"/>
      <c r="C54" s="1058">
        <v>44043</v>
      </c>
      <c r="D54" s="1059">
        <v>70</v>
      </c>
      <c r="E54" s="1062" t="s">
        <v>602</v>
      </c>
      <c r="F54" s="1137" t="s">
        <v>9</v>
      </c>
      <c r="G54" s="1133">
        <v>40</v>
      </c>
      <c r="H54" s="1062" t="s">
        <v>577</v>
      </c>
      <c r="I54" s="1062" t="s">
        <v>51</v>
      </c>
      <c r="J54" s="1134" t="s">
        <v>80</v>
      </c>
      <c r="K54" s="804" t="s">
        <v>81</v>
      </c>
      <c r="L54" s="358"/>
      <c r="M54" s="373"/>
      <c r="N54" s="346"/>
      <c r="O54" s="346"/>
      <c r="P54" s="806"/>
      <c r="Q54" s="346"/>
      <c r="R54" s="346"/>
      <c r="S54" s="346"/>
      <c r="T54" s="346"/>
      <c r="U54" s="341"/>
      <c r="V54" s="321"/>
    </row>
    <row r="55" spans="1:37" s="362" customFormat="1">
      <c r="A55" s="360"/>
      <c r="B55" s="361"/>
      <c r="C55" s="1058">
        <v>44043</v>
      </c>
      <c r="D55" s="1059">
        <v>71</v>
      </c>
      <c r="E55" s="1062" t="s">
        <v>603</v>
      </c>
      <c r="F55" s="1137" t="s">
        <v>9</v>
      </c>
      <c r="G55" s="1133">
        <v>64</v>
      </c>
      <c r="H55" s="1062" t="s">
        <v>560</v>
      </c>
      <c r="I55" s="1062" t="s">
        <v>51</v>
      </c>
      <c r="J55" s="1134" t="s">
        <v>80</v>
      </c>
      <c r="K55" s="804" t="s">
        <v>81</v>
      </c>
      <c r="L55" s="358"/>
      <c r="M55" s="373"/>
      <c r="N55" s="346"/>
      <c r="O55" s="346"/>
      <c r="P55" s="806"/>
      <c r="Q55" s="346"/>
      <c r="R55" s="346"/>
      <c r="S55" s="346"/>
      <c r="T55" s="346"/>
      <c r="U55" s="372"/>
      <c r="V55" s="360"/>
      <c r="W55" s="360"/>
      <c r="X55" s="360"/>
      <c r="Y55" s="360"/>
      <c r="Z55" s="360"/>
      <c r="AA55" s="360"/>
      <c r="AB55" s="360"/>
      <c r="AC55" s="360"/>
      <c r="AD55" s="360"/>
      <c r="AE55" s="360"/>
      <c r="AF55" s="360"/>
      <c r="AG55" s="360"/>
      <c r="AH55" s="360"/>
      <c r="AI55" s="360"/>
      <c r="AJ55" s="360"/>
      <c r="AK55" s="360"/>
    </row>
    <row r="56" spans="1:37" s="362" customFormat="1">
      <c r="A56" s="360"/>
      <c r="B56" s="361"/>
      <c r="C56" s="1058">
        <v>44043</v>
      </c>
      <c r="D56" s="1059">
        <v>71</v>
      </c>
      <c r="E56" s="1062" t="s">
        <v>604</v>
      </c>
      <c r="F56" s="1137" t="s">
        <v>9</v>
      </c>
      <c r="G56" s="1133">
        <v>64</v>
      </c>
      <c r="H56" s="1062" t="s">
        <v>605</v>
      </c>
      <c r="I56" s="1062" t="s">
        <v>51</v>
      </c>
      <c r="J56" s="1134" t="s">
        <v>80</v>
      </c>
      <c r="K56" s="804" t="s">
        <v>81</v>
      </c>
      <c r="L56" s="358"/>
      <c r="M56" s="373"/>
      <c r="N56" s="346"/>
      <c r="O56" s="346"/>
      <c r="P56" s="806"/>
      <c r="Q56" s="346"/>
      <c r="R56" s="346"/>
      <c r="S56" s="346"/>
      <c r="T56" s="346"/>
      <c r="U56" s="372"/>
      <c r="V56" s="360"/>
      <c r="W56" s="360"/>
      <c r="X56" s="360"/>
      <c r="Y56" s="360"/>
      <c r="Z56" s="360"/>
      <c r="AA56" s="360"/>
      <c r="AB56" s="360"/>
      <c r="AC56" s="360"/>
      <c r="AD56" s="360"/>
      <c r="AE56" s="360"/>
      <c r="AF56" s="360"/>
      <c r="AG56" s="360"/>
      <c r="AH56" s="360"/>
      <c r="AI56" s="360"/>
      <c r="AJ56" s="360"/>
      <c r="AK56" s="360"/>
    </row>
    <row r="57" spans="1:37" s="362" customFormat="1" ht="16.5" thickBot="1">
      <c r="A57" s="360"/>
      <c r="B57" s="361"/>
      <c r="C57" s="1305">
        <v>44043</v>
      </c>
      <c r="D57" s="1089">
        <v>71</v>
      </c>
      <c r="E57" s="1093" t="s">
        <v>606</v>
      </c>
      <c r="F57" s="1240" t="s">
        <v>9</v>
      </c>
      <c r="G57" s="1241">
        <v>64</v>
      </c>
      <c r="H57" s="1093" t="s">
        <v>607</v>
      </c>
      <c r="I57" s="1093" t="s">
        <v>51</v>
      </c>
      <c r="J57" s="1219" t="s">
        <v>80</v>
      </c>
      <c r="K57" s="805" t="s">
        <v>81</v>
      </c>
      <c r="L57" s="358"/>
      <c r="M57" s="373"/>
      <c r="N57" s="374"/>
      <c r="O57" s="346"/>
      <c r="P57" s="806"/>
      <c r="Q57" s="346"/>
      <c r="R57" s="346"/>
      <c r="S57" s="346"/>
      <c r="T57" s="346"/>
      <c r="U57" s="372"/>
      <c r="V57" s="360"/>
      <c r="W57" s="360"/>
      <c r="X57" s="360"/>
      <c r="Y57" s="360"/>
      <c r="Z57" s="360"/>
      <c r="AA57" s="360"/>
      <c r="AB57" s="360"/>
      <c r="AC57" s="360"/>
      <c r="AD57" s="360"/>
      <c r="AE57" s="360"/>
      <c r="AF57" s="360"/>
      <c r="AG57" s="360"/>
      <c r="AH57" s="360"/>
      <c r="AI57" s="360"/>
      <c r="AJ57" s="360"/>
      <c r="AK57" s="360"/>
    </row>
    <row r="58" spans="1:37" s="362" customFormat="1" ht="16.5" customHeight="1" thickBot="1">
      <c r="A58" s="360"/>
      <c r="B58" s="361"/>
      <c r="C58" s="1305"/>
      <c r="D58" s="1089"/>
      <c r="E58" s="1093"/>
      <c r="F58" s="1240"/>
      <c r="G58" s="1241"/>
      <c r="H58" s="1093"/>
      <c r="I58" s="1093"/>
      <c r="J58" s="1219"/>
      <c r="K58" s="805"/>
      <c r="L58" s="358"/>
      <c r="M58" s="373"/>
      <c r="N58" s="374"/>
      <c r="O58" s="346"/>
      <c r="P58" s="806"/>
      <c r="Q58" s="346"/>
      <c r="R58" s="346"/>
      <c r="S58" s="346"/>
      <c r="T58" s="346"/>
      <c r="U58" s="372"/>
      <c r="V58" s="360"/>
      <c r="W58" s="360"/>
      <c r="X58" s="360"/>
      <c r="Y58" s="360"/>
      <c r="Z58" s="360"/>
      <c r="AA58" s="360"/>
      <c r="AB58" s="360"/>
      <c r="AC58" s="360"/>
      <c r="AD58" s="360"/>
      <c r="AE58" s="360"/>
      <c r="AF58" s="360"/>
      <c r="AG58" s="360"/>
      <c r="AH58" s="360"/>
      <c r="AI58" s="360"/>
      <c r="AJ58" s="360"/>
      <c r="AK58" s="360"/>
    </row>
    <row r="59" spans="1:37" s="362" customFormat="1" ht="16.5" customHeight="1" thickBot="1">
      <c r="A59" s="360"/>
      <c r="B59" s="361"/>
      <c r="C59" s="1305"/>
      <c r="D59" s="1089"/>
      <c r="E59" s="1093"/>
      <c r="F59" s="1240"/>
      <c r="G59" s="1241"/>
      <c r="H59" s="1093"/>
      <c r="I59" s="1093"/>
      <c r="J59" s="1219"/>
      <c r="K59" s="805"/>
      <c r="L59" s="358"/>
      <c r="M59" s="373"/>
      <c r="N59" s="374"/>
      <c r="O59" s="346"/>
      <c r="P59" s="806"/>
      <c r="Q59" s="346"/>
      <c r="R59" s="346"/>
      <c r="S59" s="346"/>
      <c r="T59" s="346"/>
      <c r="U59" s="372"/>
      <c r="V59" s="360"/>
      <c r="W59" s="360"/>
      <c r="X59" s="360"/>
      <c r="Y59" s="360"/>
      <c r="Z59" s="360"/>
      <c r="AA59" s="360"/>
      <c r="AB59" s="360"/>
      <c r="AC59" s="360"/>
      <c r="AD59" s="360"/>
      <c r="AE59" s="360"/>
      <c r="AF59" s="360"/>
      <c r="AG59" s="360"/>
      <c r="AH59" s="360"/>
      <c r="AI59" s="360"/>
      <c r="AJ59" s="360"/>
      <c r="AK59" s="360"/>
    </row>
    <row r="60" spans="1:37" s="362" customFormat="1" ht="16.5" thickBot="1">
      <c r="A60" s="360"/>
      <c r="B60" s="361"/>
      <c r="C60" s="1305"/>
      <c r="D60" s="1089"/>
      <c r="E60" s="1093"/>
      <c r="F60" s="1240"/>
      <c r="G60" s="1241"/>
      <c r="H60" s="1093"/>
      <c r="I60" s="1093"/>
      <c r="J60" s="1219"/>
      <c r="K60" s="805"/>
      <c r="L60" s="358"/>
      <c r="M60" s="373"/>
      <c r="N60" s="374"/>
      <c r="O60" s="346"/>
      <c r="P60" s="806"/>
      <c r="Q60" s="346"/>
      <c r="R60" s="346"/>
      <c r="S60" s="346"/>
      <c r="T60" s="346"/>
      <c r="U60" s="372"/>
      <c r="V60" s="360"/>
      <c r="W60" s="360"/>
      <c r="X60" s="360"/>
      <c r="Y60" s="360"/>
      <c r="Z60" s="360"/>
      <c r="AA60" s="360"/>
      <c r="AB60" s="360"/>
      <c r="AC60" s="360"/>
      <c r="AD60" s="360"/>
      <c r="AE60" s="360"/>
      <c r="AF60" s="360"/>
      <c r="AG60" s="360"/>
      <c r="AH60" s="360"/>
      <c r="AI60" s="360"/>
      <c r="AJ60" s="360"/>
      <c r="AK60" s="360"/>
    </row>
    <row r="61" spans="1:37" s="362" customFormat="1" ht="16.5" thickBot="1">
      <c r="A61" s="360"/>
      <c r="B61" s="361"/>
      <c r="C61" s="1305"/>
      <c r="D61" s="1089"/>
      <c r="E61" s="1093"/>
      <c r="F61" s="1240"/>
      <c r="G61" s="1241"/>
      <c r="H61" s="1093"/>
      <c r="I61" s="1093"/>
      <c r="J61" s="1219"/>
      <c r="K61" s="805"/>
      <c r="L61" s="370"/>
      <c r="M61" s="373"/>
      <c r="N61" s="369"/>
      <c r="O61" s="369"/>
      <c r="P61" s="806"/>
      <c r="Q61" s="369"/>
      <c r="R61" s="369"/>
      <c r="S61" s="369"/>
      <c r="T61" s="369"/>
      <c r="U61" s="372"/>
      <c r="V61" s="360"/>
      <c r="W61" s="360"/>
      <c r="X61" s="360"/>
      <c r="Y61" s="360"/>
      <c r="Z61" s="360"/>
      <c r="AA61" s="360"/>
      <c r="AB61" s="360"/>
      <c r="AC61" s="360"/>
      <c r="AD61" s="360"/>
      <c r="AE61" s="360"/>
      <c r="AF61" s="360"/>
      <c r="AG61" s="360"/>
      <c r="AH61" s="360"/>
      <c r="AI61" s="360"/>
      <c r="AJ61" s="360"/>
      <c r="AK61" s="360"/>
    </row>
    <row r="62" spans="1:37" s="362" customFormat="1">
      <c r="A62" s="360"/>
      <c r="B62" s="361"/>
      <c r="C62" s="377"/>
      <c r="D62" s="706"/>
      <c r="E62" s="380"/>
      <c r="F62" s="379"/>
      <c r="G62" s="544" t="str">
        <f>IF( F62="Radio", VLOOKUP(H62,radio!$A$2:$B$33,2), IF(F62="PQR",VLOOKUP(H62,pqr!$A$2:$B$20,2),IF(F62="INTERNET",VLOOKUP(H62,internet!$A$2:$C$43,2),IF(F62="TV",VLOOKUP(H62,tv!$A$2:$B$10,2),""))) )</f>
        <v/>
      </c>
      <c r="H62" s="358"/>
      <c r="I62" s="346"/>
      <c r="J62" s="1095"/>
      <c r="K62" s="496"/>
      <c r="L62" s="370"/>
      <c r="M62" s="373"/>
      <c r="N62" s="369"/>
      <c r="O62" s="369"/>
      <c r="P62" s="369"/>
      <c r="Q62" s="369"/>
      <c r="R62" s="369"/>
      <c r="S62" s="369"/>
      <c r="T62" s="369"/>
      <c r="U62" s="372"/>
      <c r="V62" s="360"/>
      <c r="W62" s="360"/>
      <c r="X62" s="360"/>
      <c r="Y62" s="360"/>
      <c r="Z62" s="360"/>
      <c r="AA62" s="360"/>
      <c r="AB62" s="360"/>
      <c r="AC62" s="360"/>
      <c r="AD62" s="360"/>
      <c r="AE62" s="360"/>
      <c r="AF62" s="360"/>
      <c r="AG62" s="360"/>
      <c r="AH62" s="360"/>
      <c r="AI62" s="360"/>
      <c r="AJ62" s="360"/>
      <c r="AK62" s="360"/>
    </row>
    <row r="63" spans="1:37" s="362" customFormat="1">
      <c r="A63" s="360"/>
      <c r="B63" s="361"/>
      <c r="C63" s="377"/>
      <c r="D63" s="706"/>
      <c r="E63" s="380"/>
      <c r="F63" s="379"/>
      <c r="G63" s="544" t="str">
        <f>IF( F63="Radio", VLOOKUP(H63,radio!$A$2:$B$33,2), IF(F63="PQR",VLOOKUP(H63,pqr!$A$2:$B$20,2),IF(F63="INTERNET",VLOOKUP(H63,internet!$A$2:$C$43,2),IF(F63="TV",VLOOKUP(H63,tv!$A$2:$B$10,2),""))) )</f>
        <v/>
      </c>
      <c r="H63" s="358"/>
      <c r="I63" s="346"/>
      <c r="J63" s="1095"/>
      <c r="K63" s="496"/>
      <c r="L63" s="370"/>
      <c r="M63" s="373"/>
      <c r="N63" s="369"/>
      <c r="O63" s="369"/>
      <c r="P63" s="369"/>
      <c r="Q63" s="369"/>
      <c r="R63" s="369"/>
      <c r="S63" s="369"/>
      <c r="T63" s="369"/>
      <c r="U63" s="372"/>
      <c r="V63" s="360"/>
      <c r="W63" s="360"/>
      <c r="X63" s="360"/>
      <c r="Y63" s="360"/>
      <c r="Z63" s="360"/>
      <c r="AA63" s="360"/>
      <c r="AB63" s="360"/>
      <c r="AC63" s="360"/>
      <c r="AD63" s="360"/>
      <c r="AE63" s="360"/>
      <c r="AF63" s="360"/>
      <c r="AG63" s="360"/>
      <c r="AH63" s="360"/>
      <c r="AI63" s="360"/>
      <c r="AJ63" s="360"/>
      <c r="AK63" s="360"/>
    </row>
    <row r="64" spans="1:37">
      <c r="A64" s="321"/>
      <c r="B64" s="339"/>
      <c r="C64" s="707"/>
      <c r="D64" s="706"/>
      <c r="E64" s="359"/>
      <c r="F64" s="379"/>
      <c r="G64" s="544" t="str">
        <f>IF( F64="Radio", VLOOKUP(H64,radio!$A$2:$B$33,2), IF(F64="PQR",VLOOKUP(H64,pqr!$A$2:$B$20,2),IF(F64="INTERNET",VLOOKUP(H64,internet!$A$2:$C$43,2),IF(F64="TV",VLOOKUP(H64,tv!$A$2:$B$10,2),""))) )</f>
        <v/>
      </c>
      <c r="H64" s="358"/>
      <c r="I64" s="346"/>
      <c r="J64" s="1095"/>
      <c r="K64" s="496"/>
      <c r="L64" s="370"/>
      <c r="M64" s="373"/>
      <c r="N64" s="369"/>
      <c r="O64" s="369"/>
      <c r="P64" s="369"/>
      <c r="Q64" s="369"/>
      <c r="R64" s="369"/>
      <c r="S64" s="369"/>
      <c r="T64" s="369"/>
      <c r="U64" s="341"/>
      <c r="V64" s="321"/>
    </row>
    <row r="65" spans="1:37">
      <c r="A65" s="321"/>
      <c r="B65" s="339"/>
      <c r="C65" s="707"/>
      <c r="D65" s="706"/>
      <c r="E65" s="359"/>
      <c r="F65" s="379"/>
      <c r="G65" s="544" t="str">
        <f>IF( F65="Radio", VLOOKUP(H65,radio!$A$2:$B$33,2), IF(F65="PQR",VLOOKUP(H65,pqr!$A$2:$B$20,2),IF(F65="INTERNET",VLOOKUP(H65,internet!$A$2:$C$43,2),IF(F65="TV",VLOOKUP(H65,tv!$A$2:$B$10,2),""))) )</f>
        <v/>
      </c>
      <c r="H65" s="358"/>
      <c r="I65" s="346"/>
      <c r="J65" s="1095"/>
      <c r="K65" s="496"/>
      <c r="L65" s="370"/>
      <c r="M65" s="373"/>
      <c r="N65" s="346"/>
      <c r="O65" s="346"/>
      <c r="P65" s="346"/>
      <c r="Q65" s="346"/>
      <c r="R65" s="346"/>
      <c r="S65" s="346"/>
      <c r="T65" s="346"/>
      <c r="U65" s="341"/>
      <c r="V65" s="321"/>
    </row>
    <row r="66" spans="1:37">
      <c r="A66" s="321"/>
      <c r="B66" s="339"/>
      <c r="C66" s="377"/>
      <c r="D66" s="706"/>
      <c r="E66" s="359"/>
      <c r="F66" s="379"/>
      <c r="G66" s="544" t="str">
        <f>IF( F66="Radio", VLOOKUP(H66,radio!$A$2:$B$33,2), IF(F66="PQR",VLOOKUP(H66,pqr!$A$2:$B$20,2),IF(F66="INTERNET",VLOOKUP(H66,internet!$A$2:$C$43,2),IF(F66="TV",VLOOKUP(H66,tv!$A$2:$B$10,2),""))) )</f>
        <v/>
      </c>
      <c r="H66" s="358"/>
      <c r="I66" s="346"/>
      <c r="J66" s="1095"/>
      <c r="K66" s="496"/>
      <c r="L66" s="370"/>
      <c r="M66" s="373"/>
      <c r="N66" s="346"/>
      <c r="O66" s="346"/>
      <c r="P66" s="346"/>
      <c r="Q66" s="346"/>
      <c r="R66" s="346"/>
      <c r="S66" s="346"/>
      <c r="T66" s="346"/>
      <c r="U66" s="341"/>
      <c r="V66" s="321"/>
    </row>
    <row r="67" spans="1:37">
      <c r="A67" s="321"/>
      <c r="B67" s="339"/>
      <c r="C67" s="377"/>
      <c r="D67" s="706"/>
      <c r="E67" s="359"/>
      <c r="F67" s="379"/>
      <c r="G67" s="544" t="str">
        <f>IF( F67="Radio", VLOOKUP(H67,radio!$A$2:$B$33,2), IF(F67="PQR",VLOOKUP(H67,pqr!$A$2:$B$20,2),IF(F67="INTERNET",VLOOKUP(H67,internet!$A$2:$C$43,2),IF(F67="TV",VLOOKUP(H67,tv!$A$2:$B$10,2),""))) )</f>
        <v/>
      </c>
      <c r="H67" s="358"/>
      <c r="I67" s="346"/>
      <c r="J67" s="1095"/>
      <c r="K67" s="496"/>
      <c r="L67" s="370"/>
      <c r="M67" s="373"/>
      <c r="N67" s="346"/>
      <c r="O67" s="346"/>
      <c r="P67" s="346"/>
      <c r="Q67" s="346"/>
      <c r="R67" s="346"/>
      <c r="S67" s="346"/>
      <c r="T67" s="346"/>
      <c r="U67" s="341"/>
      <c r="V67" s="321"/>
    </row>
    <row r="68" spans="1:37" s="362" customFormat="1">
      <c r="A68" s="360"/>
      <c r="B68" s="361"/>
      <c r="C68" s="377"/>
      <c r="D68" s="706"/>
      <c r="E68" s="359"/>
      <c r="F68" s="379"/>
      <c r="G68" s="544" t="str">
        <f>IF( F68="Radio", VLOOKUP(H68,radio!$A$2:$B$33,2), IF(F68="PQR",VLOOKUP(H68,pqr!$A$2:$B$20,2),IF(F68="INTERNET",VLOOKUP(H68,internet!$A$2:$C$43,2),IF(F68="TV",VLOOKUP(H68,tv!$A$2:$B$10,2),""))) )</f>
        <v/>
      </c>
      <c r="H68" s="358"/>
      <c r="I68" s="346"/>
      <c r="J68" s="1095"/>
      <c r="K68" s="496"/>
      <c r="L68" s="358"/>
      <c r="M68" s="373"/>
      <c r="N68" s="346"/>
      <c r="O68" s="346"/>
      <c r="P68" s="346"/>
      <c r="Q68" s="346"/>
      <c r="R68" s="346"/>
      <c r="S68" s="346"/>
      <c r="T68" s="346"/>
      <c r="U68" s="372"/>
      <c r="V68" s="360"/>
      <c r="W68" s="360"/>
      <c r="X68" s="360"/>
      <c r="Y68" s="360"/>
      <c r="Z68" s="360"/>
      <c r="AA68" s="360"/>
      <c r="AB68" s="360"/>
      <c r="AC68" s="360"/>
      <c r="AD68" s="360"/>
      <c r="AE68" s="360"/>
      <c r="AF68" s="360"/>
      <c r="AG68" s="360"/>
      <c r="AH68" s="360"/>
      <c r="AI68" s="360"/>
      <c r="AJ68" s="360"/>
      <c r="AK68" s="360"/>
    </row>
    <row r="69" spans="1:37" s="362" customFormat="1" ht="21.75" customHeight="1">
      <c r="A69" s="360"/>
      <c r="B69" s="361"/>
      <c r="C69" s="377"/>
      <c r="D69" s="706"/>
      <c r="E69" s="359"/>
      <c r="F69" s="379"/>
      <c r="G69" s="544" t="str">
        <f>IF( F69="Radio", VLOOKUP(H69,radio!$A$2:$B$33,2), IF(F69="PQR",VLOOKUP(H69,pqr!$A$2:$B$20,2),IF(F69="INTERNET",VLOOKUP(H69,internet!$A$2:$C$43,2),IF(F69="TV",VLOOKUP(H69,tv!$A$2:$B$10,2),""))) )</f>
        <v/>
      </c>
      <c r="H69" s="358"/>
      <c r="I69" s="346"/>
      <c r="J69" s="1095"/>
      <c r="K69" s="346"/>
      <c r="L69" s="370"/>
      <c r="M69" s="373"/>
      <c r="N69" s="346"/>
      <c r="O69" s="346"/>
      <c r="P69" s="346"/>
      <c r="Q69" s="346"/>
      <c r="R69" s="346"/>
      <c r="S69" s="346"/>
      <c r="T69" s="346"/>
      <c r="U69" s="372"/>
      <c r="V69" s="360"/>
      <c r="W69" s="360"/>
      <c r="X69" s="360"/>
      <c r="Y69" s="360"/>
      <c r="Z69" s="360"/>
      <c r="AA69" s="360"/>
      <c r="AB69" s="360"/>
      <c r="AC69" s="360"/>
      <c r="AD69" s="360"/>
      <c r="AE69" s="360"/>
      <c r="AF69" s="360"/>
      <c r="AG69" s="360"/>
      <c r="AH69" s="360"/>
      <c r="AI69" s="360"/>
      <c r="AJ69" s="360"/>
      <c r="AK69" s="360"/>
    </row>
    <row r="70" spans="1:37" s="362" customFormat="1">
      <c r="A70" s="360"/>
      <c r="B70" s="361"/>
      <c r="C70" s="377"/>
      <c r="D70" s="706"/>
      <c r="E70" s="705"/>
      <c r="F70" s="379"/>
      <c r="G70" s="544" t="str">
        <f>IF( F70="Radio", VLOOKUP(H70,radio!$A$2:$B$33,2), IF(F70="PQR",VLOOKUP(H70,pqr!$A$2:$B$20,2),IF(F70="INTERNET",VLOOKUP(H70,internet!$A$2:$C$43,2),IF(F70="TV",VLOOKUP(H70,tv!$A$2:$B$10,2),""))) )</f>
        <v/>
      </c>
      <c r="H70" s="358"/>
      <c r="I70" s="346"/>
      <c r="J70" s="1095"/>
      <c r="K70" s="346"/>
      <c r="L70" s="370"/>
      <c r="M70" s="373"/>
      <c r="N70" s="346"/>
      <c r="O70" s="346"/>
      <c r="P70" s="346"/>
      <c r="Q70" s="346"/>
      <c r="R70" s="346"/>
      <c r="S70" s="346"/>
      <c r="T70" s="346"/>
      <c r="U70" s="372"/>
      <c r="V70" s="360"/>
      <c r="W70" s="360"/>
      <c r="X70" s="360"/>
      <c r="Y70" s="360"/>
      <c r="Z70" s="360"/>
      <c r="AA70" s="360"/>
      <c r="AB70" s="360"/>
      <c r="AC70" s="360"/>
      <c r="AD70" s="360"/>
      <c r="AE70" s="360"/>
      <c r="AF70" s="360"/>
      <c r="AG70" s="360"/>
      <c r="AH70" s="360"/>
      <c r="AI70" s="360"/>
      <c r="AJ70" s="360"/>
      <c r="AK70" s="360"/>
    </row>
    <row r="71" spans="1:37" s="362" customFormat="1">
      <c r="A71" s="360"/>
      <c r="B71" s="361"/>
      <c r="C71" s="707"/>
      <c r="D71" s="706"/>
      <c r="E71" s="346"/>
      <c r="F71" s="379"/>
      <c r="G71" s="544" t="str">
        <f>IF( F71="Radio", VLOOKUP(H71,radio!$A$2:$B$33,2), IF(F71="PQR",VLOOKUP(H71,pqr!$A$2:$B$20,2),IF(F71="INTERNET",VLOOKUP(H71,internet!$A$2:$C$43,2),IF(F71="TV",VLOOKUP(H71,tv!$A$2:$B$10,2),""))) )</f>
        <v/>
      </c>
      <c r="H71" s="358"/>
      <c r="I71" s="346"/>
      <c r="J71" s="1095"/>
      <c r="K71" s="346"/>
      <c r="L71" s="370"/>
      <c r="M71" s="373"/>
      <c r="N71" s="346"/>
      <c r="O71" s="346"/>
      <c r="P71" s="346"/>
      <c r="Q71" s="346"/>
      <c r="R71" s="346"/>
      <c r="S71" s="346"/>
      <c r="T71" s="346"/>
      <c r="U71" s="372"/>
      <c r="V71" s="360"/>
      <c r="W71" s="360"/>
      <c r="X71" s="360"/>
      <c r="Y71" s="360"/>
      <c r="Z71" s="360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0"/>
    </row>
    <row r="72" spans="1:37" s="362" customFormat="1">
      <c r="A72" s="360"/>
      <c r="B72" s="361"/>
      <c r="C72" s="377"/>
      <c r="D72" s="706"/>
      <c r="E72" s="359"/>
      <c r="F72" s="379"/>
      <c r="G72" s="544" t="str">
        <f>IF( F72="Radio", VLOOKUP(H72,radio!$A$2:$B$33,2), IF(F72="PQR",VLOOKUP(H72,pqr!$A$2:$B$20,2),IF(F72="INTERNET",VLOOKUP(H72,internet!$A$2:$C$43,2),IF(F72="TV",VLOOKUP(H72,tv!$A$2:$B$10,2),""))) )</f>
        <v/>
      </c>
      <c r="H72" s="358"/>
      <c r="I72" s="346"/>
      <c r="J72" s="1095"/>
      <c r="K72" s="346"/>
      <c r="L72" s="370"/>
      <c r="M72" s="373"/>
      <c r="N72" s="346"/>
      <c r="O72" s="346"/>
      <c r="P72" s="346"/>
      <c r="Q72" s="346"/>
      <c r="R72" s="346"/>
      <c r="S72" s="346"/>
      <c r="T72" s="346"/>
      <c r="U72" s="372"/>
      <c r="V72" s="360"/>
      <c r="W72" s="360"/>
      <c r="X72" s="360"/>
      <c r="Y72" s="360"/>
      <c r="Z72" s="360"/>
      <c r="AA72" s="360"/>
      <c r="AB72" s="360"/>
      <c r="AC72" s="360"/>
      <c r="AD72" s="360"/>
      <c r="AE72" s="360"/>
      <c r="AF72" s="360"/>
      <c r="AG72" s="360"/>
      <c r="AH72" s="360"/>
      <c r="AI72" s="360"/>
      <c r="AJ72" s="360"/>
      <c r="AK72" s="360"/>
    </row>
    <row r="73" spans="1:37" s="362" customFormat="1">
      <c r="A73" s="360"/>
      <c r="B73" s="361"/>
      <c r="C73" s="377"/>
      <c r="D73" s="706"/>
      <c r="E73" s="359"/>
      <c r="F73" s="379"/>
      <c r="G73" s="544" t="str">
        <f>IF( F73="Radio", VLOOKUP(H73,radio!$A$2:$B$33,2), IF(F73="PQR",VLOOKUP(H73,pqr!$A$2:$B$20,2),IF(F73="INTERNET",VLOOKUP(H73,internet!$A$2:$C$43,2),IF(F73="TV",VLOOKUP(H73,tv!$A$2:$B$10,2),""))) )</f>
        <v/>
      </c>
      <c r="H73" s="358"/>
      <c r="I73" s="346"/>
      <c r="J73" s="1095"/>
      <c r="K73" s="346"/>
      <c r="L73" s="370"/>
      <c r="M73" s="373"/>
      <c r="N73" s="346"/>
      <c r="O73" s="346"/>
      <c r="P73" s="346"/>
      <c r="Q73" s="346"/>
      <c r="R73" s="346"/>
      <c r="S73" s="346"/>
      <c r="T73" s="346"/>
      <c r="U73" s="372"/>
      <c r="V73" s="360"/>
      <c r="W73" s="360"/>
      <c r="X73" s="360"/>
      <c r="Y73" s="360"/>
      <c r="Z73" s="360"/>
      <c r="AA73" s="360"/>
      <c r="AB73" s="360"/>
      <c r="AC73" s="360"/>
      <c r="AD73" s="360"/>
      <c r="AE73" s="360"/>
      <c r="AF73" s="360"/>
      <c r="AG73" s="360"/>
      <c r="AH73" s="360"/>
      <c r="AI73" s="360"/>
      <c r="AJ73" s="360"/>
      <c r="AK73" s="360"/>
    </row>
    <row r="74" spans="1:37" s="362" customFormat="1">
      <c r="A74" s="360"/>
      <c r="B74" s="361"/>
      <c r="C74" s="377"/>
      <c r="D74" s="706"/>
      <c r="E74" s="707"/>
      <c r="F74" s="379"/>
      <c r="G74" s="544" t="str">
        <f>IF( F74="Radio", VLOOKUP(H74,radio!$A$2:$B$33,2), IF(F74="PQR",VLOOKUP(H74,pqr!$A$2:$B$20,2),IF(F74="INTERNET",VLOOKUP(H74,internet!$A$2:$C$43,2),IF(F74="TV",VLOOKUP(H74,tv!$A$2:$B$10,2),""))) )</f>
        <v/>
      </c>
      <c r="H74" s="358"/>
      <c r="I74" s="346"/>
      <c r="J74" s="1095"/>
      <c r="K74" s="346"/>
      <c r="L74" s="375"/>
      <c r="M74" s="373"/>
      <c r="N74" s="369"/>
      <c r="O74" s="346"/>
      <c r="P74" s="346"/>
      <c r="Q74" s="346"/>
      <c r="R74" s="346"/>
      <c r="S74" s="346"/>
      <c r="T74" s="346"/>
      <c r="U74" s="372"/>
      <c r="V74" s="327"/>
      <c r="W74" s="327"/>
      <c r="X74" s="689"/>
      <c r="Y74" s="326"/>
      <c r="Z74" s="328"/>
      <c r="AA74" s="1306"/>
      <c r="AB74" s="1306"/>
      <c r="AC74" s="1306"/>
      <c r="AD74" s="1306"/>
      <c r="AE74" s="326"/>
      <c r="AF74" s="326"/>
      <c r="AG74" s="321"/>
      <c r="AH74" s="321"/>
      <c r="AI74" s="360"/>
      <c r="AJ74" s="360"/>
      <c r="AK74" s="360"/>
    </row>
    <row r="75" spans="1:37" s="362" customFormat="1">
      <c r="A75" s="360"/>
      <c r="B75" s="361"/>
      <c r="C75" s="377"/>
      <c r="D75" s="706"/>
      <c r="E75" s="707"/>
      <c r="F75" s="379"/>
      <c r="G75" s="544" t="str">
        <f>IF( F75="Radio", VLOOKUP(H75,radio!$A$2:$B$33,2), IF(F75="PQR",VLOOKUP(H75,pqr!$A$2:$B$20,2),IF(F75="INTERNET",VLOOKUP(H75,internet!$A$2:$C$43,2),IF(F75="TV",VLOOKUP(H75,tv!$A$2:$B$10,2),""))) )</f>
        <v/>
      </c>
      <c r="H75" s="358"/>
      <c r="I75" s="346"/>
      <c r="J75" s="1095"/>
      <c r="K75" s="346"/>
      <c r="L75" s="358"/>
      <c r="M75" s="373"/>
      <c r="N75" s="369"/>
      <c r="O75" s="346"/>
      <c r="P75" s="346"/>
      <c r="Q75" s="346"/>
      <c r="R75" s="346"/>
      <c r="S75" s="346"/>
      <c r="T75" s="346"/>
      <c r="U75" s="372"/>
      <c r="V75" s="327"/>
      <c r="W75" s="327"/>
      <c r="X75" s="689"/>
      <c r="Y75" s="326"/>
      <c r="Z75" s="328"/>
      <c r="AA75" s="1306"/>
      <c r="AB75" s="1306"/>
      <c r="AC75" s="1306"/>
      <c r="AD75" s="1306"/>
      <c r="AE75" s="326"/>
      <c r="AF75" s="326"/>
      <c r="AG75" s="321"/>
      <c r="AH75" s="321"/>
      <c r="AI75" s="360"/>
      <c r="AJ75" s="360"/>
      <c r="AK75" s="360"/>
    </row>
    <row r="76" spans="1:37" s="362" customFormat="1">
      <c r="A76" s="360"/>
      <c r="B76" s="361"/>
      <c r="C76" s="377"/>
      <c r="D76" s="706"/>
      <c r="E76" s="359"/>
      <c r="F76" s="379"/>
      <c r="G76" s="544" t="str">
        <f>IF( F76="Radio", VLOOKUP(H76,radio!$A$2:$B$33,2), IF(F76="PQR",VLOOKUP(H76,pqr!$A$2:$B$20,2),IF(F76="INTERNET",VLOOKUP(H76,internet!$A$2:$C$43,2),IF(F76="TV",VLOOKUP(H76,tv!$A$2:$B$10,2),""))) )</f>
        <v/>
      </c>
      <c r="H76" s="358"/>
      <c r="I76" s="346"/>
      <c r="J76" s="1095"/>
      <c r="K76" s="346"/>
      <c r="L76" s="358"/>
      <c r="M76" s="373"/>
      <c r="N76" s="369"/>
      <c r="O76" s="346"/>
      <c r="P76" s="346"/>
      <c r="Q76" s="346"/>
      <c r="R76" s="346"/>
      <c r="S76" s="346"/>
      <c r="T76" s="346"/>
      <c r="U76" s="372"/>
      <c r="V76" s="327"/>
      <c r="W76" s="327"/>
      <c r="X76" s="689"/>
      <c r="Y76" s="326"/>
      <c r="Z76" s="328"/>
      <c r="AA76" s="1306"/>
      <c r="AB76" s="1306"/>
      <c r="AC76" s="1306"/>
      <c r="AD76" s="1306"/>
      <c r="AE76" s="326"/>
      <c r="AF76" s="326"/>
      <c r="AG76" s="321"/>
      <c r="AH76" s="321"/>
      <c r="AI76" s="360"/>
      <c r="AJ76" s="360"/>
      <c r="AK76" s="360"/>
    </row>
    <row r="77" spans="1:37" s="362" customFormat="1">
      <c r="A77" s="360"/>
      <c r="B77" s="361"/>
      <c r="C77" s="377"/>
      <c r="D77" s="706"/>
      <c r="E77" s="359"/>
      <c r="F77" s="379"/>
      <c r="G77" s="544" t="str">
        <f>IF( F77="Radio", VLOOKUP(H77,radio!$A$2:$B$33,2), IF(F77="PQR",VLOOKUP(H77,pqr!$A$2:$B$20,2),IF(F77="INTERNET",VLOOKUP(H77,internet!$A$2:$C$43,2),IF(F77="TV",VLOOKUP(H77,tv!$A$2:$B$10,2),""))) )</f>
        <v/>
      </c>
      <c r="H77" s="358"/>
      <c r="I77" s="346"/>
      <c r="J77" s="1095"/>
      <c r="K77" s="346"/>
      <c r="L77" s="358"/>
      <c r="M77" s="373"/>
      <c r="N77" s="369"/>
      <c r="O77" s="346"/>
      <c r="P77" s="346"/>
      <c r="Q77" s="346"/>
      <c r="R77" s="346"/>
      <c r="S77" s="346"/>
      <c r="T77" s="346"/>
      <c r="U77" s="372"/>
      <c r="V77" s="327"/>
      <c r="W77" s="327"/>
      <c r="X77" s="689"/>
      <c r="Y77" s="326"/>
      <c r="Z77" s="328"/>
      <c r="AA77" s="1306"/>
      <c r="AB77" s="1306"/>
      <c r="AC77" s="1306"/>
      <c r="AD77" s="1306"/>
      <c r="AE77" s="326"/>
      <c r="AF77" s="326"/>
      <c r="AG77" s="321"/>
      <c r="AH77" s="321"/>
      <c r="AI77" s="360"/>
      <c r="AJ77" s="360"/>
      <c r="AK77" s="360"/>
    </row>
    <row r="78" spans="1:37" s="362" customFormat="1">
      <c r="A78" s="360"/>
      <c r="B78" s="361"/>
      <c r="C78" s="377"/>
      <c r="D78" s="706"/>
      <c r="E78" s="359"/>
      <c r="F78" s="379"/>
      <c r="G78" s="544" t="str">
        <f>IF( F78="Radio", VLOOKUP(H78,radio!$A$2:$B$33,2), IF(F78="PQR",VLOOKUP(H78,pqr!$A$2:$B$20,2),IF(F78="INTERNET",VLOOKUP(H78,internet!$A$2:$C$43,2),IF(F78="TV",VLOOKUP(H78,tv!$A$2:$B$10,2),""))) )</f>
        <v/>
      </c>
      <c r="H78" s="358"/>
      <c r="I78" s="346"/>
      <c r="J78" s="1095"/>
      <c r="K78" s="346"/>
      <c r="L78" s="358"/>
      <c r="M78" s="373"/>
      <c r="N78" s="369"/>
      <c r="O78" s="346"/>
      <c r="P78" s="346"/>
      <c r="Q78" s="346"/>
      <c r="R78" s="346"/>
      <c r="S78" s="346"/>
      <c r="T78" s="346"/>
      <c r="U78" s="372"/>
      <c r="V78" s="327"/>
      <c r="W78" s="327"/>
      <c r="X78" s="689"/>
      <c r="Y78" s="326"/>
      <c r="Z78" s="328"/>
      <c r="AA78" s="1306"/>
      <c r="AB78" s="1306"/>
      <c r="AC78" s="1306"/>
      <c r="AD78" s="1306"/>
      <c r="AE78" s="326"/>
      <c r="AF78" s="326"/>
      <c r="AG78" s="321"/>
      <c r="AH78" s="321"/>
      <c r="AI78" s="360"/>
      <c r="AJ78" s="360"/>
      <c r="AK78" s="360"/>
    </row>
    <row r="79" spans="1:37" s="362" customFormat="1">
      <c r="A79" s="360"/>
      <c r="B79" s="361"/>
      <c r="C79" s="377"/>
      <c r="D79" s="706"/>
      <c r="E79" s="707"/>
      <c r="F79" s="379"/>
      <c r="G79" s="544" t="str">
        <f>IF( F79="Radio", VLOOKUP(H79,radio!$A$2:$B$33,2), IF(F79="PQR",VLOOKUP(H79,pqr!$A$2:$B$20,2),IF(F79="INTERNET",VLOOKUP(H79,internet!$A$2:$C$43,2),IF(F79="TV",VLOOKUP(H79,tv!$A$2:$B$10,2),""))) )</f>
        <v/>
      </c>
      <c r="H79" s="358"/>
      <c r="I79" s="346"/>
      <c r="J79" s="1095"/>
      <c r="K79" s="346"/>
      <c r="L79" s="358"/>
      <c r="M79" s="373"/>
      <c r="N79" s="369"/>
      <c r="O79" s="346"/>
      <c r="P79" s="346"/>
      <c r="Q79" s="346"/>
      <c r="R79" s="346"/>
      <c r="S79" s="346"/>
      <c r="T79" s="346"/>
      <c r="U79" s="372"/>
      <c r="V79" s="327"/>
      <c r="W79" s="327"/>
      <c r="X79" s="689"/>
      <c r="Y79" s="326"/>
      <c r="Z79" s="328"/>
      <c r="AA79" s="1306"/>
      <c r="AB79" s="1306"/>
      <c r="AC79" s="1306"/>
      <c r="AD79" s="1306"/>
      <c r="AE79" s="326"/>
      <c r="AF79" s="326"/>
      <c r="AG79" s="321"/>
      <c r="AH79" s="321"/>
      <c r="AI79" s="360"/>
      <c r="AJ79" s="360"/>
      <c r="AK79" s="360"/>
    </row>
    <row r="80" spans="1:37" s="362" customFormat="1">
      <c r="A80" s="360"/>
      <c r="B80" s="361"/>
      <c r="C80" s="377"/>
      <c r="D80" s="706"/>
      <c r="E80" s="707"/>
      <c r="F80" s="379"/>
      <c r="G80" s="544" t="str">
        <f>IF( F80="Radio", VLOOKUP(H80,radio!$A$2:$B$33,2), IF(F80="PQR",VLOOKUP(H80,pqr!$A$2:$B$20,2),IF(F80="INTERNET",VLOOKUP(H80,internet!$A$2:$C$43,2),IF(F80="TV",VLOOKUP(H80,tv!$A$2:$B$10,2),""))) )</f>
        <v/>
      </c>
      <c r="H80" s="358"/>
      <c r="I80" s="346"/>
      <c r="J80" s="1095"/>
      <c r="K80" s="346"/>
      <c r="L80" s="358"/>
      <c r="M80" s="373"/>
      <c r="N80" s="369"/>
      <c r="O80" s="346"/>
      <c r="P80" s="346"/>
      <c r="Q80" s="346"/>
      <c r="R80" s="346"/>
      <c r="S80" s="346"/>
      <c r="T80" s="346"/>
      <c r="U80" s="372"/>
      <c r="V80" s="327"/>
      <c r="W80" s="327"/>
      <c r="X80" s="689"/>
      <c r="Y80" s="326"/>
      <c r="Z80" s="690"/>
      <c r="AA80" s="691"/>
      <c r="AB80" s="691"/>
      <c r="AC80" s="326"/>
      <c r="AD80" s="326"/>
      <c r="AE80" s="326"/>
      <c r="AF80" s="326"/>
      <c r="AG80" s="321"/>
      <c r="AH80" s="321"/>
      <c r="AI80" s="360"/>
      <c r="AJ80" s="360"/>
      <c r="AK80" s="360"/>
    </row>
    <row r="81" spans="1:37" s="362" customFormat="1">
      <c r="A81" s="360"/>
      <c r="B81" s="361"/>
      <c r="C81" s="377"/>
      <c r="D81" s="706"/>
      <c r="E81" s="705"/>
      <c r="F81" s="379"/>
      <c r="G81" s="544" t="str">
        <f>IF( F81="Radio", VLOOKUP(H81,radio!$A$2:$B$33,2), IF(F81="PQR",VLOOKUP(H81,pqr!$A$2:$B$20,2),IF(F81="INTERNET",VLOOKUP(H81,internet!$A$2:$C$43,2),IF(F81="TV",VLOOKUP(H81,tv!$A$2:$B$10,2),""))) )</f>
        <v/>
      </c>
      <c r="H81" s="358"/>
      <c r="I81" s="346"/>
      <c r="J81" s="1095"/>
      <c r="K81" s="346"/>
      <c r="L81" s="353"/>
      <c r="M81" s="346"/>
      <c r="N81" s="369"/>
      <c r="O81" s="346"/>
      <c r="P81" s="346"/>
      <c r="Q81" s="346"/>
      <c r="R81" s="346"/>
      <c r="S81" s="346"/>
      <c r="T81" s="346"/>
      <c r="U81" s="372"/>
      <c r="V81" s="327"/>
      <c r="W81" s="327"/>
      <c r="X81" s="689"/>
      <c r="Y81" s="326"/>
      <c r="Z81" s="326"/>
      <c r="AA81" s="326"/>
      <c r="AB81" s="326"/>
      <c r="AC81" s="326"/>
      <c r="AD81" s="326"/>
      <c r="AE81" s="326"/>
      <c r="AF81" s="326"/>
      <c r="AG81" s="321"/>
      <c r="AH81" s="321"/>
      <c r="AI81" s="360"/>
      <c r="AJ81" s="360"/>
      <c r="AK81" s="360"/>
    </row>
    <row r="82" spans="1:37" s="362" customFormat="1">
      <c r="A82" s="360"/>
      <c r="B82" s="361"/>
      <c r="C82" s="377"/>
      <c r="D82" s="706"/>
      <c r="E82" s="705"/>
      <c r="F82" s="379"/>
      <c r="G82" s="544" t="str">
        <f>IF( F82="Radio", VLOOKUP(H82,radio!$A$2:$B$33,2), IF(F82="PQR",VLOOKUP(H82,pqr!$A$2:$B$20,2),IF(F82="INTERNET",VLOOKUP(H82,internet!$A$2:$C$43,2),IF(F82="TV",VLOOKUP(H82,tv!$A$2:$B$10,2),""))) )</f>
        <v/>
      </c>
      <c r="H82" s="358"/>
      <c r="I82" s="346"/>
      <c r="J82" s="1095"/>
      <c r="K82" s="346"/>
      <c r="L82" s="353"/>
      <c r="M82" s="346"/>
      <c r="N82" s="369"/>
      <c r="O82" s="346"/>
      <c r="P82" s="346"/>
      <c r="Q82" s="346"/>
      <c r="R82" s="346"/>
      <c r="S82" s="346"/>
      <c r="T82" s="346"/>
      <c r="U82" s="372"/>
      <c r="V82" s="360"/>
      <c r="W82" s="360"/>
      <c r="X82" s="360"/>
      <c r="Y82" s="327"/>
      <c r="Z82" s="327"/>
      <c r="AA82" s="327"/>
      <c r="AB82" s="327"/>
      <c r="AC82" s="327"/>
      <c r="AD82" s="327"/>
      <c r="AE82" s="327"/>
      <c r="AF82" s="327"/>
      <c r="AG82" s="360"/>
      <c r="AH82" s="360"/>
      <c r="AI82" s="360"/>
      <c r="AJ82" s="360"/>
      <c r="AK82" s="360"/>
    </row>
    <row r="83" spans="1:37" s="362" customFormat="1">
      <c r="A83" s="360"/>
      <c r="B83" s="361"/>
      <c r="C83" s="377"/>
      <c r="D83" s="706"/>
      <c r="E83" s="707"/>
      <c r="F83" s="379"/>
      <c r="G83" s="544" t="str">
        <f>IF( F83="Radio", VLOOKUP(H83,radio!$A$2:$B$33,2), IF(F83="PQR",VLOOKUP(H83,pqr!$A$2:$B$20,2),IF(F83="INTERNET",VLOOKUP(H83,internet!$A$2:$C$43,2),IF(F83="TV",VLOOKUP(H83,tv!$A$2:$B$10,2),""))) )</f>
        <v/>
      </c>
      <c r="H83" s="358"/>
      <c r="I83" s="346"/>
      <c r="J83" s="1095"/>
      <c r="K83" s="346"/>
      <c r="L83" s="346"/>
      <c r="M83" s="373"/>
      <c r="N83" s="369"/>
      <c r="O83" s="353"/>
      <c r="P83" s="369"/>
      <c r="Q83" s="369"/>
      <c r="R83" s="369"/>
      <c r="S83" s="369"/>
      <c r="T83" s="369"/>
      <c r="U83" s="372"/>
      <c r="V83" s="360"/>
      <c r="W83" s="360"/>
      <c r="X83" s="360"/>
      <c r="Y83" s="360"/>
      <c r="Z83" s="360"/>
      <c r="AA83" s="360"/>
      <c r="AB83" s="360"/>
      <c r="AC83" s="360"/>
      <c r="AD83" s="360"/>
      <c r="AE83" s="360"/>
      <c r="AF83" s="360"/>
      <c r="AG83" s="360"/>
      <c r="AH83" s="360"/>
      <c r="AI83" s="360"/>
      <c r="AJ83" s="360"/>
      <c r="AK83" s="360"/>
    </row>
    <row r="84" spans="1:37" s="362" customFormat="1">
      <c r="A84" s="360"/>
      <c r="B84" s="361"/>
      <c r="C84" s="377"/>
      <c r="D84" s="706"/>
      <c r="E84" s="707"/>
      <c r="F84" s="379"/>
      <c r="G84" s="544" t="str">
        <f>IF( F84="Radio", VLOOKUP(H84,radio!$A$2:$B$33,2), IF(F84="PQR",VLOOKUP(H84,pqr!$A$2:$B$20,2),IF(F84="INTERNET",VLOOKUP(H84,internet!$A$2:$C$43,2),IF(F84="TV",VLOOKUP(H84,tv!$A$2:$B$10,2),""))) )</f>
        <v/>
      </c>
      <c r="H84" s="358"/>
      <c r="I84" s="346"/>
      <c r="J84" s="1095"/>
      <c r="K84" s="346"/>
      <c r="L84" s="346"/>
      <c r="M84" s="373"/>
      <c r="N84" s="346"/>
      <c r="O84" s="346"/>
      <c r="P84" s="346"/>
      <c r="Q84" s="346"/>
      <c r="R84" s="346"/>
      <c r="S84" s="346"/>
      <c r="T84" s="346"/>
      <c r="U84" s="372"/>
      <c r="V84" s="360"/>
      <c r="W84" s="360"/>
      <c r="X84" s="360"/>
      <c r="Y84" s="360"/>
      <c r="Z84" s="360"/>
      <c r="AA84" s="360"/>
      <c r="AB84" s="360"/>
      <c r="AC84" s="360"/>
      <c r="AD84" s="360"/>
      <c r="AE84" s="360"/>
      <c r="AF84" s="360"/>
      <c r="AG84" s="360"/>
      <c r="AH84" s="360"/>
      <c r="AI84" s="360"/>
      <c r="AJ84" s="360"/>
      <c r="AK84" s="360"/>
    </row>
    <row r="85" spans="1:37" s="362" customFormat="1">
      <c r="A85" s="360"/>
      <c r="B85" s="361"/>
      <c r="C85" s="377"/>
      <c r="D85" s="706"/>
      <c r="E85" s="707"/>
      <c r="F85" s="379"/>
      <c r="G85" s="544" t="str">
        <f>IF( F85="Radio", VLOOKUP(H85,radio!$A$2:$B$33,2), IF(F85="PQR",VLOOKUP(H85,pqr!$A$2:$B$20,2),IF(F85="INTERNET",VLOOKUP(H85,internet!$A$2:$C$43,2),IF(F85="TV",VLOOKUP(H85,tv!$A$2:$B$10,2),""))) )</f>
        <v/>
      </c>
      <c r="H85" s="358"/>
      <c r="I85" s="346"/>
      <c r="J85" s="1095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72"/>
      <c r="V85" s="360"/>
      <c r="W85" s="360"/>
      <c r="X85" s="360"/>
      <c r="Y85" s="360"/>
      <c r="Z85" s="360"/>
      <c r="AA85" s="360"/>
      <c r="AB85" s="360"/>
      <c r="AC85" s="360"/>
      <c r="AD85" s="360"/>
      <c r="AE85" s="360"/>
      <c r="AF85" s="360"/>
      <c r="AG85" s="360"/>
      <c r="AH85" s="360"/>
      <c r="AI85" s="360"/>
      <c r="AJ85" s="360"/>
      <c r="AK85" s="360"/>
    </row>
    <row r="86" spans="1:37">
      <c r="A86" s="321"/>
      <c r="B86" s="339"/>
      <c r="C86" s="377"/>
      <c r="D86" s="706"/>
      <c r="E86" s="359"/>
      <c r="F86" s="379"/>
      <c r="G86" s="544" t="str">
        <f>IF( F86="Radio", VLOOKUP(H86,radio!$A$2:$B$33,2), IF(F86="PQR",VLOOKUP(H86,pqr!$A$2:$B$20,2),IF(F86="INTERNET",VLOOKUP(H86,internet!$A$2:$C$43,2),IF(F86="TV",VLOOKUP(H86,tv!$A$2:$B$10,2),""))) )</f>
        <v/>
      </c>
      <c r="H86" s="358"/>
      <c r="I86" s="346"/>
      <c r="J86" s="1095"/>
      <c r="K86" s="369"/>
      <c r="L86" s="346"/>
      <c r="M86" s="379"/>
      <c r="N86" s="346"/>
      <c r="O86" s="346"/>
      <c r="P86" s="346"/>
      <c r="Q86" s="346"/>
      <c r="R86" s="346"/>
      <c r="S86" s="346"/>
      <c r="T86" s="346"/>
      <c r="U86" s="341"/>
      <c r="V86" s="321"/>
    </row>
    <row r="87" spans="1:37" s="362" customFormat="1">
      <c r="A87" s="360"/>
      <c r="B87" s="361"/>
      <c r="C87" s="377"/>
      <c r="D87" s="706"/>
      <c r="E87" s="359"/>
      <c r="F87" s="379"/>
      <c r="G87" s="544" t="str">
        <f>IF( F87="Radio", VLOOKUP(H87,radio!$A$2:$B$33,2), IF(F87="PQR",VLOOKUP(H87,pqr!$A$2:$B$20,2),IF(F87="INTERNET",VLOOKUP(H87,internet!$A$2:$C$43,2),IF(F87="TV",VLOOKUP(H87,tv!$A$2:$B$10,2),""))) )</f>
        <v/>
      </c>
      <c r="H87" s="358"/>
      <c r="I87" s="346"/>
      <c r="J87" s="1095"/>
      <c r="K87" s="346"/>
      <c r="L87" s="346"/>
      <c r="M87" s="379"/>
      <c r="N87" s="346"/>
      <c r="O87" s="346"/>
      <c r="P87" s="346"/>
      <c r="Q87" s="346"/>
      <c r="R87" s="346"/>
      <c r="S87" s="346"/>
      <c r="T87" s="346"/>
      <c r="U87" s="372"/>
      <c r="V87" s="360"/>
      <c r="W87" s="360"/>
      <c r="X87" s="360"/>
      <c r="Y87" s="360"/>
      <c r="Z87" s="360"/>
      <c r="AA87" s="360"/>
      <c r="AB87" s="360"/>
      <c r="AC87" s="360"/>
      <c r="AD87" s="360"/>
      <c r="AE87" s="360"/>
      <c r="AF87" s="360"/>
      <c r="AG87" s="360"/>
      <c r="AH87" s="360"/>
      <c r="AI87" s="360"/>
      <c r="AJ87" s="360"/>
      <c r="AK87" s="360"/>
    </row>
    <row r="88" spans="1:37" s="362" customFormat="1">
      <c r="A88" s="360"/>
      <c r="B88" s="361"/>
      <c r="C88" s="377"/>
      <c r="D88" s="378"/>
      <c r="E88" s="359"/>
      <c r="F88" s="379"/>
      <c r="G88" s="373"/>
      <c r="H88" s="358"/>
      <c r="I88" s="346"/>
      <c r="J88" s="1095"/>
      <c r="K88" s="346"/>
      <c r="L88" s="346"/>
      <c r="M88" s="379"/>
      <c r="N88" s="346"/>
      <c r="O88" s="346"/>
      <c r="P88" s="346"/>
      <c r="Q88" s="346"/>
      <c r="R88" s="346"/>
      <c r="S88" s="346"/>
      <c r="T88" s="346"/>
      <c r="U88" s="372"/>
      <c r="V88" s="360"/>
      <c r="W88" s="360"/>
      <c r="X88" s="360"/>
      <c r="Y88" s="360"/>
      <c r="Z88" s="360"/>
      <c r="AA88" s="360"/>
      <c r="AB88" s="360"/>
      <c r="AC88" s="360"/>
      <c r="AD88" s="360"/>
      <c r="AE88" s="360"/>
      <c r="AF88" s="360"/>
      <c r="AG88" s="360"/>
      <c r="AH88" s="360"/>
      <c r="AI88" s="360"/>
      <c r="AJ88" s="360"/>
      <c r="AK88" s="360"/>
    </row>
    <row r="89" spans="1:37" s="362" customFormat="1" ht="14.25" customHeight="1" thickBot="1">
      <c r="A89" s="360"/>
      <c r="B89" s="381"/>
      <c r="C89" s="382"/>
      <c r="D89" s="383"/>
      <c r="E89" s="384"/>
      <c r="F89" s="382"/>
      <c r="G89" s="385"/>
      <c r="H89" s="386"/>
      <c r="I89" s="376"/>
      <c r="J89" s="387"/>
      <c r="K89" s="388"/>
      <c r="L89" s="388"/>
      <c r="M89" s="767"/>
      <c r="N89" s="388"/>
      <c r="O89" s="388"/>
      <c r="P89" s="388"/>
      <c r="Q89" s="388"/>
      <c r="R89" s="388"/>
      <c r="S89" s="388"/>
      <c r="T89" s="388"/>
      <c r="U89" s="390"/>
      <c r="V89" s="360"/>
      <c r="W89" s="360"/>
      <c r="X89" s="360"/>
      <c r="Y89" s="360"/>
      <c r="Z89" s="360"/>
      <c r="AA89" s="360"/>
      <c r="AB89" s="360"/>
      <c r="AC89" s="360"/>
      <c r="AD89" s="360"/>
      <c r="AE89" s="360"/>
      <c r="AF89" s="360"/>
      <c r="AG89" s="360"/>
      <c r="AH89" s="360"/>
      <c r="AI89" s="360"/>
      <c r="AJ89" s="360"/>
      <c r="AK89" s="360"/>
    </row>
    <row r="90" spans="1:37" s="362" customFormat="1" ht="15.75" customHeight="1">
      <c r="A90" s="360"/>
      <c r="B90" s="360"/>
      <c r="C90" s="360"/>
      <c r="D90" s="391"/>
      <c r="E90" s="360"/>
      <c r="F90" s="360"/>
      <c r="G90" s="360"/>
      <c r="H90" s="360"/>
      <c r="I90" s="360"/>
      <c r="J90" s="360"/>
      <c r="K90" s="360"/>
      <c r="L90" s="360"/>
      <c r="M90" s="701"/>
      <c r="N90" s="327"/>
      <c r="O90" s="327"/>
      <c r="P90" s="327"/>
      <c r="Q90" s="327"/>
      <c r="R90" s="327"/>
      <c r="S90" s="327"/>
      <c r="T90" s="327"/>
      <c r="U90" s="327"/>
      <c r="V90" s="360"/>
      <c r="W90" s="360"/>
      <c r="X90" s="360"/>
      <c r="Y90" s="360"/>
      <c r="Z90" s="360"/>
      <c r="AA90" s="360"/>
      <c r="AB90" s="360"/>
      <c r="AC90" s="360"/>
      <c r="AD90" s="360"/>
      <c r="AE90" s="360"/>
      <c r="AF90" s="360"/>
      <c r="AG90" s="360"/>
      <c r="AH90" s="360"/>
      <c r="AI90" s="360"/>
      <c r="AJ90" s="360"/>
      <c r="AK90" s="360"/>
    </row>
    <row r="91" spans="1:37" s="362" customFormat="1">
      <c r="A91" s="360"/>
      <c r="B91" s="360"/>
      <c r="C91" s="360"/>
      <c r="D91" s="391"/>
      <c r="E91" s="360"/>
      <c r="F91" s="360"/>
      <c r="G91" s="360"/>
      <c r="H91" s="764"/>
      <c r="I91" s="360"/>
      <c r="J91" s="360"/>
      <c r="K91" s="360"/>
      <c r="L91" s="360"/>
      <c r="M91" s="701"/>
      <c r="N91" s="327"/>
      <c r="O91" s="327"/>
      <c r="P91" s="327"/>
      <c r="Q91" s="327"/>
      <c r="R91" s="327"/>
      <c r="S91" s="327"/>
      <c r="T91" s="327"/>
      <c r="U91" s="327"/>
      <c r="V91" s="360"/>
      <c r="W91" s="360"/>
      <c r="X91" s="360"/>
      <c r="Y91" s="360"/>
      <c r="Z91" s="360"/>
      <c r="AA91" s="360"/>
      <c r="AB91" s="360"/>
      <c r="AC91" s="360"/>
      <c r="AD91" s="360"/>
      <c r="AE91" s="360"/>
      <c r="AF91" s="360"/>
      <c r="AG91" s="360"/>
      <c r="AH91" s="360"/>
      <c r="AI91" s="360"/>
      <c r="AJ91" s="360"/>
      <c r="AK91" s="360"/>
    </row>
    <row r="92" spans="1:37" s="362" customFormat="1">
      <c r="A92" s="360"/>
      <c r="B92" s="360"/>
      <c r="C92" s="360"/>
      <c r="D92" s="391"/>
      <c r="E92" s="360"/>
      <c r="F92" s="360"/>
      <c r="G92" s="360"/>
      <c r="H92" s="360"/>
      <c r="I92" s="360"/>
      <c r="J92" s="360"/>
      <c r="K92" s="360"/>
      <c r="L92" s="360"/>
      <c r="M92" s="701"/>
      <c r="N92" s="327"/>
      <c r="O92" s="327"/>
      <c r="P92" s="327"/>
      <c r="Q92" s="327"/>
      <c r="R92" s="327"/>
      <c r="S92" s="327"/>
      <c r="T92" s="327"/>
      <c r="U92" s="327"/>
      <c r="V92" s="360"/>
      <c r="W92" s="360"/>
      <c r="X92" s="360"/>
      <c r="Y92" s="360"/>
      <c r="Z92" s="360"/>
      <c r="AA92" s="360"/>
      <c r="AB92" s="360"/>
      <c r="AC92" s="360"/>
      <c r="AD92" s="360"/>
      <c r="AE92" s="360"/>
      <c r="AF92" s="360"/>
      <c r="AG92" s="360"/>
      <c r="AH92" s="360"/>
      <c r="AI92" s="360"/>
      <c r="AJ92" s="360"/>
      <c r="AK92" s="360"/>
    </row>
    <row r="93" spans="1:37" s="362" customFormat="1">
      <c r="A93" s="360"/>
      <c r="B93" s="360"/>
      <c r="C93" s="360"/>
      <c r="D93" s="391"/>
      <c r="E93" s="360"/>
      <c r="F93" s="360"/>
      <c r="G93" s="360"/>
      <c r="H93" s="360"/>
      <c r="I93" s="360"/>
      <c r="J93" s="360"/>
      <c r="K93" s="360"/>
      <c r="L93" s="360"/>
      <c r="M93" s="701"/>
      <c r="N93" s="327"/>
      <c r="O93" s="327"/>
      <c r="P93" s="327"/>
      <c r="Q93" s="327"/>
      <c r="R93" s="327"/>
      <c r="S93" s="327"/>
      <c r="T93" s="327"/>
      <c r="U93" s="327"/>
      <c r="V93" s="360"/>
      <c r="W93" s="360"/>
      <c r="X93" s="360"/>
      <c r="Y93" s="360"/>
      <c r="Z93" s="360"/>
      <c r="AA93" s="360"/>
      <c r="AB93" s="360"/>
      <c r="AC93" s="360"/>
      <c r="AD93" s="360"/>
      <c r="AE93" s="360"/>
      <c r="AF93" s="360"/>
      <c r="AG93" s="360"/>
      <c r="AH93" s="360"/>
      <c r="AI93" s="360"/>
      <c r="AJ93" s="360"/>
      <c r="AK93" s="360"/>
    </row>
    <row r="94" spans="1:37" s="362" customFormat="1">
      <c r="A94" s="360"/>
      <c r="B94" s="360"/>
      <c r="C94" s="360"/>
      <c r="D94" s="391"/>
      <c r="E94" s="360"/>
      <c r="F94" s="360"/>
      <c r="G94" s="360"/>
      <c r="H94" s="360"/>
      <c r="I94" s="360"/>
      <c r="J94" s="360"/>
      <c r="K94" s="360"/>
      <c r="L94" s="360"/>
      <c r="M94" s="701"/>
      <c r="N94" s="327"/>
      <c r="O94" s="327"/>
      <c r="P94" s="327"/>
      <c r="Q94" s="327"/>
      <c r="R94" s="327"/>
      <c r="S94" s="327"/>
      <c r="T94" s="327"/>
      <c r="U94" s="327"/>
      <c r="V94" s="360"/>
      <c r="W94" s="360"/>
      <c r="X94" s="360"/>
      <c r="Y94" s="360"/>
      <c r="Z94" s="360"/>
      <c r="AA94" s="360"/>
      <c r="AB94" s="360"/>
      <c r="AC94" s="360"/>
      <c r="AD94" s="360"/>
      <c r="AE94" s="360"/>
      <c r="AF94" s="360"/>
      <c r="AG94" s="360"/>
      <c r="AH94" s="360"/>
      <c r="AI94" s="360"/>
      <c r="AJ94" s="360"/>
      <c r="AK94" s="360"/>
    </row>
    <row r="95" spans="1:37" s="362" customFormat="1">
      <c r="A95" s="360"/>
      <c r="B95" s="360"/>
      <c r="C95" s="360"/>
      <c r="D95" s="391"/>
      <c r="E95" s="360"/>
      <c r="F95" s="360"/>
      <c r="G95" s="360"/>
      <c r="H95" s="360"/>
      <c r="I95" s="360"/>
      <c r="J95" s="360"/>
      <c r="K95" s="360"/>
      <c r="L95" s="360"/>
      <c r="M95" s="701"/>
      <c r="N95" s="327"/>
      <c r="O95" s="327"/>
      <c r="P95" s="327"/>
      <c r="Q95" s="327"/>
      <c r="R95" s="327"/>
      <c r="S95" s="327"/>
      <c r="T95" s="327"/>
      <c r="U95" s="327"/>
      <c r="V95" s="360"/>
      <c r="W95" s="360"/>
      <c r="X95" s="360"/>
      <c r="Y95" s="360"/>
      <c r="Z95" s="360"/>
      <c r="AA95" s="360"/>
      <c r="AB95" s="360"/>
      <c r="AC95" s="360"/>
      <c r="AD95" s="360"/>
      <c r="AE95" s="360"/>
      <c r="AF95" s="360"/>
      <c r="AG95" s="360"/>
      <c r="AH95" s="360"/>
      <c r="AI95" s="360"/>
      <c r="AJ95" s="360"/>
      <c r="AK95" s="360"/>
    </row>
    <row r="96" spans="1:37" s="362" customFormat="1">
      <c r="A96" s="360"/>
      <c r="B96" s="360"/>
      <c r="C96" s="360"/>
      <c r="D96" s="391"/>
      <c r="E96" s="360"/>
      <c r="F96" s="360"/>
      <c r="G96" s="360"/>
      <c r="H96" s="360"/>
      <c r="I96" s="360"/>
      <c r="J96" s="360"/>
      <c r="K96" s="360"/>
      <c r="L96" s="360"/>
      <c r="M96" s="328"/>
      <c r="N96" s="327"/>
      <c r="O96" s="327"/>
      <c r="P96" s="327"/>
      <c r="Q96" s="327"/>
      <c r="R96" s="327"/>
      <c r="S96" s="327"/>
      <c r="T96" s="327"/>
      <c r="U96" s="327"/>
      <c r="V96" s="360"/>
      <c r="W96" s="360"/>
      <c r="X96" s="360"/>
      <c r="Y96" s="360"/>
      <c r="Z96" s="360"/>
      <c r="AA96" s="360"/>
      <c r="AB96" s="360"/>
      <c r="AC96" s="360"/>
      <c r="AD96" s="360"/>
      <c r="AE96" s="360"/>
      <c r="AF96" s="360"/>
      <c r="AG96" s="360"/>
      <c r="AH96" s="360"/>
      <c r="AI96" s="360"/>
      <c r="AJ96" s="360"/>
      <c r="AK96" s="360"/>
    </row>
    <row r="97" spans="1:37" s="362" customFormat="1">
      <c r="A97" s="360"/>
      <c r="B97" s="360"/>
      <c r="C97" s="360"/>
      <c r="D97" s="391"/>
      <c r="E97" s="360"/>
      <c r="F97" s="360"/>
      <c r="G97" s="360"/>
      <c r="H97" s="360"/>
      <c r="I97" s="360"/>
      <c r="J97" s="360"/>
      <c r="K97" s="360"/>
      <c r="L97" s="360"/>
      <c r="M97" s="328"/>
      <c r="N97" s="327"/>
      <c r="O97" s="327"/>
      <c r="P97" s="327"/>
      <c r="Q97" s="327"/>
      <c r="R97" s="327"/>
      <c r="S97" s="327"/>
      <c r="T97" s="327"/>
      <c r="U97" s="327"/>
      <c r="V97" s="360"/>
      <c r="W97" s="360"/>
      <c r="X97" s="360"/>
      <c r="Y97" s="360"/>
      <c r="Z97" s="360"/>
      <c r="AA97" s="360"/>
      <c r="AB97" s="360"/>
      <c r="AC97" s="360"/>
      <c r="AD97" s="360"/>
      <c r="AE97" s="360"/>
      <c r="AF97" s="360"/>
      <c r="AG97" s="360"/>
      <c r="AH97" s="360"/>
      <c r="AI97" s="360"/>
      <c r="AJ97" s="360"/>
      <c r="AK97" s="360"/>
    </row>
    <row r="98" spans="1:37" s="362" customFormat="1">
      <c r="A98" s="360"/>
      <c r="B98" s="360"/>
      <c r="C98" s="360"/>
      <c r="D98" s="391"/>
      <c r="E98" s="360"/>
      <c r="F98" s="360"/>
      <c r="G98" s="360"/>
      <c r="H98" s="360"/>
      <c r="I98" s="360"/>
      <c r="J98" s="360"/>
      <c r="K98" s="360"/>
      <c r="L98" s="360"/>
      <c r="M98" s="328"/>
      <c r="N98" s="327"/>
      <c r="O98" s="327"/>
      <c r="P98" s="327"/>
      <c r="Q98" s="327"/>
      <c r="R98" s="327"/>
      <c r="S98" s="327"/>
      <c r="T98" s="327"/>
      <c r="U98" s="327"/>
      <c r="V98" s="360"/>
      <c r="W98" s="360"/>
      <c r="X98" s="360"/>
      <c r="Y98" s="360"/>
      <c r="Z98" s="360"/>
      <c r="AA98" s="360"/>
      <c r="AB98" s="360"/>
      <c r="AC98" s="360"/>
      <c r="AD98" s="360"/>
      <c r="AE98" s="360"/>
      <c r="AF98" s="360"/>
      <c r="AG98" s="360"/>
      <c r="AH98" s="360"/>
      <c r="AI98" s="360"/>
      <c r="AJ98" s="360"/>
      <c r="AK98" s="360"/>
    </row>
    <row r="99" spans="1:37" s="362" customFormat="1">
      <c r="A99" s="360"/>
      <c r="B99" s="360"/>
      <c r="C99" s="360"/>
      <c r="D99" s="391"/>
      <c r="E99" s="360"/>
      <c r="F99" s="360"/>
      <c r="G99" s="360"/>
      <c r="H99" s="360"/>
      <c r="I99" s="360"/>
      <c r="J99" s="360"/>
      <c r="K99" s="360"/>
      <c r="L99" s="360"/>
      <c r="M99" s="392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60"/>
      <c r="AB99" s="360"/>
      <c r="AC99" s="360"/>
      <c r="AD99" s="360"/>
      <c r="AE99" s="360"/>
      <c r="AF99" s="360"/>
      <c r="AG99" s="360"/>
      <c r="AH99" s="360"/>
      <c r="AI99" s="360"/>
      <c r="AJ99" s="360"/>
      <c r="AK99" s="360"/>
    </row>
    <row r="100" spans="1:37" s="362" customFormat="1">
      <c r="A100" s="360"/>
      <c r="B100" s="360"/>
      <c r="C100" s="360"/>
      <c r="D100" s="391"/>
      <c r="E100" s="360"/>
      <c r="F100" s="360"/>
      <c r="G100" s="360"/>
      <c r="H100" s="360"/>
      <c r="I100" s="360"/>
      <c r="J100" s="360"/>
      <c r="K100" s="360"/>
      <c r="L100" s="360"/>
      <c r="M100" s="392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60"/>
      <c r="AB100" s="360"/>
      <c r="AC100" s="360"/>
      <c r="AD100" s="360"/>
      <c r="AE100" s="360"/>
      <c r="AF100" s="360"/>
      <c r="AG100" s="360"/>
      <c r="AH100" s="360"/>
      <c r="AI100" s="360"/>
      <c r="AJ100" s="360"/>
      <c r="AK100" s="360"/>
    </row>
    <row r="101" spans="1:37" s="362" customFormat="1">
      <c r="A101" s="360"/>
      <c r="B101" s="360"/>
      <c r="C101" s="360"/>
      <c r="D101" s="391"/>
      <c r="E101" s="360"/>
      <c r="F101" s="360"/>
      <c r="G101" s="360"/>
      <c r="H101" s="360"/>
      <c r="I101" s="360"/>
      <c r="J101" s="360"/>
      <c r="K101" s="360"/>
      <c r="L101" s="360"/>
      <c r="M101" s="392"/>
      <c r="N101" s="360"/>
      <c r="O101" s="360"/>
      <c r="P101" s="360"/>
      <c r="Q101" s="360"/>
      <c r="R101" s="360"/>
      <c r="S101" s="360"/>
      <c r="T101" s="360"/>
      <c r="U101" s="360"/>
      <c r="V101" s="360"/>
      <c r="W101" s="360"/>
      <c r="X101" s="360"/>
      <c r="Y101" s="360"/>
      <c r="Z101" s="360"/>
      <c r="AA101" s="360"/>
      <c r="AB101" s="360"/>
      <c r="AC101" s="360"/>
      <c r="AD101" s="360"/>
      <c r="AE101" s="360"/>
      <c r="AF101" s="360"/>
      <c r="AG101" s="360"/>
      <c r="AH101" s="360"/>
      <c r="AI101" s="360"/>
      <c r="AJ101" s="360"/>
      <c r="AK101" s="360"/>
    </row>
    <row r="102" spans="1:37" s="362" customFormat="1">
      <c r="A102" s="360"/>
      <c r="B102" s="360"/>
      <c r="C102" s="360"/>
      <c r="D102" s="391"/>
      <c r="E102" s="360"/>
      <c r="F102" s="360"/>
      <c r="G102" s="360"/>
      <c r="H102" s="360"/>
      <c r="I102" s="360"/>
      <c r="J102" s="360"/>
      <c r="K102" s="360"/>
      <c r="L102" s="360"/>
      <c r="M102" s="392"/>
      <c r="N102" s="360"/>
      <c r="O102" s="360"/>
      <c r="P102" s="360"/>
      <c r="Q102" s="360"/>
      <c r="R102" s="360"/>
      <c r="S102" s="360"/>
      <c r="T102" s="360"/>
      <c r="U102" s="360"/>
      <c r="V102" s="360"/>
      <c r="W102" s="360"/>
      <c r="X102" s="360"/>
      <c r="Y102" s="360"/>
      <c r="Z102" s="360"/>
      <c r="AA102" s="360"/>
      <c r="AB102" s="360"/>
      <c r="AC102" s="360"/>
      <c r="AD102" s="360"/>
      <c r="AE102" s="360"/>
      <c r="AF102" s="360"/>
      <c r="AG102" s="360"/>
      <c r="AH102" s="360"/>
      <c r="AI102" s="360"/>
      <c r="AJ102" s="360"/>
      <c r="AK102" s="360"/>
    </row>
    <row r="103" spans="1:37" s="362" customFormat="1">
      <c r="A103" s="327"/>
      <c r="B103" s="360"/>
      <c r="C103" s="368"/>
      <c r="D103" s="393"/>
      <c r="E103" s="324"/>
      <c r="F103" s="321"/>
      <c r="G103" s="325"/>
      <c r="H103" s="321"/>
      <c r="I103" s="351"/>
      <c r="J103" s="322"/>
      <c r="K103" s="360"/>
      <c r="L103" s="394"/>
      <c r="M103" s="392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  <c r="Y103" s="360"/>
      <c r="Z103" s="360"/>
      <c r="AA103" s="360"/>
      <c r="AB103" s="360"/>
      <c r="AC103" s="360"/>
      <c r="AD103" s="360"/>
      <c r="AE103" s="360"/>
      <c r="AF103" s="360"/>
      <c r="AG103" s="360"/>
      <c r="AH103" s="360"/>
      <c r="AI103" s="360"/>
      <c r="AJ103" s="360"/>
      <c r="AK103" s="360"/>
    </row>
    <row r="104" spans="1:37" s="362" customFormat="1">
      <c r="A104" s="327"/>
      <c r="B104" s="1097"/>
      <c r="C104" s="322"/>
      <c r="D104" s="323"/>
      <c r="E104" s="360"/>
      <c r="F104" s="360"/>
      <c r="G104" s="360"/>
      <c r="H104" s="360"/>
      <c r="I104" s="360"/>
      <c r="J104" s="360"/>
      <c r="K104" s="360"/>
      <c r="L104" s="360"/>
      <c r="M104" s="397"/>
      <c r="N104" s="398"/>
      <c r="O104" s="398"/>
      <c r="P104" s="398"/>
      <c r="Q104" s="398"/>
      <c r="R104" s="398"/>
      <c r="S104" s="398"/>
      <c r="T104" s="398"/>
      <c r="U104" s="360"/>
      <c r="V104" s="360"/>
      <c r="W104" s="360"/>
      <c r="X104" s="360"/>
      <c r="Y104" s="360"/>
      <c r="Z104" s="360"/>
      <c r="AA104" s="360"/>
      <c r="AB104" s="360"/>
      <c r="AC104" s="360"/>
      <c r="AD104" s="360"/>
      <c r="AE104" s="360"/>
      <c r="AF104" s="360"/>
      <c r="AG104" s="360"/>
      <c r="AH104" s="360"/>
      <c r="AI104" s="360"/>
      <c r="AJ104" s="360"/>
      <c r="AK104" s="360"/>
    </row>
    <row r="105" spans="1:37" s="362" customFormat="1">
      <c r="A105" s="327"/>
      <c r="B105" s="1097"/>
      <c r="C105" s="322"/>
      <c r="D105" s="323"/>
      <c r="E105" s="360"/>
      <c r="F105" s="360"/>
      <c r="G105" s="360"/>
      <c r="H105" s="360"/>
      <c r="I105" s="360"/>
      <c r="J105" s="360"/>
      <c r="K105" s="360"/>
      <c r="L105" s="360"/>
      <c r="M105" s="392"/>
      <c r="N105" s="321"/>
      <c r="O105" s="321"/>
      <c r="P105" s="321"/>
      <c r="Q105" s="321"/>
      <c r="R105" s="321"/>
      <c r="S105" s="321"/>
      <c r="T105" s="321"/>
      <c r="U105" s="360"/>
      <c r="V105" s="360"/>
      <c r="W105" s="360"/>
      <c r="X105" s="360"/>
      <c r="Y105" s="360"/>
      <c r="Z105" s="360"/>
      <c r="AA105" s="360"/>
      <c r="AB105" s="360"/>
      <c r="AC105" s="360"/>
      <c r="AD105" s="360"/>
      <c r="AE105" s="360"/>
      <c r="AF105" s="360"/>
      <c r="AG105" s="360"/>
      <c r="AH105" s="360"/>
      <c r="AI105" s="360"/>
      <c r="AJ105" s="360"/>
      <c r="AK105" s="360"/>
    </row>
    <row r="106" spans="1:37" s="362" customFormat="1">
      <c r="A106" s="327"/>
      <c r="B106" s="327"/>
      <c r="C106" s="322"/>
      <c r="D106" s="323"/>
      <c r="E106" s="360"/>
      <c r="F106" s="360"/>
      <c r="G106" s="360"/>
      <c r="H106" s="360"/>
      <c r="I106" s="360"/>
      <c r="J106" s="360"/>
      <c r="K106" s="360"/>
      <c r="L106" s="360"/>
      <c r="M106" s="392"/>
      <c r="N106" s="321"/>
      <c r="O106" s="321"/>
      <c r="P106" s="321"/>
      <c r="Q106" s="321"/>
      <c r="R106" s="321"/>
      <c r="S106" s="321"/>
      <c r="T106" s="321"/>
      <c r="U106" s="360"/>
      <c r="V106" s="360"/>
      <c r="W106" s="360"/>
      <c r="X106" s="360"/>
      <c r="Y106" s="360"/>
      <c r="Z106" s="360"/>
      <c r="AA106" s="360"/>
      <c r="AB106" s="360"/>
      <c r="AC106" s="360"/>
      <c r="AD106" s="360"/>
      <c r="AE106" s="360"/>
      <c r="AF106" s="360"/>
      <c r="AG106" s="360"/>
      <c r="AH106" s="360"/>
      <c r="AI106" s="360"/>
      <c r="AJ106" s="360"/>
      <c r="AK106" s="360"/>
    </row>
    <row r="107" spans="1:37" s="399" customFormat="1">
      <c r="A107" s="395"/>
      <c r="B107" s="395"/>
      <c r="C107" s="322"/>
      <c r="D107" s="323"/>
      <c r="E107" s="360"/>
      <c r="F107" s="360"/>
      <c r="G107" s="360"/>
      <c r="H107" s="360"/>
      <c r="I107" s="360"/>
      <c r="J107" s="360"/>
      <c r="K107" s="360"/>
      <c r="L107" s="396"/>
      <c r="M107" s="392"/>
      <c r="N107" s="321"/>
      <c r="O107" s="321"/>
      <c r="P107" s="321"/>
      <c r="Q107" s="321"/>
      <c r="R107" s="321"/>
      <c r="S107" s="321"/>
      <c r="T107" s="321"/>
      <c r="U107" s="398"/>
      <c r="V107" s="398"/>
      <c r="W107" s="398"/>
      <c r="X107" s="398"/>
      <c r="Y107" s="398"/>
      <c r="Z107" s="398"/>
      <c r="AA107" s="398"/>
      <c r="AB107" s="398"/>
      <c r="AC107" s="398"/>
      <c r="AD107" s="398"/>
      <c r="AE107" s="398"/>
      <c r="AF107" s="398"/>
      <c r="AG107" s="398"/>
      <c r="AH107" s="398"/>
      <c r="AI107" s="398"/>
      <c r="AJ107" s="398"/>
      <c r="AK107" s="398"/>
    </row>
    <row r="108" spans="1:37">
      <c r="A108" s="326"/>
      <c r="B108" s="326"/>
      <c r="C108" s="322"/>
      <c r="D108" s="323"/>
      <c r="E108" s="360"/>
      <c r="F108" s="360"/>
      <c r="G108" s="360"/>
      <c r="H108" s="360"/>
      <c r="I108" s="360"/>
      <c r="J108" s="360"/>
      <c r="K108" s="360"/>
      <c r="L108" s="360"/>
      <c r="M108" s="392"/>
      <c r="N108" s="321"/>
      <c r="O108" s="321"/>
      <c r="P108" s="321"/>
      <c r="Q108" s="392"/>
      <c r="R108" s="321"/>
      <c r="S108" s="321"/>
      <c r="T108" s="321"/>
      <c r="U108" s="321"/>
      <c r="V108" s="321"/>
    </row>
    <row r="109" spans="1:37">
      <c r="A109" s="326"/>
      <c r="B109" s="326"/>
      <c r="C109" s="322"/>
      <c r="D109" s="323"/>
      <c r="E109" s="360"/>
      <c r="F109" s="360"/>
      <c r="G109" s="360"/>
      <c r="H109" s="360"/>
      <c r="I109" s="360"/>
      <c r="J109" s="360"/>
      <c r="K109" s="360"/>
      <c r="L109" s="360"/>
      <c r="M109" s="392"/>
      <c r="N109" s="321"/>
      <c r="O109" s="321"/>
      <c r="P109" s="321"/>
      <c r="Q109" s="392"/>
      <c r="R109" s="321"/>
      <c r="S109" s="321"/>
      <c r="T109" s="321"/>
      <c r="U109" s="321"/>
      <c r="V109" s="321"/>
    </row>
    <row r="110" spans="1:37" ht="23.25" customHeight="1">
      <c r="A110" s="326"/>
      <c r="B110" s="326"/>
      <c r="C110" s="322"/>
      <c r="D110" s="323"/>
      <c r="E110" s="360"/>
      <c r="F110" s="360"/>
      <c r="G110" s="360"/>
      <c r="H110" s="360"/>
      <c r="I110" s="360"/>
      <c r="J110" s="360"/>
      <c r="K110" s="360"/>
      <c r="L110" s="360"/>
      <c r="M110" s="392"/>
      <c r="N110" s="321"/>
      <c r="O110" s="321"/>
      <c r="P110" s="321"/>
      <c r="Q110" s="392"/>
      <c r="R110" s="321"/>
      <c r="S110" s="321"/>
      <c r="T110" s="321"/>
      <c r="U110" s="321"/>
      <c r="V110" s="321"/>
    </row>
    <row r="111" spans="1:37" ht="15.75" customHeight="1">
      <c r="A111" s="326"/>
      <c r="B111" s="321"/>
      <c r="C111" s="322"/>
      <c r="D111" s="323"/>
      <c r="E111" s="360"/>
      <c r="F111" s="360"/>
      <c r="G111" s="360"/>
      <c r="H111" s="360"/>
      <c r="I111" s="360"/>
      <c r="J111" s="360"/>
      <c r="K111" s="360"/>
      <c r="L111" s="360"/>
      <c r="M111" s="392"/>
      <c r="N111" s="321"/>
      <c r="O111" s="321"/>
      <c r="P111" s="321"/>
      <c r="Q111" s="392"/>
      <c r="R111" s="321"/>
      <c r="S111" s="321"/>
      <c r="T111" s="321"/>
      <c r="U111" s="321"/>
      <c r="V111" s="321"/>
    </row>
    <row r="112" spans="1:37" ht="15.75" customHeight="1">
      <c r="A112" s="321"/>
      <c r="B112" s="321"/>
      <c r="C112" s="322"/>
      <c r="D112" s="323"/>
      <c r="E112" s="324"/>
      <c r="F112" s="321"/>
      <c r="G112" s="325"/>
      <c r="H112" s="321"/>
      <c r="I112" s="321"/>
      <c r="J112" s="322"/>
      <c r="K112" s="321"/>
      <c r="L112" s="360"/>
      <c r="M112" s="392"/>
      <c r="N112" s="321"/>
      <c r="O112" s="321"/>
      <c r="P112" s="321"/>
      <c r="Q112" s="392"/>
      <c r="R112" s="321"/>
      <c r="S112" s="321"/>
      <c r="T112" s="321"/>
      <c r="U112" s="321"/>
      <c r="V112" s="321"/>
    </row>
    <row r="113" spans="1:22" ht="15.75" customHeight="1">
      <c r="A113" s="321"/>
      <c r="B113" s="321"/>
      <c r="C113" s="322"/>
      <c r="D113" s="323"/>
      <c r="E113" s="324"/>
      <c r="F113" s="321"/>
      <c r="G113" s="325"/>
      <c r="H113" s="321"/>
      <c r="I113" s="321"/>
      <c r="J113" s="322"/>
      <c r="K113" s="321"/>
      <c r="L113" s="360"/>
      <c r="M113" s="392"/>
      <c r="N113" s="321"/>
      <c r="O113" s="321"/>
      <c r="P113" s="321"/>
      <c r="Q113" s="392"/>
      <c r="R113" s="321"/>
      <c r="S113" s="321"/>
      <c r="T113" s="321"/>
      <c r="U113" s="321"/>
      <c r="V113" s="321"/>
    </row>
    <row r="114" spans="1:22">
      <c r="A114" s="321"/>
      <c r="B114" s="321"/>
      <c r="C114" s="322"/>
      <c r="D114" s="323"/>
      <c r="E114" s="324"/>
      <c r="F114" s="321"/>
      <c r="G114" s="325"/>
      <c r="H114" s="321"/>
      <c r="I114" s="321"/>
      <c r="J114" s="322"/>
      <c r="K114" s="321"/>
      <c r="L114" s="360"/>
      <c r="M114" s="392"/>
      <c r="N114" s="321"/>
      <c r="O114" s="321"/>
      <c r="P114" s="321"/>
      <c r="Q114" s="392"/>
      <c r="R114" s="321"/>
      <c r="S114" s="321"/>
      <c r="T114" s="321"/>
      <c r="U114" s="321"/>
      <c r="V114" s="321"/>
    </row>
    <row r="115" spans="1:22">
      <c r="A115" s="321"/>
      <c r="B115" s="321"/>
      <c r="C115" s="322"/>
      <c r="D115" s="323"/>
      <c r="E115" s="324"/>
      <c r="F115" s="321"/>
      <c r="G115" s="325"/>
      <c r="H115" s="321"/>
      <c r="I115" s="321"/>
      <c r="J115" s="322"/>
      <c r="K115" s="321"/>
      <c r="L115" s="360"/>
      <c r="M115" s="392"/>
      <c r="N115" s="321"/>
      <c r="O115" s="321"/>
      <c r="P115" s="321"/>
      <c r="Q115" s="392"/>
      <c r="R115" s="321"/>
      <c r="S115" s="321"/>
      <c r="T115" s="321"/>
      <c r="U115" s="321"/>
      <c r="V115" s="321"/>
    </row>
    <row r="116" spans="1:22">
      <c r="A116" s="321"/>
      <c r="B116" s="321"/>
      <c r="C116" s="322"/>
      <c r="D116" s="323"/>
      <c r="E116" s="324"/>
      <c r="F116" s="321"/>
      <c r="G116" s="325"/>
      <c r="H116" s="321"/>
      <c r="I116" s="321"/>
      <c r="J116" s="322"/>
      <c r="K116" s="321"/>
      <c r="L116" s="360"/>
      <c r="M116" s="392"/>
      <c r="N116" s="321"/>
      <c r="O116" s="321"/>
      <c r="P116" s="321"/>
      <c r="Q116" s="392"/>
      <c r="R116" s="321"/>
      <c r="S116" s="321"/>
      <c r="T116" s="321"/>
      <c r="U116" s="321"/>
      <c r="V116" s="321"/>
    </row>
    <row r="117" spans="1:22">
      <c r="A117" s="321"/>
      <c r="B117" s="321"/>
      <c r="C117" s="322"/>
      <c r="D117" s="323"/>
      <c r="E117" s="324"/>
      <c r="F117" s="321"/>
      <c r="G117" s="325"/>
      <c r="H117" s="321"/>
      <c r="I117" s="321"/>
      <c r="J117" s="322"/>
      <c r="K117" s="321"/>
      <c r="L117" s="360"/>
      <c r="M117" s="392"/>
      <c r="N117" s="321"/>
      <c r="O117" s="321"/>
      <c r="P117" s="321"/>
      <c r="Q117" s="321"/>
      <c r="R117" s="321"/>
      <c r="S117" s="321"/>
      <c r="T117" s="321"/>
      <c r="U117" s="321"/>
      <c r="V117" s="321"/>
    </row>
    <row r="118" spans="1:22">
      <c r="A118" s="321"/>
      <c r="B118" s="321"/>
      <c r="C118" s="322"/>
      <c r="D118" s="323"/>
      <c r="E118" s="324"/>
      <c r="F118" s="321"/>
      <c r="G118" s="325"/>
      <c r="H118" s="321"/>
      <c r="I118" s="321"/>
      <c r="J118" s="322"/>
      <c r="K118" s="321"/>
      <c r="L118" s="360"/>
      <c r="M118" s="392"/>
      <c r="N118" s="321"/>
      <c r="O118" s="321"/>
      <c r="P118" s="321"/>
      <c r="Q118" s="321"/>
      <c r="R118" s="321"/>
      <c r="S118" s="321"/>
      <c r="T118" s="321"/>
      <c r="U118" s="321"/>
      <c r="V118" s="321"/>
    </row>
    <row r="119" spans="1:22">
      <c r="A119" s="321"/>
      <c r="B119" s="321"/>
      <c r="C119" s="322"/>
      <c r="D119" s="323"/>
      <c r="E119" s="324"/>
      <c r="F119" s="321"/>
      <c r="G119" s="325"/>
      <c r="H119" s="321"/>
      <c r="I119" s="321"/>
      <c r="J119" s="322"/>
      <c r="K119" s="321"/>
      <c r="L119" s="360"/>
      <c r="M119" s="392"/>
      <c r="N119" s="321"/>
      <c r="O119" s="321"/>
      <c r="P119" s="321"/>
      <c r="Q119" s="321"/>
      <c r="R119" s="321"/>
      <c r="S119" s="321"/>
      <c r="T119" s="321"/>
      <c r="U119" s="321"/>
      <c r="V119" s="321"/>
    </row>
    <row r="120" spans="1:22" ht="15.75" customHeight="1">
      <c r="A120" s="321"/>
      <c r="B120" s="321"/>
      <c r="C120" s="322"/>
      <c r="D120" s="323"/>
      <c r="E120" s="324"/>
      <c r="F120" s="321"/>
      <c r="G120" s="325"/>
      <c r="H120" s="321"/>
      <c r="I120" s="321"/>
      <c r="J120" s="322"/>
      <c r="K120" s="321"/>
      <c r="L120" s="360"/>
      <c r="M120" s="392"/>
      <c r="N120" s="321"/>
      <c r="O120" s="321"/>
      <c r="P120" s="321"/>
      <c r="Q120" s="321"/>
      <c r="R120" s="321"/>
      <c r="S120" s="321"/>
      <c r="T120" s="321"/>
      <c r="U120" s="321"/>
      <c r="V120" s="321"/>
    </row>
    <row r="121" spans="1:22">
      <c r="A121" s="321"/>
      <c r="B121" s="321"/>
      <c r="C121" s="322"/>
      <c r="D121" s="323"/>
      <c r="E121" s="324"/>
      <c r="F121" s="321"/>
      <c r="G121" s="325"/>
      <c r="H121" s="321"/>
      <c r="I121" s="321"/>
      <c r="J121" s="322"/>
      <c r="K121" s="321"/>
      <c r="L121" s="360"/>
      <c r="M121" s="392"/>
      <c r="N121" s="321"/>
      <c r="O121" s="321"/>
      <c r="P121" s="321"/>
      <c r="Q121" s="321"/>
      <c r="R121" s="321"/>
      <c r="S121" s="321"/>
      <c r="T121" s="321"/>
      <c r="U121" s="321"/>
      <c r="V121" s="321"/>
    </row>
    <row r="122" spans="1:22">
      <c r="A122" s="321"/>
      <c r="B122" s="321"/>
      <c r="C122" s="322"/>
      <c r="D122" s="323"/>
      <c r="E122" s="324"/>
      <c r="F122" s="321"/>
      <c r="G122" s="325"/>
      <c r="H122" s="321"/>
      <c r="I122" s="321"/>
      <c r="J122" s="322"/>
      <c r="K122" s="321"/>
      <c r="L122" s="360"/>
      <c r="M122" s="392"/>
      <c r="N122" s="321"/>
      <c r="O122" s="321"/>
      <c r="P122" s="321"/>
      <c r="Q122" s="321"/>
      <c r="R122" s="321"/>
      <c r="S122" s="321"/>
      <c r="T122" s="321"/>
      <c r="U122" s="321"/>
      <c r="V122" s="321"/>
    </row>
    <row r="123" spans="1:22">
      <c r="A123" s="321"/>
      <c r="B123" s="321"/>
      <c r="C123" s="322"/>
      <c r="D123" s="323"/>
      <c r="E123" s="324"/>
      <c r="F123" s="321"/>
      <c r="G123" s="325"/>
      <c r="H123" s="321"/>
      <c r="I123" s="321"/>
      <c r="J123" s="322"/>
      <c r="K123" s="321"/>
      <c r="L123" s="360"/>
      <c r="M123" s="392"/>
      <c r="N123" s="321"/>
      <c r="O123" s="321"/>
      <c r="P123" s="321"/>
      <c r="Q123" s="321"/>
      <c r="R123" s="321"/>
      <c r="S123" s="321"/>
      <c r="T123" s="321"/>
      <c r="U123" s="321"/>
      <c r="V123" s="321"/>
    </row>
    <row r="124" spans="1:22">
      <c r="A124" s="321"/>
      <c r="B124" s="321"/>
      <c r="C124" s="322"/>
      <c r="D124" s="323"/>
      <c r="E124" s="324"/>
      <c r="F124" s="321"/>
      <c r="G124" s="325"/>
      <c r="H124" s="321"/>
      <c r="I124" s="321"/>
      <c r="J124" s="322"/>
      <c r="K124" s="321"/>
      <c r="L124" s="360"/>
      <c r="M124" s="392"/>
      <c r="N124" s="321"/>
      <c r="O124" s="321"/>
      <c r="P124" s="321"/>
      <c r="Q124" s="321"/>
      <c r="R124" s="321"/>
      <c r="S124" s="321"/>
      <c r="T124" s="321"/>
      <c r="U124" s="321"/>
      <c r="V124" s="321"/>
    </row>
    <row r="125" spans="1:22">
      <c r="A125" s="321"/>
      <c r="B125" s="321"/>
      <c r="C125" s="322"/>
      <c r="D125" s="323"/>
      <c r="E125" s="324"/>
      <c r="F125" s="321"/>
      <c r="G125" s="325"/>
      <c r="H125" s="321"/>
      <c r="I125" s="321"/>
      <c r="J125" s="322"/>
      <c r="K125" s="321"/>
      <c r="L125" s="360"/>
      <c r="M125" s="392"/>
      <c r="N125" s="321"/>
      <c r="O125" s="321"/>
      <c r="P125" s="321"/>
      <c r="Q125" s="368"/>
      <c r="R125" s="321"/>
      <c r="S125" s="321"/>
      <c r="T125" s="321"/>
      <c r="U125" s="321"/>
      <c r="V125" s="321"/>
    </row>
    <row r="126" spans="1:22">
      <c r="A126" s="321"/>
      <c r="B126" s="321"/>
      <c r="C126" s="322"/>
      <c r="D126" s="323"/>
      <c r="E126" s="324"/>
      <c r="F126" s="321"/>
      <c r="G126" s="325"/>
      <c r="H126" s="321"/>
      <c r="I126" s="321"/>
      <c r="J126" s="322"/>
      <c r="K126" s="321"/>
      <c r="L126" s="360"/>
      <c r="M126" s="392"/>
      <c r="N126" s="321"/>
      <c r="O126" s="321"/>
      <c r="P126" s="321"/>
      <c r="Q126" s="321"/>
      <c r="R126" s="321"/>
      <c r="S126" s="321"/>
      <c r="T126" s="321"/>
      <c r="U126" s="321"/>
      <c r="V126" s="321"/>
    </row>
    <row r="127" spans="1:22">
      <c r="A127" s="321"/>
      <c r="B127" s="321"/>
      <c r="C127" s="322"/>
      <c r="D127" s="323"/>
      <c r="E127" s="324"/>
      <c r="F127" s="321"/>
      <c r="G127" s="325"/>
      <c r="H127" s="321"/>
      <c r="I127" s="321"/>
      <c r="J127" s="322"/>
      <c r="K127" s="321"/>
      <c r="L127" s="360"/>
      <c r="M127" s="392"/>
      <c r="N127" s="321"/>
      <c r="O127" s="321"/>
      <c r="P127" s="321"/>
      <c r="Q127" s="321"/>
      <c r="R127" s="321"/>
      <c r="S127" s="321"/>
      <c r="T127" s="321"/>
      <c r="U127" s="321"/>
      <c r="V127" s="321"/>
    </row>
    <row r="128" spans="1:22">
      <c r="A128" s="321"/>
      <c r="B128" s="321"/>
      <c r="C128" s="322"/>
      <c r="D128" s="323"/>
      <c r="E128" s="324"/>
      <c r="F128" s="321"/>
      <c r="G128" s="325"/>
      <c r="H128" s="321"/>
      <c r="I128" s="321"/>
      <c r="J128" s="322"/>
      <c r="K128" s="321"/>
      <c r="L128" s="360"/>
      <c r="M128" s="392"/>
      <c r="N128" s="321"/>
      <c r="O128" s="321"/>
      <c r="P128" s="321"/>
      <c r="Q128" s="321"/>
      <c r="R128" s="321"/>
      <c r="S128" s="321"/>
      <c r="T128" s="321"/>
      <c r="U128" s="321"/>
      <c r="V128" s="321"/>
    </row>
    <row r="129" spans="1:22">
      <c r="A129" s="321"/>
      <c r="B129" s="321"/>
      <c r="C129" s="322"/>
      <c r="D129" s="323"/>
      <c r="E129" s="324"/>
      <c r="F129" s="321"/>
      <c r="G129" s="325"/>
      <c r="H129" s="321"/>
      <c r="I129" s="321"/>
      <c r="J129" s="322"/>
      <c r="K129" s="321"/>
      <c r="L129" s="360"/>
      <c r="M129" s="392"/>
      <c r="N129" s="321"/>
      <c r="O129" s="321"/>
      <c r="P129" s="321"/>
      <c r="Q129" s="321"/>
      <c r="R129" s="321"/>
      <c r="S129" s="321"/>
      <c r="T129" s="321"/>
      <c r="U129" s="321"/>
      <c r="V129" s="321"/>
    </row>
    <row r="130" spans="1:22">
      <c r="A130" s="321"/>
      <c r="B130" s="321"/>
      <c r="C130" s="322"/>
      <c r="D130" s="323"/>
      <c r="E130" s="324"/>
      <c r="F130" s="321"/>
      <c r="G130" s="325"/>
      <c r="H130" s="321"/>
      <c r="I130" s="321"/>
      <c r="J130" s="322"/>
      <c r="K130" s="321"/>
      <c r="L130" s="360"/>
      <c r="M130" s="392"/>
      <c r="N130" s="321"/>
      <c r="O130" s="321"/>
      <c r="P130" s="321"/>
      <c r="Q130" s="321"/>
      <c r="R130" s="321"/>
      <c r="S130" s="321"/>
      <c r="T130" s="321"/>
      <c r="U130" s="321"/>
      <c r="V130" s="321"/>
    </row>
    <row r="131" spans="1:22">
      <c r="A131" s="321"/>
      <c r="B131" s="321"/>
      <c r="C131" s="322"/>
      <c r="D131" s="323"/>
      <c r="E131" s="324"/>
      <c r="F131" s="321"/>
      <c r="G131" s="325"/>
      <c r="H131" s="321"/>
      <c r="I131" s="321"/>
      <c r="J131" s="322"/>
      <c r="K131" s="321"/>
      <c r="L131" s="360"/>
      <c r="M131" s="392"/>
      <c r="N131" s="321"/>
      <c r="O131" s="321"/>
      <c r="P131" s="321"/>
      <c r="Q131" s="321"/>
      <c r="R131" s="321"/>
      <c r="S131" s="321"/>
      <c r="T131" s="321"/>
      <c r="U131" s="321"/>
      <c r="V131" s="321"/>
    </row>
    <row r="132" spans="1:22">
      <c r="A132" s="321"/>
      <c r="B132" s="321"/>
      <c r="C132" s="322"/>
      <c r="D132" s="323"/>
      <c r="E132" s="324"/>
      <c r="F132" s="321"/>
      <c r="G132" s="325"/>
      <c r="H132" s="321"/>
      <c r="I132" s="321"/>
      <c r="J132" s="322"/>
      <c r="K132" s="321"/>
      <c r="L132" s="360"/>
      <c r="M132" s="392"/>
      <c r="N132" s="321"/>
      <c r="O132" s="321"/>
      <c r="P132" s="321"/>
      <c r="Q132" s="321"/>
      <c r="R132" s="321"/>
      <c r="S132" s="321"/>
      <c r="T132" s="321"/>
      <c r="U132" s="321"/>
      <c r="V132" s="321"/>
    </row>
    <row r="133" spans="1:22">
      <c r="A133" s="321"/>
      <c r="B133" s="321"/>
      <c r="C133" s="322"/>
      <c r="D133" s="323"/>
      <c r="E133" s="324"/>
      <c r="F133" s="321"/>
      <c r="G133" s="325"/>
      <c r="H133" s="321"/>
      <c r="I133" s="321"/>
      <c r="J133" s="322"/>
      <c r="K133" s="321"/>
      <c r="L133" s="360"/>
      <c r="M133" s="392"/>
      <c r="N133" s="321"/>
      <c r="O133" s="321"/>
      <c r="P133" s="321"/>
      <c r="Q133" s="321"/>
      <c r="R133" s="321"/>
      <c r="S133" s="321"/>
      <c r="T133" s="321"/>
      <c r="U133" s="321"/>
      <c r="V133" s="321"/>
    </row>
    <row r="134" spans="1:22">
      <c r="A134" s="321"/>
      <c r="B134" s="321"/>
      <c r="C134" s="322"/>
      <c r="D134" s="323"/>
      <c r="E134" s="324"/>
      <c r="F134" s="321"/>
      <c r="G134" s="325"/>
      <c r="H134" s="321"/>
      <c r="I134" s="321"/>
      <c r="J134" s="322"/>
      <c r="K134" s="321"/>
      <c r="L134" s="360"/>
      <c r="M134" s="392"/>
      <c r="N134" s="321"/>
      <c r="O134" s="321"/>
      <c r="P134" s="321"/>
      <c r="Q134" s="321"/>
      <c r="R134" s="321"/>
      <c r="S134" s="321"/>
      <c r="T134" s="321"/>
      <c r="U134" s="321"/>
      <c r="V134" s="321"/>
    </row>
    <row r="135" spans="1:22">
      <c r="A135" s="321"/>
      <c r="B135" s="321"/>
      <c r="C135" s="322"/>
      <c r="D135" s="323"/>
      <c r="E135" s="324"/>
      <c r="F135" s="321"/>
      <c r="G135" s="325"/>
      <c r="H135" s="321"/>
      <c r="I135" s="321"/>
      <c r="J135" s="322"/>
      <c r="K135" s="321"/>
      <c r="L135" s="360"/>
      <c r="M135" s="392"/>
      <c r="N135" s="321"/>
      <c r="O135" s="321"/>
      <c r="P135" s="321"/>
      <c r="Q135" s="321"/>
      <c r="R135" s="321"/>
      <c r="S135" s="321"/>
      <c r="T135" s="321"/>
      <c r="U135" s="321"/>
      <c r="V135" s="321"/>
    </row>
    <row r="136" spans="1:22">
      <c r="A136" s="321"/>
      <c r="B136" s="321"/>
      <c r="C136" s="322"/>
      <c r="D136" s="323"/>
      <c r="E136" s="324"/>
      <c r="F136" s="321"/>
      <c r="G136" s="325"/>
      <c r="H136" s="321"/>
      <c r="I136" s="321"/>
      <c r="J136" s="322"/>
      <c r="K136" s="321"/>
      <c r="L136" s="360"/>
      <c r="M136" s="392"/>
      <c r="N136" s="321"/>
      <c r="O136" s="321"/>
      <c r="P136" s="321"/>
      <c r="Q136" s="321"/>
      <c r="R136" s="321"/>
      <c r="S136" s="321"/>
      <c r="T136" s="321"/>
      <c r="U136" s="321"/>
      <c r="V136" s="321"/>
    </row>
    <row r="137" spans="1:22">
      <c r="A137" s="321"/>
      <c r="B137" s="321"/>
      <c r="C137" s="322"/>
      <c r="D137" s="323"/>
      <c r="E137" s="324"/>
      <c r="F137" s="321"/>
      <c r="G137" s="325"/>
      <c r="H137" s="321"/>
      <c r="I137" s="321"/>
      <c r="J137" s="322"/>
      <c r="K137" s="321"/>
      <c r="L137" s="360"/>
      <c r="M137" s="392"/>
      <c r="N137" s="321"/>
      <c r="O137" s="321"/>
      <c r="P137" s="321"/>
      <c r="Q137" s="321"/>
      <c r="R137" s="321"/>
      <c r="S137" s="321"/>
      <c r="T137" s="321"/>
      <c r="U137" s="321"/>
      <c r="V137" s="321"/>
    </row>
    <row r="138" spans="1:22">
      <c r="A138" s="321"/>
      <c r="B138" s="321"/>
      <c r="C138" s="322"/>
      <c r="D138" s="323"/>
      <c r="E138" s="324"/>
      <c r="F138" s="321"/>
      <c r="G138" s="325"/>
      <c r="H138" s="321"/>
      <c r="I138" s="321"/>
      <c r="J138" s="322"/>
      <c r="K138" s="321"/>
      <c r="L138" s="360"/>
      <c r="M138" s="392"/>
      <c r="N138" s="321"/>
      <c r="O138" s="321"/>
      <c r="P138" s="321"/>
      <c r="Q138" s="321"/>
      <c r="R138" s="321"/>
      <c r="S138" s="321"/>
      <c r="T138" s="321"/>
      <c r="U138" s="321"/>
      <c r="V138" s="321"/>
    </row>
    <row r="139" spans="1:22">
      <c r="A139" s="321"/>
      <c r="B139" s="321"/>
      <c r="C139" s="322"/>
      <c r="D139" s="323"/>
      <c r="E139" s="324"/>
      <c r="F139" s="321"/>
      <c r="G139" s="325"/>
      <c r="H139" s="321"/>
      <c r="I139" s="321"/>
      <c r="J139" s="322"/>
      <c r="K139" s="321"/>
      <c r="L139" s="360"/>
      <c r="M139" s="392"/>
      <c r="N139" s="321"/>
      <c r="O139" s="321"/>
      <c r="P139" s="321"/>
      <c r="Q139" s="321"/>
      <c r="R139" s="321"/>
      <c r="S139" s="321"/>
      <c r="T139" s="321"/>
      <c r="U139" s="321"/>
      <c r="V139" s="321"/>
    </row>
    <row r="140" spans="1:22">
      <c r="A140" s="321"/>
      <c r="B140" s="321"/>
      <c r="C140" s="322"/>
      <c r="D140" s="323"/>
      <c r="E140" s="324"/>
      <c r="F140" s="321"/>
      <c r="G140" s="325"/>
      <c r="H140" s="321"/>
      <c r="I140" s="321"/>
      <c r="J140" s="322"/>
      <c r="K140" s="321"/>
      <c r="L140" s="360"/>
      <c r="M140" s="392"/>
      <c r="N140" s="321"/>
      <c r="O140" s="321"/>
      <c r="P140" s="321"/>
      <c r="Q140" s="321"/>
      <c r="R140" s="321"/>
      <c r="S140" s="321"/>
      <c r="T140" s="321"/>
      <c r="U140" s="321"/>
      <c r="V140" s="321"/>
    </row>
    <row r="141" spans="1:22">
      <c r="A141" s="321"/>
      <c r="B141" s="321"/>
      <c r="C141" s="322"/>
      <c r="D141" s="323"/>
      <c r="E141" s="324"/>
      <c r="F141" s="321"/>
      <c r="G141" s="325"/>
      <c r="H141" s="321"/>
      <c r="I141" s="321"/>
      <c r="J141" s="322"/>
      <c r="K141" s="321"/>
      <c r="L141" s="360"/>
      <c r="M141" s="392"/>
      <c r="N141" s="321"/>
      <c r="O141" s="321"/>
      <c r="P141" s="321"/>
      <c r="Q141" s="321"/>
      <c r="R141" s="321"/>
      <c r="S141" s="321"/>
      <c r="T141" s="321"/>
      <c r="U141" s="321"/>
      <c r="V141" s="321"/>
    </row>
    <row r="142" spans="1:22">
      <c r="A142" s="321"/>
      <c r="B142" s="321"/>
      <c r="C142" s="322"/>
      <c r="D142" s="323"/>
      <c r="E142" s="324"/>
      <c r="F142" s="321"/>
      <c r="G142" s="325"/>
      <c r="H142" s="321"/>
      <c r="I142" s="321"/>
      <c r="J142" s="322"/>
      <c r="K142" s="321"/>
      <c r="L142" s="360"/>
      <c r="M142" s="392"/>
      <c r="N142" s="321"/>
      <c r="O142" s="321"/>
      <c r="P142" s="321"/>
      <c r="Q142" s="321"/>
      <c r="R142" s="321"/>
      <c r="S142" s="321"/>
      <c r="T142" s="321"/>
      <c r="U142" s="321"/>
      <c r="V142" s="321"/>
    </row>
    <row r="143" spans="1:22">
      <c r="A143" s="321"/>
      <c r="B143" s="321"/>
      <c r="C143" s="322"/>
      <c r="D143" s="323"/>
      <c r="E143" s="324"/>
      <c r="F143" s="321"/>
      <c r="G143" s="325"/>
      <c r="H143" s="321"/>
      <c r="I143" s="321"/>
      <c r="J143" s="322"/>
      <c r="K143" s="321"/>
      <c r="L143" s="360"/>
      <c r="M143" s="392"/>
      <c r="N143" s="321"/>
      <c r="O143" s="321"/>
      <c r="P143" s="321"/>
      <c r="Q143" s="321"/>
      <c r="R143" s="321"/>
      <c r="S143" s="321"/>
      <c r="T143" s="321"/>
      <c r="U143" s="321"/>
      <c r="V143" s="321"/>
    </row>
    <row r="144" spans="1:22">
      <c r="A144" s="321"/>
      <c r="B144" s="321"/>
      <c r="C144" s="322"/>
      <c r="D144" s="323"/>
      <c r="E144" s="324"/>
      <c r="F144" s="321"/>
      <c r="G144" s="325"/>
      <c r="H144" s="321"/>
      <c r="I144" s="321"/>
      <c r="J144" s="322"/>
      <c r="K144" s="321"/>
      <c r="L144" s="360"/>
      <c r="M144" s="392"/>
      <c r="N144" s="321"/>
      <c r="O144" s="321"/>
      <c r="P144" s="321"/>
      <c r="Q144" s="321"/>
      <c r="R144" s="321"/>
      <c r="S144" s="321"/>
      <c r="T144" s="321"/>
      <c r="U144" s="321"/>
      <c r="V144" s="321"/>
    </row>
    <row r="145" spans="1:22">
      <c r="A145" s="321"/>
      <c r="B145" s="321"/>
      <c r="C145" s="322"/>
      <c r="D145" s="323"/>
      <c r="E145" s="324"/>
      <c r="F145" s="321"/>
      <c r="G145" s="325"/>
      <c r="H145" s="321"/>
      <c r="I145" s="321"/>
      <c r="J145" s="322"/>
      <c r="K145" s="321"/>
      <c r="L145" s="360"/>
      <c r="M145" s="392"/>
      <c r="N145" s="321"/>
      <c r="O145" s="321"/>
      <c r="P145" s="321"/>
      <c r="Q145" s="321"/>
      <c r="R145" s="321"/>
      <c r="S145" s="321"/>
      <c r="T145" s="321"/>
      <c r="U145" s="321"/>
      <c r="V145" s="321"/>
    </row>
    <row r="146" spans="1:22">
      <c r="A146" s="321"/>
      <c r="B146" s="321"/>
      <c r="C146" s="322"/>
      <c r="D146" s="323"/>
      <c r="E146" s="324"/>
      <c r="F146" s="321"/>
      <c r="G146" s="325"/>
      <c r="H146" s="321"/>
      <c r="I146" s="321"/>
      <c r="J146" s="322"/>
      <c r="K146" s="321"/>
      <c r="L146" s="360"/>
      <c r="M146" s="392"/>
      <c r="N146" s="321"/>
      <c r="O146" s="321"/>
      <c r="P146" s="321"/>
      <c r="Q146" s="321"/>
      <c r="R146" s="321"/>
      <c r="S146" s="321"/>
      <c r="T146" s="321"/>
      <c r="U146" s="321"/>
      <c r="V146" s="321"/>
    </row>
    <row r="147" spans="1:22">
      <c r="A147" s="321"/>
      <c r="B147" s="321"/>
      <c r="C147" s="322"/>
      <c r="D147" s="323"/>
      <c r="E147" s="324"/>
      <c r="F147" s="321"/>
      <c r="G147" s="325"/>
      <c r="H147" s="321"/>
      <c r="I147" s="321"/>
      <c r="J147" s="322"/>
      <c r="K147" s="321"/>
      <c r="L147" s="360"/>
      <c r="M147" s="392"/>
      <c r="N147" s="321"/>
      <c r="O147" s="321"/>
      <c r="P147" s="321"/>
      <c r="Q147" s="321"/>
      <c r="R147" s="321"/>
      <c r="S147" s="321"/>
      <c r="T147" s="321"/>
      <c r="U147" s="321"/>
      <c r="V147" s="321"/>
    </row>
    <row r="148" spans="1:22">
      <c r="A148" s="321"/>
      <c r="B148" s="321"/>
      <c r="C148" s="322"/>
      <c r="D148" s="323"/>
      <c r="E148" s="324"/>
      <c r="F148" s="321"/>
      <c r="G148" s="325"/>
      <c r="H148" s="321"/>
      <c r="I148" s="321"/>
      <c r="J148" s="322"/>
      <c r="K148" s="321"/>
      <c r="L148" s="360"/>
      <c r="M148" s="392"/>
      <c r="N148" s="321"/>
      <c r="O148" s="321"/>
      <c r="P148" s="321"/>
      <c r="Q148" s="321"/>
      <c r="R148" s="321"/>
      <c r="S148" s="321"/>
      <c r="T148" s="321"/>
      <c r="U148" s="321"/>
      <c r="V148" s="321"/>
    </row>
    <row r="149" spans="1:22">
      <c r="A149" s="321"/>
      <c r="B149" s="321"/>
      <c r="C149" s="322"/>
      <c r="D149" s="323"/>
      <c r="E149" s="324"/>
      <c r="F149" s="321"/>
      <c r="G149" s="325"/>
      <c r="H149" s="321"/>
      <c r="I149" s="321"/>
      <c r="J149" s="322"/>
      <c r="K149" s="321"/>
      <c r="L149" s="360"/>
      <c r="M149" s="392"/>
      <c r="N149" s="321"/>
      <c r="O149" s="321"/>
      <c r="P149" s="321"/>
      <c r="Q149" s="321"/>
      <c r="R149" s="321"/>
      <c r="S149" s="321"/>
      <c r="T149" s="321"/>
      <c r="U149" s="321"/>
      <c r="V149" s="321"/>
    </row>
    <row r="150" spans="1:22">
      <c r="A150" s="321"/>
      <c r="B150" s="321"/>
      <c r="C150" s="322"/>
      <c r="D150" s="323"/>
      <c r="E150" s="324"/>
      <c r="F150" s="321"/>
      <c r="G150" s="325"/>
      <c r="H150" s="321"/>
      <c r="I150" s="321"/>
      <c r="J150" s="322"/>
      <c r="K150" s="321"/>
      <c r="L150" s="360"/>
      <c r="M150" s="392"/>
      <c r="N150" s="321"/>
      <c r="O150" s="321"/>
      <c r="P150" s="321"/>
      <c r="Q150" s="321"/>
      <c r="R150" s="321"/>
      <c r="S150" s="321"/>
      <c r="T150" s="321"/>
      <c r="U150" s="321"/>
      <c r="V150" s="321"/>
    </row>
    <row r="151" spans="1:22">
      <c r="A151" s="321"/>
      <c r="B151" s="321"/>
      <c r="C151" s="322"/>
      <c r="D151" s="323"/>
      <c r="E151" s="324"/>
      <c r="F151" s="321"/>
      <c r="G151" s="325"/>
      <c r="H151" s="321"/>
      <c r="I151" s="321"/>
      <c r="J151" s="322"/>
      <c r="K151" s="321"/>
      <c r="L151" s="360"/>
      <c r="M151" s="392"/>
      <c r="N151" s="321"/>
      <c r="O151" s="321"/>
      <c r="P151" s="321"/>
      <c r="Q151" s="321"/>
      <c r="R151" s="321"/>
      <c r="S151" s="321"/>
      <c r="T151" s="321"/>
      <c r="U151" s="321"/>
      <c r="V151" s="321"/>
    </row>
    <row r="152" spans="1:22">
      <c r="A152" s="321"/>
      <c r="B152" s="321"/>
      <c r="C152" s="322"/>
      <c r="D152" s="323"/>
      <c r="E152" s="324"/>
      <c r="F152" s="321"/>
      <c r="G152" s="325"/>
      <c r="H152" s="321"/>
      <c r="I152" s="321"/>
      <c r="J152" s="322"/>
      <c r="K152" s="321"/>
      <c r="L152" s="360"/>
      <c r="M152" s="392"/>
      <c r="N152" s="321"/>
      <c r="O152" s="321"/>
      <c r="P152" s="321"/>
      <c r="Q152" s="321"/>
      <c r="R152" s="321"/>
      <c r="S152" s="321"/>
      <c r="T152" s="321"/>
      <c r="U152" s="321"/>
      <c r="V152" s="321"/>
    </row>
    <row r="153" spans="1:22">
      <c r="A153" s="321"/>
      <c r="B153" s="321"/>
      <c r="C153" s="322"/>
      <c r="D153" s="323"/>
      <c r="E153" s="324"/>
      <c r="F153" s="321"/>
      <c r="G153" s="325"/>
      <c r="H153" s="321"/>
      <c r="I153" s="321"/>
      <c r="J153" s="322"/>
      <c r="K153" s="321"/>
      <c r="L153" s="360"/>
      <c r="M153" s="392"/>
      <c r="N153" s="321"/>
      <c r="O153" s="321"/>
      <c r="P153" s="321"/>
      <c r="Q153" s="321"/>
      <c r="R153" s="321"/>
      <c r="S153" s="321"/>
      <c r="T153" s="321"/>
      <c r="U153" s="321"/>
      <c r="V153" s="321"/>
    </row>
    <row r="154" spans="1:22">
      <c r="A154" s="321"/>
      <c r="B154" s="321"/>
      <c r="C154" s="322"/>
      <c r="D154" s="323"/>
      <c r="E154" s="324"/>
      <c r="F154" s="321"/>
      <c r="G154" s="325"/>
      <c r="H154" s="321"/>
      <c r="I154" s="321"/>
      <c r="J154" s="322"/>
      <c r="K154" s="321"/>
      <c r="L154" s="360"/>
      <c r="M154" s="392"/>
      <c r="N154" s="321"/>
      <c r="O154" s="321"/>
      <c r="P154" s="321"/>
      <c r="Q154" s="321"/>
      <c r="R154" s="321"/>
      <c r="S154" s="321"/>
      <c r="T154" s="321"/>
      <c r="U154" s="321"/>
      <c r="V154" s="321"/>
    </row>
    <row r="155" spans="1:22" ht="48.75" customHeight="1" thickBot="1">
      <c r="A155" s="321"/>
      <c r="B155" s="321"/>
      <c r="C155" s="1033" t="s">
        <v>136</v>
      </c>
      <c r="D155" s="1033"/>
      <c r="E155" s="1033"/>
      <c r="F155" s="1033"/>
      <c r="G155" s="1033"/>
      <c r="H155" s="1033"/>
      <c r="I155" s="1033"/>
      <c r="J155" s="1033"/>
      <c r="K155" s="1033"/>
      <c r="L155" s="1033"/>
      <c r="M155" s="1033"/>
      <c r="N155" s="446"/>
      <c r="O155" s="321"/>
      <c r="P155" s="321"/>
      <c r="Q155" s="321"/>
      <c r="R155" s="321"/>
      <c r="S155" s="321"/>
      <c r="T155" s="321"/>
      <c r="U155" s="321"/>
      <c r="V155" s="321"/>
    </row>
    <row r="156" spans="1:22" ht="16.5" customHeight="1" thickBot="1">
      <c r="A156" s="321"/>
      <c r="B156" s="321"/>
      <c r="C156" s="1608" t="s">
        <v>138</v>
      </c>
      <c r="D156" s="406"/>
      <c r="E156" s="407"/>
      <c r="F156" s="408"/>
      <c r="G156" s="409"/>
      <c r="H156" s="410"/>
      <c r="I156" s="408"/>
      <c r="J156" s="411"/>
      <c r="K156" s="406"/>
      <c r="L156" s="216"/>
      <c r="M156" s="217"/>
      <c r="N156" s="446"/>
      <c r="O156" s="321"/>
      <c r="P156" s="321"/>
      <c r="Q156" s="321"/>
      <c r="R156" s="321"/>
      <c r="S156" s="321"/>
      <c r="T156" s="321"/>
      <c r="U156" s="321"/>
      <c r="V156" s="321"/>
    </row>
    <row r="157" spans="1:22">
      <c r="A157" s="321"/>
      <c r="B157" s="321"/>
      <c r="C157" s="1609"/>
      <c r="D157" s="412"/>
      <c r="E157" s="1152" t="s">
        <v>139</v>
      </c>
      <c r="F157" s="413" t="s">
        <v>140</v>
      </c>
      <c r="G157" s="414" t="s">
        <v>141</v>
      </c>
      <c r="H157" s="415"/>
      <c r="I157" s="1036" t="s">
        <v>142</v>
      </c>
      <c r="J157" s="416" t="s">
        <v>143</v>
      </c>
      <c r="K157" s="413" t="s">
        <v>132</v>
      </c>
      <c r="L157" s="246" t="s">
        <v>134</v>
      </c>
      <c r="M157" s="1146"/>
      <c r="N157" s="446"/>
      <c r="O157" s="321"/>
      <c r="P157" s="321"/>
      <c r="Q157" s="321"/>
      <c r="R157" s="321"/>
      <c r="S157" s="321"/>
      <c r="T157" s="321"/>
      <c r="U157" s="321"/>
      <c r="V157" s="321"/>
    </row>
    <row r="158" spans="1:22">
      <c r="A158" s="321"/>
      <c r="B158" s="321"/>
      <c r="C158" s="1609"/>
      <c r="D158" s="412"/>
      <c r="E158" s="417" t="s">
        <v>144</v>
      </c>
      <c r="F158" s="418">
        <f>COUNTIF(J$1:J$155,"Positif")</f>
        <v>47</v>
      </c>
      <c r="G158" s="419">
        <f>COUNTIF(J$1:J$155,"Negatif")</f>
        <v>0</v>
      </c>
      <c r="H158" s="415"/>
      <c r="I158" s="420" t="s">
        <v>145</v>
      </c>
      <c r="J158" s="418">
        <f>COUNTIFS(F$1:F$155,"PQR",G$1:G$155, 40)</f>
        <v>6</v>
      </c>
      <c r="K158" s="421">
        <f>COUNTIFS(F$1:F$155,"PQR",G$1:G$155, 65)</f>
        <v>10</v>
      </c>
      <c r="L158" s="422">
        <f>COUNTIFS(F$1:F$155,"PQR",G$1:G$155,64)</f>
        <v>9</v>
      </c>
      <c r="M158" s="1146"/>
      <c r="N158" s="446"/>
      <c r="O158" s="321"/>
      <c r="P158" s="321"/>
      <c r="Q158" s="321"/>
      <c r="R158" s="321"/>
      <c r="S158" s="321"/>
      <c r="T158" s="321"/>
      <c r="U158" s="321"/>
      <c r="V158" s="321"/>
    </row>
    <row r="159" spans="1:22">
      <c r="A159" s="321"/>
      <c r="B159" s="321"/>
      <c r="C159" s="1609"/>
      <c r="D159" s="412"/>
      <c r="E159" s="423" t="s">
        <v>143</v>
      </c>
      <c r="F159" s="424">
        <f>COUNTIFS(G$1:G$155,40,J$1:J$155, "Positif")</f>
        <v>17</v>
      </c>
      <c r="G159" s="419">
        <f>COUNTIFS(G$1:G$155,40,J$1:J$155, "Negatif")+COUNTIFS(G$1:G$155,40,J$1:J$155, "Negative")+COUNTIFS(G$1:G$155,40,J$1:J$155, "négatif")+COUNTIFS(G$1:G$155,40,J$1:J$155, "négative")</f>
        <v>0</v>
      </c>
      <c r="H159" s="415"/>
      <c r="I159" s="425" t="s">
        <v>146</v>
      </c>
      <c r="J159" s="418">
        <f>COUNTIFS(F$1:F$155,"web",G$1:G$155, 40)</f>
        <v>7</v>
      </c>
      <c r="K159" s="418">
        <f>COUNTIFS(F$1:F$155,"web",G$1:G$155, 65)</f>
        <v>4</v>
      </c>
      <c r="L159" s="419">
        <f>COUNTIFS(F$1:F$155,"web",G$1:G$155, 64)</f>
        <v>7</v>
      </c>
      <c r="M159" s="1146"/>
      <c r="N159" s="446"/>
      <c r="O159" s="321"/>
      <c r="P159" s="321"/>
      <c r="Q159" s="321"/>
      <c r="R159" s="321"/>
      <c r="S159" s="321"/>
      <c r="T159" s="321"/>
      <c r="U159" s="321"/>
      <c r="V159" s="321"/>
    </row>
    <row r="160" spans="1:22">
      <c r="A160" s="321"/>
      <c r="B160" s="321"/>
      <c r="C160" s="1609"/>
      <c r="D160" s="412"/>
      <c r="E160" s="423" t="s">
        <v>132</v>
      </c>
      <c r="F160" s="424">
        <f>COUNTIFS(G$1:G$155,65,J$1:J$155, "Positif")+COUNTIFS(G$1:G$155,65,J$1:J$155,"Positive")</f>
        <v>14</v>
      </c>
      <c r="G160" s="419">
        <f>COUNTIFS(G$1:G$155,65,J$1:J$155, "Negatif")+COUNTIFS(G$1:G$155,65,J$1:J$155, "Negative")+COUNTIFS(G$1:G$155,65,J$1:J$155, "négatif")+COUNTIFS(G$1:G$155,65,J$1:J$155, "négative")</f>
        <v>0</v>
      </c>
      <c r="H160" s="415"/>
      <c r="I160" s="425" t="s">
        <v>147</v>
      </c>
      <c r="J160" s="418">
        <f>COUNTIFS(F$1:F$155,"radio",G$1:G$155, 40)</f>
        <v>4</v>
      </c>
      <c r="K160" s="418">
        <f>COUNTIFS(F$1:F$155,"radio",G$1:G$155, 65)</f>
        <v>0</v>
      </c>
      <c r="L160" s="419">
        <f>COUNTIFS(F$1:F$155,"radio",G$1:G$155, 64)</f>
        <v>0</v>
      </c>
      <c r="M160" s="1146"/>
      <c r="N160" s="446"/>
      <c r="O160" s="321"/>
      <c r="P160" s="321"/>
      <c r="Q160" s="321"/>
      <c r="R160" s="321"/>
      <c r="S160" s="321"/>
      <c r="T160" s="321"/>
      <c r="U160" s="321"/>
      <c r="V160" s="321"/>
    </row>
    <row r="161" spans="1:22" ht="16.5" thickBot="1">
      <c r="A161" s="321"/>
      <c r="B161" s="321"/>
      <c r="C161" s="1609"/>
      <c r="D161" s="412"/>
      <c r="E161" s="426" t="s">
        <v>134</v>
      </c>
      <c r="F161" s="427">
        <f>COUNTIFS(G$1:G$155,64,J$1:J$155, "Positif")+COUNTIFS(G$1:G$155,64,J$1:J$155,"Positive")</f>
        <v>16</v>
      </c>
      <c r="G161" s="428">
        <f>COUNTIFS(G$7:G$155,64,J$7:J$155, "Negatif")+COUNTIFS(G$7:G$155,64,J$7:J$155, "Negative")+COUNTIFS(G$7:G$155,64,J$7:J$155, "négatif")+COUNTIFS(G$7:G$155,64,J$7:J$155, "négative")</f>
        <v>0</v>
      </c>
      <c r="H161" s="415"/>
      <c r="I161" s="429" t="s">
        <v>148</v>
      </c>
      <c r="J161" s="430">
        <f>COUNTIFS(F$1:F$155,"TV",G$1:G$155, 40)</f>
        <v>0</v>
      </c>
      <c r="K161" s="430">
        <f>COUNTIFS(F$1:F$155,"TV",G$1:G$155, 65)</f>
        <v>0</v>
      </c>
      <c r="L161" s="431">
        <f>COUNTIFS(F$1:F$155,"TV",G$1:G$155, 64)</f>
        <v>0</v>
      </c>
      <c r="M161" s="1146"/>
      <c r="N161" s="446"/>
      <c r="O161" s="321"/>
      <c r="P161" s="321"/>
      <c r="Q161" s="321"/>
      <c r="R161" s="321"/>
      <c r="S161" s="321"/>
      <c r="T161" s="321"/>
      <c r="U161" s="321"/>
      <c r="V161" s="321"/>
    </row>
    <row r="162" spans="1:22">
      <c r="A162" s="321"/>
      <c r="B162" s="321"/>
      <c r="C162" s="1609"/>
      <c r="D162" s="412"/>
      <c r="E162" s="432"/>
      <c r="F162" s="433"/>
      <c r="G162" s="433"/>
      <c r="H162" s="415"/>
      <c r="I162" s="434"/>
      <c r="J162" s="435"/>
      <c r="K162" s="436"/>
      <c r="L162" s="434"/>
      <c r="M162" s="437"/>
      <c r="N162" s="538"/>
      <c r="O162" s="321"/>
      <c r="P162" s="321"/>
      <c r="Q162" s="321"/>
      <c r="R162" s="321"/>
      <c r="S162" s="321"/>
      <c r="T162" s="321"/>
      <c r="U162" s="321"/>
      <c r="V162" s="321"/>
    </row>
    <row r="163" spans="1:22" ht="16.5" thickBot="1">
      <c r="A163" s="321"/>
      <c r="B163" s="321"/>
      <c r="C163" s="1610"/>
      <c r="D163" s="438"/>
      <c r="E163" s="439"/>
      <c r="F163" s="440"/>
      <c r="G163" s="441"/>
      <c r="H163" s="442"/>
      <c r="I163" s="443"/>
      <c r="J163" s="441"/>
      <c r="K163" s="444"/>
      <c r="L163" s="443"/>
      <c r="M163" s="445"/>
      <c r="N163" s="538"/>
      <c r="O163" s="321"/>
      <c r="P163" s="321"/>
      <c r="Q163" s="321"/>
      <c r="R163" s="321"/>
      <c r="S163" s="321"/>
      <c r="T163" s="321"/>
      <c r="U163" s="321"/>
      <c r="V163" s="321"/>
    </row>
    <row r="164" spans="1:22" ht="16.5" thickBot="1">
      <c r="A164" s="321"/>
      <c r="B164" s="321"/>
      <c r="C164" s="446"/>
      <c r="D164" s="446"/>
      <c r="E164" s="446"/>
      <c r="F164" s="446"/>
      <c r="G164" s="446"/>
      <c r="H164" s="446"/>
      <c r="I164" s="446"/>
      <c r="J164" s="446"/>
      <c r="K164" s="446"/>
      <c r="L164" s="446"/>
      <c r="M164" s="446"/>
      <c r="N164" s="446"/>
      <c r="O164" s="321"/>
      <c r="P164" s="321"/>
      <c r="Q164" s="321"/>
      <c r="R164" s="321"/>
      <c r="S164" s="321"/>
      <c r="T164" s="321"/>
      <c r="U164" s="321"/>
      <c r="V164" s="321"/>
    </row>
    <row r="165" spans="1:22" ht="16.5" customHeight="1" thickBot="1">
      <c r="A165" s="321"/>
      <c r="B165" s="351"/>
      <c r="C165" s="1608" t="s">
        <v>138</v>
      </c>
      <c r="D165" s="1147"/>
      <c r="E165" s="447"/>
      <c r="F165" s="1148"/>
      <c r="G165" s="1149"/>
      <c r="H165" s="1148"/>
      <c r="I165" s="411"/>
      <c r="J165" s="1150"/>
      <c r="K165" s="446"/>
      <c r="L165" s="446"/>
      <c r="M165" s="446"/>
      <c r="N165" s="488"/>
      <c r="O165" s="321"/>
      <c r="P165" s="321"/>
      <c r="Q165" s="321"/>
      <c r="R165" s="321"/>
      <c r="S165" s="321"/>
      <c r="T165" s="321"/>
      <c r="U165" s="321"/>
      <c r="V165" s="321"/>
    </row>
    <row r="166" spans="1:22">
      <c r="A166" s="321"/>
      <c r="B166" s="351"/>
      <c r="C166" s="1609"/>
      <c r="D166" s="1151"/>
      <c r="E166" s="1611" t="s">
        <v>149</v>
      </c>
      <c r="F166" s="1612"/>
      <c r="G166" s="1153"/>
      <c r="H166" s="1611" t="s">
        <v>236</v>
      </c>
      <c r="I166" s="1612"/>
      <c r="J166" s="1146"/>
      <c r="K166" s="446"/>
      <c r="L166" s="446"/>
      <c r="M166" s="446"/>
      <c r="N166" s="488"/>
      <c r="O166" s="321"/>
      <c r="P166" s="321"/>
      <c r="Q166" s="321"/>
      <c r="R166" s="321"/>
      <c r="S166" s="321"/>
      <c r="T166" s="321"/>
      <c r="U166" s="321"/>
      <c r="V166" s="321"/>
    </row>
    <row r="167" spans="1:22">
      <c r="A167" s="321"/>
      <c r="B167" s="321"/>
      <c r="C167" s="1609"/>
      <c r="D167" s="1151"/>
      <c r="E167" s="1613"/>
      <c r="F167" s="1614"/>
      <c r="G167" s="1153"/>
      <c r="H167" s="1615"/>
      <c r="I167" s="1616"/>
      <c r="J167" s="1146"/>
      <c r="K167" s="446"/>
      <c r="L167" s="446"/>
      <c r="M167" s="446"/>
      <c r="N167" s="488"/>
      <c r="O167" s="321"/>
      <c r="P167" s="321"/>
      <c r="Q167" s="321"/>
      <c r="R167" s="321"/>
      <c r="S167" s="321"/>
      <c r="T167" s="321"/>
      <c r="U167" s="321"/>
      <c r="V167" s="321"/>
    </row>
    <row r="168" spans="1:22">
      <c r="A168" s="321"/>
      <c r="B168" s="360"/>
      <c r="C168" s="1609"/>
      <c r="D168" s="1151"/>
      <c r="E168" s="1613"/>
      <c r="F168" s="1614"/>
      <c r="G168" s="1153"/>
      <c r="H168" s="449" t="s">
        <v>151</v>
      </c>
      <c r="I168" s="450">
        <f>SUM(T:T)</f>
        <v>40</v>
      </c>
      <c r="J168" s="1146"/>
      <c r="K168" s="446"/>
      <c r="L168" s="446"/>
      <c r="M168" s="446"/>
      <c r="N168" s="539"/>
      <c r="O168" s="321"/>
      <c r="P168" s="321"/>
      <c r="Q168" s="321"/>
      <c r="R168" s="321"/>
      <c r="S168" s="321"/>
      <c r="T168" s="321"/>
      <c r="U168" s="321"/>
      <c r="V168" s="321"/>
    </row>
    <row r="169" spans="1:22">
      <c r="A169" s="321"/>
      <c r="B169" s="360"/>
      <c r="C169" s="1609"/>
      <c r="D169" s="1151"/>
      <c r="E169" s="452" t="s">
        <v>152</v>
      </c>
      <c r="F169" s="450">
        <f>COUNTIF(Q:Q,40)</f>
        <v>5</v>
      </c>
      <c r="G169" s="1153"/>
      <c r="H169" s="453" t="s">
        <v>153</v>
      </c>
      <c r="I169" s="450">
        <f>SUMIFS(T:T,Q:Q, 40)</f>
        <v>21</v>
      </c>
      <c r="J169" s="1146"/>
      <c r="K169" s="446"/>
      <c r="L169" s="446"/>
      <c r="M169" s="446"/>
      <c r="N169" s="488"/>
      <c r="O169" s="321"/>
      <c r="P169" s="321"/>
      <c r="Q169" s="321"/>
      <c r="R169" s="321"/>
      <c r="S169" s="321"/>
      <c r="T169" s="321"/>
      <c r="U169" s="321"/>
      <c r="V169" s="321"/>
    </row>
    <row r="170" spans="1:22">
      <c r="A170" s="321"/>
      <c r="B170" s="360"/>
      <c r="C170" s="1609"/>
      <c r="D170" s="1154"/>
      <c r="E170" s="453" t="s">
        <v>154</v>
      </c>
      <c r="F170" s="450">
        <f>COUNTIF(Q:Q,65)</f>
        <v>3</v>
      </c>
      <c r="G170" s="1154"/>
      <c r="H170" s="453" t="s">
        <v>155</v>
      </c>
      <c r="I170" s="450">
        <f>SUMIFS(T:T,Q:Q, 65)</f>
        <v>9</v>
      </c>
      <c r="J170" s="1155"/>
      <c r="K170" s="454"/>
      <c r="L170" s="446"/>
      <c r="M170" s="446"/>
      <c r="N170" s="446"/>
      <c r="O170" s="321"/>
      <c r="P170" s="321"/>
      <c r="Q170" s="321"/>
      <c r="R170" s="321"/>
      <c r="S170" s="321"/>
      <c r="T170" s="321"/>
      <c r="U170" s="321"/>
      <c r="V170" s="321"/>
    </row>
    <row r="171" spans="1:22" ht="16.5" thickBot="1">
      <c r="A171" s="321"/>
      <c r="B171" s="363"/>
      <c r="C171" s="1609"/>
      <c r="D171" s="1154"/>
      <c r="E171" s="455" t="s">
        <v>156</v>
      </c>
      <c r="F171" s="456">
        <f>COUNTIF(Q:Q,64)</f>
        <v>1</v>
      </c>
      <c r="G171" s="1154"/>
      <c r="H171" s="455" t="s">
        <v>157</v>
      </c>
      <c r="I171" s="456">
        <f>SUMIFS(T:T,Q:Q, 64)</f>
        <v>10</v>
      </c>
      <c r="J171" s="1155"/>
      <c r="K171" s="454"/>
      <c r="L171" s="446"/>
      <c r="M171" s="446"/>
      <c r="N171" s="539"/>
      <c r="O171" s="321"/>
      <c r="P171" s="321"/>
      <c r="Q171" s="321"/>
      <c r="R171" s="321"/>
      <c r="S171" s="321"/>
      <c r="T171" s="321"/>
      <c r="U171" s="321"/>
      <c r="V171" s="321"/>
    </row>
    <row r="172" spans="1:22" ht="16.5" thickBot="1">
      <c r="A172" s="321"/>
      <c r="B172" s="360"/>
      <c r="C172" s="1610"/>
      <c r="D172" s="1156"/>
      <c r="E172" s="1156"/>
      <c r="F172" s="1156"/>
      <c r="G172" s="1156"/>
      <c r="H172" s="1156"/>
      <c r="I172" s="1156"/>
      <c r="J172" s="1157"/>
      <c r="K172" s="458"/>
      <c r="L172" s="446"/>
      <c r="M172" s="446"/>
      <c r="N172" s="488"/>
      <c r="O172" s="321"/>
      <c r="P172" s="321"/>
      <c r="Q172" s="321"/>
      <c r="R172" s="321"/>
      <c r="S172" s="321"/>
      <c r="T172" s="321"/>
      <c r="U172" s="321"/>
      <c r="V172" s="321"/>
    </row>
    <row r="173" spans="1:22" ht="16.5" thickBot="1">
      <c r="A173" s="321"/>
      <c r="B173" s="321"/>
      <c r="C173" s="459"/>
      <c r="D173" s="460"/>
      <c r="E173" s="446"/>
      <c r="F173" s="461"/>
      <c r="G173" s="458"/>
      <c r="H173" s="462"/>
      <c r="I173" s="463"/>
      <c r="J173" s="463"/>
      <c r="K173" s="454"/>
      <c r="L173" s="446"/>
      <c r="M173" s="446"/>
      <c r="N173" s="488"/>
      <c r="O173" s="321"/>
      <c r="P173" s="321"/>
      <c r="Q173" s="321"/>
      <c r="R173" s="321"/>
      <c r="S173" s="321"/>
      <c r="T173" s="321"/>
      <c r="U173" s="321"/>
      <c r="V173" s="321"/>
    </row>
    <row r="174" spans="1:22" ht="16.5" customHeight="1" thickBot="1">
      <c r="A174" s="321"/>
      <c r="B174" s="363"/>
      <c r="C174" s="1608" t="s">
        <v>138</v>
      </c>
      <c r="D174" s="1158"/>
      <c r="E174" s="1158"/>
      <c r="F174" s="1158"/>
      <c r="G174" s="1158"/>
      <c r="H174" s="1158"/>
      <c r="I174" s="1158"/>
      <c r="J174" s="1159"/>
      <c r="K174" s="446"/>
      <c r="L174" s="446"/>
      <c r="M174" s="446"/>
      <c r="N174" s="446"/>
      <c r="O174" s="321"/>
      <c r="P174" s="321"/>
      <c r="Q174" s="321"/>
      <c r="R174" s="321"/>
      <c r="S174" s="321"/>
      <c r="T174" s="321"/>
      <c r="U174" s="321"/>
      <c r="V174" s="321"/>
    </row>
    <row r="175" spans="1:22">
      <c r="A175" s="321"/>
      <c r="B175" s="360"/>
      <c r="C175" s="1609"/>
      <c r="D175" s="1154"/>
      <c r="E175" s="1617" t="s">
        <v>237</v>
      </c>
      <c r="F175" s="1618"/>
      <c r="G175" s="1618"/>
      <c r="H175" s="1618"/>
      <c r="I175" s="1619"/>
      <c r="J175" s="1155"/>
      <c r="K175" s="446"/>
      <c r="L175" s="446"/>
      <c r="M175" s="446"/>
      <c r="N175" s="446"/>
      <c r="O175" s="321"/>
      <c r="P175" s="321"/>
      <c r="Q175" s="321"/>
      <c r="R175" s="321"/>
      <c r="S175" s="321"/>
      <c r="T175" s="321"/>
      <c r="U175" s="321"/>
      <c r="V175" s="321"/>
    </row>
    <row r="176" spans="1:22">
      <c r="A176" s="321"/>
      <c r="B176" s="360"/>
      <c r="C176" s="1609"/>
      <c r="D176" s="1154"/>
      <c r="E176" s="464" t="s">
        <v>72</v>
      </c>
      <c r="F176" s="465" t="s">
        <v>159</v>
      </c>
      <c r="G176" s="466" t="s">
        <v>143</v>
      </c>
      <c r="H176" s="466" t="s">
        <v>132</v>
      </c>
      <c r="I176" s="467" t="s">
        <v>134</v>
      </c>
      <c r="J176" s="1155"/>
      <c r="K176" s="446"/>
      <c r="L176" s="446"/>
      <c r="M176" s="446"/>
      <c r="N176" s="446"/>
      <c r="O176" s="321"/>
      <c r="P176" s="321"/>
      <c r="Q176" s="321"/>
      <c r="R176" s="321"/>
      <c r="S176" s="321"/>
      <c r="T176" s="321"/>
      <c r="U176" s="321"/>
      <c r="V176" s="321"/>
    </row>
    <row r="177" spans="1:22">
      <c r="A177" s="321"/>
      <c r="B177" s="321"/>
      <c r="C177" s="1609"/>
      <c r="D177" s="1154"/>
      <c r="E177" s="468" t="s">
        <v>47</v>
      </c>
      <c r="F177" s="1160">
        <f t="shared" ref="F177:F184" si="0">COUNTIFS(I$11:I$155, E177)</f>
        <v>1</v>
      </c>
      <c r="G177" s="1161">
        <f t="shared" ref="G177:G184" si="1">COUNTIFS(G$11:G$155,40,I$11:I$155, E177)</f>
        <v>1</v>
      </c>
      <c r="H177" s="1162">
        <f t="shared" ref="H177:H184" si="2">COUNTIFS(G$11:G$155,65,I$11:I$155, E177)</f>
        <v>0</v>
      </c>
      <c r="I177" s="1163">
        <f t="shared" ref="I177:I184" si="3">COUNTIFS(G$11:G$155,64,I$11:I$155, E177)</f>
        <v>0</v>
      </c>
      <c r="J177" s="1155"/>
      <c r="K177" s="446"/>
      <c r="L177" s="446"/>
      <c r="M177" s="446"/>
      <c r="N177" s="488"/>
      <c r="O177" s="321"/>
      <c r="P177" s="321"/>
      <c r="Q177" s="321"/>
      <c r="R177" s="321"/>
      <c r="S177" s="321"/>
      <c r="T177" s="321"/>
      <c r="U177" s="321"/>
      <c r="V177" s="321"/>
    </row>
    <row r="178" spans="1:22">
      <c r="A178" s="321"/>
      <c r="B178" s="321"/>
      <c r="C178" s="1609"/>
      <c r="D178" s="1154"/>
      <c r="E178" s="469" t="s">
        <v>48</v>
      </c>
      <c r="F178" s="1160">
        <f t="shared" si="0"/>
        <v>3</v>
      </c>
      <c r="G178" s="1161">
        <f t="shared" si="1"/>
        <v>0</v>
      </c>
      <c r="H178" s="1162">
        <f t="shared" si="2"/>
        <v>3</v>
      </c>
      <c r="I178" s="1163">
        <f t="shared" si="3"/>
        <v>0</v>
      </c>
      <c r="J178" s="1155"/>
      <c r="K178" s="446"/>
      <c r="L178" s="446"/>
      <c r="M178" s="446"/>
      <c r="N178" s="488"/>
      <c r="O178" s="321"/>
      <c r="P178" s="321"/>
      <c r="Q178" s="321"/>
      <c r="R178" s="321"/>
      <c r="S178" s="321"/>
      <c r="T178" s="321"/>
      <c r="U178" s="321"/>
      <c r="V178" s="321"/>
    </row>
    <row r="179" spans="1:22">
      <c r="A179" s="321"/>
      <c r="B179" s="321"/>
      <c r="C179" s="1609"/>
      <c r="D179" s="1154"/>
      <c r="E179" s="469" t="s">
        <v>49</v>
      </c>
      <c r="F179" s="1160">
        <f t="shared" si="0"/>
        <v>4</v>
      </c>
      <c r="G179" s="1161">
        <f t="shared" si="1"/>
        <v>4</v>
      </c>
      <c r="H179" s="1162">
        <f t="shared" si="2"/>
        <v>0</v>
      </c>
      <c r="I179" s="1163">
        <f t="shared" si="3"/>
        <v>0</v>
      </c>
      <c r="J179" s="1155"/>
      <c r="K179" s="446"/>
      <c r="L179" s="446"/>
      <c r="M179" s="446"/>
      <c r="N179" s="488"/>
      <c r="O179" s="321"/>
      <c r="P179" s="321"/>
      <c r="Q179" s="321"/>
      <c r="R179" s="321"/>
      <c r="S179" s="321"/>
      <c r="T179" s="321"/>
      <c r="U179" s="321"/>
      <c r="V179" s="321"/>
    </row>
    <row r="180" spans="1:22">
      <c r="A180" s="321"/>
      <c r="B180" s="360"/>
      <c r="C180" s="1609"/>
      <c r="D180" s="1154"/>
      <c r="E180" s="469" t="s">
        <v>50</v>
      </c>
      <c r="F180" s="1160">
        <f t="shared" si="0"/>
        <v>4</v>
      </c>
      <c r="G180" s="1161">
        <f t="shared" si="1"/>
        <v>0</v>
      </c>
      <c r="H180" s="1162">
        <f t="shared" si="2"/>
        <v>0</v>
      </c>
      <c r="I180" s="1163">
        <f t="shared" si="3"/>
        <v>4</v>
      </c>
      <c r="J180" s="1155"/>
      <c r="K180" s="446"/>
      <c r="L180" s="446"/>
      <c r="M180" s="446"/>
      <c r="N180" s="446"/>
      <c r="O180" s="321"/>
      <c r="P180" s="321"/>
      <c r="Q180" s="321"/>
      <c r="R180" s="321"/>
      <c r="S180" s="321"/>
      <c r="T180" s="321"/>
      <c r="U180" s="321"/>
      <c r="V180" s="321"/>
    </row>
    <row r="181" spans="1:22">
      <c r="A181" s="321"/>
      <c r="B181" s="360"/>
      <c r="C181" s="1609"/>
      <c r="D181" s="1154"/>
      <c r="E181" s="469" t="s">
        <v>51</v>
      </c>
      <c r="F181" s="1160">
        <f t="shared" si="0"/>
        <v>18</v>
      </c>
      <c r="G181" s="1161">
        <f t="shared" si="1"/>
        <v>9</v>
      </c>
      <c r="H181" s="1162">
        <f t="shared" si="2"/>
        <v>0</v>
      </c>
      <c r="I181" s="1163">
        <f t="shared" si="3"/>
        <v>9</v>
      </c>
      <c r="J181" s="1155"/>
      <c r="K181" s="446"/>
      <c r="L181" s="446"/>
      <c r="M181" s="446"/>
      <c r="N181" s="488"/>
      <c r="O181" s="321"/>
      <c r="P181" s="321"/>
      <c r="Q181" s="321"/>
      <c r="R181" s="321"/>
      <c r="S181" s="321"/>
      <c r="T181" s="321"/>
      <c r="U181" s="321"/>
      <c r="V181" s="321"/>
    </row>
    <row r="182" spans="1:22">
      <c r="A182" s="321"/>
      <c r="B182" s="360"/>
      <c r="C182" s="1609"/>
      <c r="D182" s="1154"/>
      <c r="E182" s="469" t="s">
        <v>52</v>
      </c>
      <c r="F182" s="1160">
        <f t="shared" si="0"/>
        <v>13</v>
      </c>
      <c r="G182" s="1161">
        <f t="shared" si="1"/>
        <v>3</v>
      </c>
      <c r="H182" s="1162">
        <f t="shared" si="2"/>
        <v>7</v>
      </c>
      <c r="I182" s="1163">
        <f t="shared" si="3"/>
        <v>3</v>
      </c>
      <c r="J182" s="1155"/>
      <c r="K182" s="446"/>
      <c r="L182" s="446"/>
      <c r="M182" s="446"/>
      <c r="N182" s="488"/>
      <c r="O182" s="321"/>
      <c r="P182" s="321"/>
      <c r="Q182" s="321"/>
      <c r="R182" s="321"/>
      <c r="S182" s="321"/>
      <c r="T182" s="321"/>
      <c r="U182" s="321"/>
      <c r="V182" s="321"/>
    </row>
    <row r="183" spans="1:22">
      <c r="A183" s="321"/>
      <c r="B183" s="321"/>
      <c r="C183" s="1609"/>
      <c r="D183" s="1154"/>
      <c r="E183" s="469" t="s">
        <v>53</v>
      </c>
      <c r="F183" s="1160">
        <f t="shared" si="0"/>
        <v>4</v>
      </c>
      <c r="G183" s="1161">
        <f t="shared" si="1"/>
        <v>0</v>
      </c>
      <c r="H183" s="1162">
        <f t="shared" si="2"/>
        <v>4</v>
      </c>
      <c r="I183" s="1163">
        <f t="shared" si="3"/>
        <v>0</v>
      </c>
      <c r="J183" s="1155"/>
      <c r="K183" s="446"/>
      <c r="L183" s="446"/>
      <c r="M183" s="446"/>
      <c r="N183" s="488"/>
      <c r="O183" s="321"/>
      <c r="P183" s="321"/>
      <c r="Q183" s="321"/>
      <c r="R183" s="321"/>
      <c r="S183" s="321"/>
      <c r="T183" s="321"/>
      <c r="U183" s="321"/>
      <c r="V183" s="321"/>
    </row>
    <row r="184" spans="1:22" ht="16.5" thickBot="1">
      <c r="A184" s="321"/>
      <c r="B184" s="360"/>
      <c r="C184" s="1609"/>
      <c r="D184" s="1154"/>
      <c r="E184" s="470" t="s">
        <v>54</v>
      </c>
      <c r="F184" s="1164">
        <f t="shared" si="0"/>
        <v>0</v>
      </c>
      <c r="G184" s="1165">
        <f t="shared" si="1"/>
        <v>0</v>
      </c>
      <c r="H184" s="1166">
        <f t="shared" si="2"/>
        <v>0</v>
      </c>
      <c r="I184" s="1167">
        <f t="shared" si="3"/>
        <v>0</v>
      </c>
      <c r="J184" s="1155"/>
      <c r="K184" s="446"/>
      <c r="L184" s="446"/>
      <c r="M184" s="446"/>
      <c r="N184" s="446"/>
      <c r="O184" s="321"/>
      <c r="P184" s="321"/>
      <c r="Q184" s="321"/>
      <c r="R184" s="321"/>
      <c r="S184" s="321"/>
      <c r="T184" s="321"/>
      <c r="U184" s="321"/>
      <c r="V184" s="321"/>
    </row>
    <row r="185" spans="1:22">
      <c r="A185" s="321"/>
      <c r="B185" s="321"/>
      <c r="C185" s="1609"/>
      <c r="D185" s="1154"/>
      <c r="E185" s="1154"/>
      <c r="F185" s="1154"/>
      <c r="G185" s="1154"/>
      <c r="H185" s="1154"/>
      <c r="I185" s="1154"/>
      <c r="J185" s="1155"/>
      <c r="K185" s="446"/>
      <c r="L185" s="446"/>
      <c r="M185" s="446"/>
      <c r="N185" s="488"/>
      <c r="O185" s="321"/>
      <c r="P185" s="321"/>
      <c r="Q185" s="321"/>
      <c r="R185" s="321"/>
      <c r="S185" s="321"/>
      <c r="T185" s="321"/>
      <c r="U185" s="321"/>
      <c r="V185" s="321"/>
    </row>
    <row r="186" spans="1:22" ht="16.5" thickBot="1">
      <c r="A186" s="321"/>
      <c r="B186" s="360"/>
      <c r="C186" s="1610"/>
      <c r="D186" s="1156"/>
      <c r="E186" s="1156"/>
      <c r="F186" s="1156"/>
      <c r="G186" s="1156"/>
      <c r="H186" s="1156"/>
      <c r="I186" s="1156"/>
      <c r="J186" s="1157"/>
      <c r="K186" s="446"/>
      <c r="L186" s="446"/>
      <c r="M186" s="446"/>
      <c r="N186" s="488"/>
      <c r="O186" s="321"/>
      <c r="P186" s="321"/>
      <c r="Q186" s="321"/>
      <c r="R186" s="321"/>
      <c r="S186" s="321"/>
      <c r="T186" s="321"/>
      <c r="U186" s="321"/>
      <c r="V186" s="321"/>
    </row>
    <row r="187" spans="1:22">
      <c r="A187" s="321"/>
      <c r="B187" s="360"/>
      <c r="C187" s="446"/>
      <c r="D187" s="446"/>
      <c r="E187" s="446"/>
      <c r="F187" s="446"/>
      <c r="G187" s="446"/>
      <c r="H187" s="446"/>
      <c r="I187" s="446"/>
      <c r="J187" s="446"/>
      <c r="K187" s="446"/>
      <c r="L187" s="446"/>
      <c r="M187" s="446"/>
      <c r="N187" s="488"/>
      <c r="O187" s="321"/>
      <c r="P187" s="321"/>
      <c r="Q187" s="321"/>
      <c r="R187" s="321"/>
      <c r="S187" s="321"/>
      <c r="T187" s="321"/>
      <c r="U187" s="321"/>
      <c r="V187" s="321"/>
    </row>
    <row r="188" spans="1:22" ht="16.5" thickBot="1">
      <c r="A188" s="321"/>
      <c r="B188" s="360"/>
      <c r="C188" s="446"/>
      <c r="D188" s="446"/>
      <c r="E188" s="446"/>
      <c r="F188" s="446"/>
      <c r="G188" s="446"/>
      <c r="H188" s="446"/>
      <c r="I188" s="446"/>
      <c r="J188" s="446"/>
      <c r="K188" s="446"/>
      <c r="L188" s="446"/>
      <c r="M188" s="446"/>
      <c r="N188" s="488"/>
      <c r="O188" s="321"/>
      <c r="P188" s="321"/>
      <c r="Q188" s="321"/>
      <c r="R188" s="321"/>
      <c r="S188" s="321"/>
      <c r="T188" s="321"/>
      <c r="U188" s="321"/>
      <c r="V188" s="321"/>
    </row>
    <row r="189" spans="1:22" ht="16.5" customHeight="1" thickBot="1">
      <c r="A189" s="321"/>
      <c r="B189" s="360"/>
      <c r="C189" s="1600" t="s">
        <v>138</v>
      </c>
      <c r="D189" s="471"/>
      <c r="E189" s="472"/>
      <c r="F189" s="472"/>
      <c r="G189" s="472"/>
      <c r="H189" s="472"/>
      <c r="I189" s="472"/>
      <c r="J189" s="472"/>
      <c r="K189" s="472"/>
      <c r="L189" s="472"/>
      <c r="M189" s="472"/>
      <c r="N189" s="473"/>
      <c r="O189" s="321"/>
      <c r="P189" s="321"/>
      <c r="Q189" s="321"/>
      <c r="R189" s="321"/>
      <c r="S189" s="321"/>
      <c r="T189" s="321"/>
      <c r="U189" s="321"/>
      <c r="V189" s="321"/>
    </row>
    <row r="190" spans="1:22">
      <c r="A190" s="321"/>
      <c r="B190" s="360"/>
      <c r="C190" s="1601"/>
      <c r="D190" s="474"/>
      <c r="E190" s="1220" t="s">
        <v>160</v>
      </c>
      <c r="F190" s="1221"/>
      <c r="G190" s="1221"/>
      <c r="H190" s="1221"/>
      <c r="I190" s="1221"/>
      <c r="J190" s="1221"/>
      <c r="K190" s="1221"/>
      <c r="L190" s="1221"/>
      <c r="M190" s="1222"/>
      <c r="N190" s="1168"/>
      <c r="O190" s="321"/>
      <c r="P190" s="321"/>
      <c r="Q190" s="321"/>
      <c r="R190" s="321"/>
      <c r="S190" s="321"/>
      <c r="T190" s="321"/>
      <c r="U190" s="321"/>
      <c r="V190" s="321"/>
    </row>
    <row r="191" spans="1:22">
      <c r="A191" s="321"/>
      <c r="B191" s="360"/>
      <c r="C191" s="1601"/>
      <c r="D191" s="474"/>
      <c r="E191" s="1223"/>
      <c r="F191" s="1224"/>
      <c r="G191" s="1224"/>
      <c r="H191" s="1224"/>
      <c r="I191" s="1224"/>
      <c r="J191" s="1224"/>
      <c r="K191" s="1224"/>
      <c r="L191" s="1224"/>
      <c r="M191" s="1225"/>
      <c r="N191" s="475"/>
      <c r="O191" s="321"/>
      <c r="P191" s="321"/>
      <c r="Q191" s="321"/>
      <c r="R191" s="321"/>
      <c r="S191" s="321"/>
      <c r="T191" s="321"/>
      <c r="U191" s="321"/>
      <c r="V191" s="321"/>
    </row>
    <row r="192" spans="1:22">
      <c r="A192" s="321"/>
      <c r="B192" s="360"/>
      <c r="C192" s="1601"/>
      <c r="D192" s="474"/>
      <c r="E192" s="464" t="s">
        <v>161</v>
      </c>
      <c r="F192" s="1603" t="s">
        <v>159</v>
      </c>
      <c r="G192" s="1604"/>
      <c r="H192" s="1605" t="s">
        <v>143</v>
      </c>
      <c r="I192" s="1606"/>
      <c r="J192" s="1605" t="s">
        <v>162</v>
      </c>
      <c r="K192" s="1606"/>
      <c r="L192" s="1030" t="s">
        <v>163</v>
      </c>
      <c r="M192" s="1032"/>
      <c r="N192" s="475"/>
      <c r="O192" s="321"/>
      <c r="P192" s="321"/>
      <c r="Q192" s="321"/>
      <c r="R192" s="321"/>
      <c r="S192" s="321"/>
      <c r="T192" s="321"/>
      <c r="U192" s="321"/>
      <c r="V192" s="321"/>
    </row>
    <row r="193" spans="1:22">
      <c r="A193" s="321"/>
      <c r="B193" s="321"/>
      <c r="C193" s="1601"/>
      <c r="D193" s="474"/>
      <c r="E193" s="476" t="s">
        <v>47</v>
      </c>
      <c r="F193" s="1169">
        <f>SUM(H193,J193,L193)</f>
        <v>1</v>
      </c>
      <c r="G193" s="1170">
        <f>SUM(I193,K193,M193)</f>
        <v>0</v>
      </c>
      <c r="H193" s="1169">
        <f t="shared" ref="H193:H200" si="4">COUNTIFS(I$1:I$155, E193,J$1:J$155, "Positif",G$1:G$155, 40)</f>
        <v>1</v>
      </c>
      <c r="I193" s="1170">
        <f t="shared" ref="I193:I200" si="5">COUNTIFS(I$1:I$155,E193,J$1:J$155,"Negatif",G$1:G$155,40)+COUNTIFS(I$1:I$155,E193,J$1:J$155,"Négatif",G$1:G$155,40)</f>
        <v>0</v>
      </c>
      <c r="J193" s="1169">
        <f t="shared" ref="J193:J200" si="6">COUNTIFS(I$1:I$155, E193,J$1:J$155, "Positif",G$1:G$155, 65)</f>
        <v>0</v>
      </c>
      <c r="K193" s="1170">
        <f t="shared" ref="K193:K200" si="7">COUNTIFS(I$1:I$155,E193,J$1:J$155,"Negatif",G$1:G$155,65)+COUNTIFS(I$1:I$155,E193,J$1:J$155,"Négatif",G$1:G$155,65)</f>
        <v>0</v>
      </c>
      <c r="L193" s="1169">
        <f t="shared" ref="L193:L200" si="8">COUNTIFS(I$1:I$155, E193,J$1:J$155, "Positif",G$1:G$155,64)</f>
        <v>0</v>
      </c>
      <c r="M193" s="1171">
        <f t="shared" ref="M193:M200" si="9">COUNTIFS(I$1:I$155,E193,J$1:J$155,"Negatif",G$1:G$155,64)+COUNTIFS(I$1:I$155,E193,J$1:J$155,"Négatif",G$1:G$155,64)</f>
        <v>0</v>
      </c>
      <c r="N193" s="475"/>
      <c r="O193" s="321"/>
      <c r="P193" s="321"/>
      <c r="Q193" s="321"/>
      <c r="R193" s="321"/>
      <c r="S193" s="321"/>
      <c r="T193" s="321"/>
      <c r="U193" s="321"/>
      <c r="V193" s="321"/>
    </row>
    <row r="194" spans="1:22">
      <c r="A194" s="321"/>
      <c r="B194" s="321"/>
      <c r="C194" s="1601"/>
      <c r="D194" s="474"/>
      <c r="E194" s="476" t="s">
        <v>48</v>
      </c>
      <c r="F194" s="1169">
        <f t="shared" ref="F194:F200" si="10">SUM(H194,J194,L194)</f>
        <v>3</v>
      </c>
      <c r="G194" s="1170">
        <f t="shared" ref="G194:G200" si="11">SUM(I194,K194,M194)</f>
        <v>0</v>
      </c>
      <c r="H194" s="1169">
        <f t="shared" si="4"/>
        <v>0</v>
      </c>
      <c r="I194" s="1170">
        <f t="shared" si="5"/>
        <v>0</v>
      </c>
      <c r="J194" s="1169">
        <f t="shared" si="6"/>
        <v>3</v>
      </c>
      <c r="K194" s="1170">
        <f t="shared" si="7"/>
        <v>0</v>
      </c>
      <c r="L194" s="1169">
        <f t="shared" si="8"/>
        <v>0</v>
      </c>
      <c r="M194" s="1171">
        <f t="shared" si="9"/>
        <v>0</v>
      </c>
      <c r="N194" s="475"/>
      <c r="O194" s="321"/>
      <c r="P194" s="321"/>
      <c r="Q194" s="321"/>
      <c r="R194" s="321"/>
      <c r="S194" s="321"/>
      <c r="T194" s="321"/>
      <c r="U194" s="321"/>
      <c r="V194" s="321"/>
    </row>
    <row r="195" spans="1:22">
      <c r="A195" s="321"/>
      <c r="B195" s="321"/>
      <c r="C195" s="1601"/>
      <c r="D195" s="474"/>
      <c r="E195" s="476" t="s">
        <v>49</v>
      </c>
      <c r="F195" s="1169">
        <f t="shared" si="10"/>
        <v>4</v>
      </c>
      <c r="G195" s="1170">
        <f t="shared" si="11"/>
        <v>0</v>
      </c>
      <c r="H195" s="1169">
        <f t="shared" si="4"/>
        <v>4</v>
      </c>
      <c r="I195" s="1170">
        <f t="shared" si="5"/>
        <v>0</v>
      </c>
      <c r="J195" s="1169">
        <f t="shared" si="6"/>
        <v>0</v>
      </c>
      <c r="K195" s="1170">
        <f t="shared" si="7"/>
        <v>0</v>
      </c>
      <c r="L195" s="1169">
        <f t="shared" si="8"/>
        <v>0</v>
      </c>
      <c r="M195" s="1171">
        <f t="shared" si="9"/>
        <v>0</v>
      </c>
      <c r="N195" s="475"/>
      <c r="O195" s="321"/>
      <c r="P195" s="321"/>
      <c r="Q195" s="321"/>
      <c r="R195" s="321"/>
      <c r="S195" s="321"/>
      <c r="T195" s="321"/>
      <c r="U195" s="321"/>
      <c r="V195" s="321"/>
    </row>
    <row r="196" spans="1:22">
      <c r="A196" s="321"/>
      <c r="B196" s="321"/>
      <c r="C196" s="1601"/>
      <c r="D196" s="474"/>
      <c r="E196" s="476" t="s">
        <v>50</v>
      </c>
      <c r="F196" s="1169">
        <f t="shared" si="10"/>
        <v>4</v>
      </c>
      <c r="G196" s="1170">
        <f t="shared" si="11"/>
        <v>0</v>
      </c>
      <c r="H196" s="1169">
        <f t="shared" si="4"/>
        <v>0</v>
      </c>
      <c r="I196" s="1170">
        <f t="shared" si="5"/>
        <v>0</v>
      </c>
      <c r="J196" s="1169">
        <f t="shared" si="6"/>
        <v>0</v>
      </c>
      <c r="K196" s="1170">
        <f t="shared" si="7"/>
        <v>0</v>
      </c>
      <c r="L196" s="1169">
        <f t="shared" si="8"/>
        <v>4</v>
      </c>
      <c r="M196" s="1171">
        <f t="shared" si="9"/>
        <v>0</v>
      </c>
      <c r="N196" s="475"/>
      <c r="O196" s="321"/>
      <c r="P196" s="321"/>
      <c r="Q196" s="321"/>
      <c r="R196" s="321"/>
      <c r="S196" s="321"/>
      <c r="T196" s="321"/>
      <c r="U196" s="321"/>
      <c r="V196" s="321"/>
    </row>
    <row r="197" spans="1:22">
      <c r="A197" s="321"/>
      <c r="B197" s="360"/>
      <c r="C197" s="1601"/>
      <c r="D197" s="474"/>
      <c r="E197" s="476" t="s">
        <v>51</v>
      </c>
      <c r="F197" s="1169">
        <f t="shared" si="10"/>
        <v>18</v>
      </c>
      <c r="G197" s="1170">
        <f t="shared" si="11"/>
        <v>0</v>
      </c>
      <c r="H197" s="1169">
        <f t="shared" si="4"/>
        <v>9</v>
      </c>
      <c r="I197" s="1170">
        <f t="shared" si="5"/>
        <v>0</v>
      </c>
      <c r="J197" s="1169">
        <f t="shared" si="6"/>
        <v>0</v>
      </c>
      <c r="K197" s="1170">
        <f t="shared" si="7"/>
        <v>0</v>
      </c>
      <c r="L197" s="1169">
        <f t="shared" si="8"/>
        <v>9</v>
      </c>
      <c r="M197" s="1171">
        <f t="shared" si="9"/>
        <v>0</v>
      </c>
      <c r="N197" s="475"/>
      <c r="O197" s="321"/>
      <c r="P197" s="321"/>
      <c r="Q197" s="321"/>
      <c r="R197" s="321"/>
      <c r="S197" s="321"/>
      <c r="T197" s="321"/>
      <c r="U197" s="321"/>
      <c r="V197" s="321"/>
    </row>
    <row r="198" spans="1:22">
      <c r="A198" s="321"/>
      <c r="B198" s="360"/>
      <c r="C198" s="1601"/>
      <c r="D198" s="474"/>
      <c r="E198" s="476" t="s">
        <v>52</v>
      </c>
      <c r="F198" s="1169">
        <f t="shared" si="10"/>
        <v>13</v>
      </c>
      <c r="G198" s="1170">
        <f t="shared" si="11"/>
        <v>0</v>
      </c>
      <c r="H198" s="1169">
        <f t="shared" si="4"/>
        <v>3</v>
      </c>
      <c r="I198" s="1170">
        <f t="shared" si="5"/>
        <v>0</v>
      </c>
      <c r="J198" s="1169">
        <f t="shared" si="6"/>
        <v>7</v>
      </c>
      <c r="K198" s="1170">
        <f t="shared" si="7"/>
        <v>0</v>
      </c>
      <c r="L198" s="1169">
        <f t="shared" si="8"/>
        <v>3</v>
      </c>
      <c r="M198" s="1171">
        <f t="shared" si="9"/>
        <v>0</v>
      </c>
      <c r="N198" s="475"/>
      <c r="O198" s="321"/>
      <c r="P198" s="321"/>
      <c r="Q198" s="321"/>
      <c r="R198" s="321"/>
      <c r="S198" s="321"/>
      <c r="T198" s="321"/>
      <c r="U198" s="321"/>
      <c r="V198" s="321"/>
    </row>
    <row r="199" spans="1:22">
      <c r="A199" s="321"/>
      <c r="B199" s="360"/>
      <c r="C199" s="1601"/>
      <c r="D199" s="474"/>
      <c r="E199" s="476" t="s">
        <v>53</v>
      </c>
      <c r="F199" s="1169">
        <f t="shared" si="10"/>
        <v>4</v>
      </c>
      <c r="G199" s="1170">
        <f t="shared" si="11"/>
        <v>0</v>
      </c>
      <c r="H199" s="1169">
        <f t="shared" si="4"/>
        <v>0</v>
      </c>
      <c r="I199" s="1170">
        <f t="shared" si="5"/>
        <v>0</v>
      </c>
      <c r="J199" s="1169">
        <f t="shared" si="6"/>
        <v>4</v>
      </c>
      <c r="K199" s="1170">
        <f t="shared" si="7"/>
        <v>0</v>
      </c>
      <c r="L199" s="1169">
        <f t="shared" si="8"/>
        <v>0</v>
      </c>
      <c r="M199" s="1171">
        <f t="shared" si="9"/>
        <v>0</v>
      </c>
      <c r="N199" s="475"/>
      <c r="O199" s="321"/>
      <c r="P199" s="321"/>
      <c r="Q199" s="321"/>
      <c r="R199" s="321"/>
      <c r="S199" s="321"/>
      <c r="T199" s="321"/>
      <c r="U199" s="321"/>
      <c r="V199" s="321"/>
    </row>
    <row r="200" spans="1:22" ht="16.5" thickBot="1">
      <c r="A200" s="321"/>
      <c r="B200" s="360"/>
      <c r="C200" s="1601"/>
      <c r="D200" s="474"/>
      <c r="E200" s="477" t="s">
        <v>54</v>
      </c>
      <c r="F200" s="1172">
        <f t="shared" si="10"/>
        <v>0</v>
      </c>
      <c r="G200" s="1173">
        <f t="shared" si="11"/>
        <v>0</v>
      </c>
      <c r="H200" s="1172">
        <f t="shared" si="4"/>
        <v>0</v>
      </c>
      <c r="I200" s="1173">
        <f t="shared" si="5"/>
        <v>0</v>
      </c>
      <c r="J200" s="1172">
        <f t="shared" si="6"/>
        <v>0</v>
      </c>
      <c r="K200" s="1173">
        <f t="shared" si="7"/>
        <v>0</v>
      </c>
      <c r="L200" s="1172">
        <f t="shared" si="8"/>
        <v>0</v>
      </c>
      <c r="M200" s="1174">
        <f t="shared" si="9"/>
        <v>0</v>
      </c>
      <c r="N200" s="475"/>
      <c r="O200" s="321"/>
      <c r="P200" s="321"/>
      <c r="Q200" s="321"/>
      <c r="R200" s="321"/>
      <c r="S200" s="321"/>
      <c r="T200" s="321"/>
      <c r="U200" s="321"/>
      <c r="V200" s="321"/>
    </row>
    <row r="201" spans="1:22">
      <c r="A201" s="321"/>
      <c r="B201" s="360"/>
      <c r="C201" s="1601"/>
      <c r="D201" s="474"/>
      <c r="E201" s="478"/>
      <c r="F201" s="479"/>
      <c r="G201" s="479"/>
      <c r="H201" s="479"/>
      <c r="I201" s="479"/>
      <c r="J201" s="480"/>
      <c r="K201" s="480"/>
      <c r="L201" s="480"/>
      <c r="M201" s="480"/>
      <c r="N201" s="475"/>
      <c r="O201" s="321"/>
      <c r="P201" s="321"/>
      <c r="Q201" s="321"/>
      <c r="R201" s="321"/>
      <c r="S201" s="321"/>
      <c r="T201" s="321"/>
      <c r="U201" s="321"/>
      <c r="V201" s="321"/>
    </row>
    <row r="202" spans="1:22" ht="16.5" thickBot="1">
      <c r="A202" s="321"/>
      <c r="B202" s="360"/>
      <c r="C202" s="1602"/>
      <c r="D202" s="481"/>
      <c r="E202" s="482"/>
      <c r="F202" s="482"/>
      <c r="G202" s="482"/>
      <c r="H202" s="482"/>
      <c r="I202" s="482"/>
      <c r="J202" s="482"/>
      <c r="K202" s="482"/>
      <c r="L202" s="482"/>
      <c r="M202" s="482"/>
      <c r="N202" s="483"/>
      <c r="O202" s="321"/>
      <c r="P202" s="321"/>
      <c r="Q202" s="321"/>
      <c r="R202" s="321"/>
      <c r="S202" s="321"/>
      <c r="T202" s="321"/>
      <c r="U202" s="321"/>
      <c r="V202" s="321"/>
    </row>
    <row r="203" spans="1:22">
      <c r="A203" s="321"/>
      <c r="B203" s="321"/>
      <c r="C203" s="322"/>
      <c r="D203" s="323"/>
      <c r="E203" s="324"/>
      <c r="F203" s="321"/>
      <c r="G203" s="325"/>
      <c r="H203" s="321"/>
      <c r="I203" s="321"/>
      <c r="J203" s="322"/>
      <c r="K203" s="321"/>
      <c r="L203" s="360"/>
      <c r="M203" s="392"/>
      <c r="N203" s="321"/>
      <c r="O203" s="321"/>
      <c r="P203" s="321"/>
      <c r="Q203" s="321"/>
      <c r="R203" s="321"/>
      <c r="S203" s="321"/>
      <c r="T203" s="321"/>
      <c r="U203" s="321"/>
      <c r="V203" s="321"/>
    </row>
    <row r="204" spans="1:22">
      <c r="A204" s="321"/>
      <c r="B204" s="321"/>
      <c r="C204" s="322"/>
      <c r="D204" s="323"/>
      <c r="E204" s="324"/>
      <c r="F204" s="321"/>
      <c r="G204" s="325"/>
      <c r="H204" s="321"/>
      <c r="I204" s="321"/>
      <c r="J204" s="322"/>
      <c r="K204" s="321"/>
      <c r="L204" s="360"/>
      <c r="M204" s="392"/>
      <c r="N204" s="321"/>
      <c r="O204" s="321"/>
      <c r="P204" s="321"/>
      <c r="Q204" s="321"/>
      <c r="R204" s="321"/>
      <c r="S204" s="321"/>
      <c r="T204" s="321"/>
      <c r="U204" s="321"/>
      <c r="V204" s="321"/>
    </row>
    <row r="205" spans="1:22">
      <c r="A205" s="321"/>
      <c r="B205" s="321"/>
      <c r="C205" s="322"/>
      <c r="D205" s="323"/>
      <c r="E205" s="324"/>
      <c r="F205" s="321"/>
      <c r="G205" s="325"/>
      <c r="H205" s="321"/>
      <c r="I205" s="321"/>
      <c r="J205" s="322"/>
      <c r="K205" s="321"/>
      <c r="L205" s="360"/>
      <c r="M205" s="392"/>
      <c r="N205" s="321"/>
      <c r="O205" s="321"/>
      <c r="P205" s="321"/>
      <c r="Q205" s="321"/>
      <c r="R205" s="321"/>
      <c r="S205" s="321"/>
      <c r="T205" s="321"/>
      <c r="U205" s="321"/>
      <c r="V205" s="321"/>
    </row>
    <row r="206" spans="1:22">
      <c r="A206" s="321"/>
      <c r="B206" s="321"/>
      <c r="C206" s="322"/>
      <c r="D206" s="323"/>
      <c r="E206" s="324"/>
      <c r="F206" s="321"/>
      <c r="G206" s="325"/>
      <c r="H206" s="321"/>
      <c r="I206" s="321"/>
      <c r="J206" s="322"/>
      <c r="K206" s="321"/>
      <c r="L206" s="360"/>
      <c r="M206" s="392"/>
      <c r="N206" s="321"/>
      <c r="O206" s="321"/>
      <c r="P206" s="321"/>
      <c r="Q206" s="321"/>
      <c r="R206" s="321"/>
      <c r="S206" s="321"/>
      <c r="T206" s="321"/>
      <c r="U206" s="321"/>
      <c r="V206" s="321"/>
    </row>
    <row r="207" spans="1:22">
      <c r="A207" s="321"/>
      <c r="B207" s="321"/>
      <c r="C207" s="322"/>
      <c r="D207" s="323"/>
      <c r="E207" s="324"/>
      <c r="F207" s="321"/>
      <c r="G207" s="325"/>
      <c r="H207" s="321"/>
      <c r="I207" s="321"/>
      <c r="J207" s="322"/>
      <c r="K207" s="321"/>
      <c r="L207" s="360"/>
      <c r="M207" s="392"/>
      <c r="N207" s="321"/>
      <c r="O207" s="321"/>
      <c r="P207" s="321"/>
      <c r="Q207" s="321"/>
      <c r="R207" s="321"/>
      <c r="S207" s="321"/>
      <c r="T207" s="321"/>
      <c r="U207" s="321"/>
      <c r="V207" s="321"/>
    </row>
    <row r="208" spans="1:22">
      <c r="A208" s="321"/>
      <c r="B208" s="321"/>
      <c r="C208" s="322"/>
      <c r="D208" s="323"/>
      <c r="E208" s="324"/>
      <c r="F208" s="321"/>
      <c r="G208" s="325"/>
      <c r="H208" s="321"/>
      <c r="I208" s="321"/>
      <c r="J208" s="322"/>
      <c r="K208" s="321"/>
      <c r="L208" s="360"/>
      <c r="M208" s="392"/>
      <c r="N208" s="321"/>
      <c r="O208" s="321"/>
      <c r="P208" s="321"/>
      <c r="Q208" s="321"/>
      <c r="R208" s="321"/>
      <c r="S208" s="321"/>
      <c r="T208" s="321"/>
      <c r="U208" s="321"/>
      <c r="V208" s="321"/>
    </row>
    <row r="209" spans="1:22">
      <c r="A209" s="321"/>
      <c r="B209" s="321"/>
      <c r="C209" s="322"/>
      <c r="D209" s="323"/>
      <c r="E209" s="324"/>
      <c r="F209" s="321"/>
      <c r="G209" s="325"/>
      <c r="H209" s="321"/>
      <c r="I209" s="321"/>
      <c r="J209" s="322"/>
      <c r="K209" s="321"/>
      <c r="L209" s="360"/>
      <c r="M209" s="392"/>
      <c r="N209" s="321"/>
      <c r="O209" s="321"/>
      <c r="P209" s="321"/>
      <c r="Q209" s="321"/>
      <c r="R209" s="321"/>
      <c r="S209" s="321"/>
      <c r="T209" s="321"/>
      <c r="U209" s="321"/>
      <c r="V209" s="321"/>
    </row>
    <row r="210" spans="1:22">
      <c r="A210" s="321"/>
      <c r="B210" s="321"/>
      <c r="C210" s="322"/>
      <c r="D210" s="323"/>
      <c r="E210" s="324"/>
      <c r="F210" s="321"/>
      <c r="G210" s="325"/>
      <c r="H210" s="321"/>
      <c r="I210" s="321"/>
      <c r="J210" s="322"/>
      <c r="K210" s="321"/>
      <c r="L210" s="360"/>
      <c r="M210" s="392"/>
      <c r="N210" s="321"/>
      <c r="O210" s="321"/>
      <c r="P210" s="321"/>
      <c r="Q210" s="321"/>
      <c r="R210" s="321"/>
      <c r="S210" s="321"/>
      <c r="T210" s="321"/>
      <c r="U210" s="321"/>
      <c r="V210" s="321"/>
    </row>
    <row r="211" spans="1:22">
      <c r="A211" s="321"/>
      <c r="B211" s="321"/>
      <c r="C211" s="322"/>
      <c r="D211" s="323"/>
      <c r="E211" s="324"/>
      <c r="F211" s="321"/>
      <c r="G211" s="325"/>
      <c r="H211" s="321"/>
      <c r="I211" s="321"/>
      <c r="J211" s="322"/>
      <c r="K211" s="321"/>
      <c r="L211" s="360"/>
      <c r="M211" s="392"/>
      <c r="N211" s="321"/>
      <c r="O211" s="321"/>
      <c r="P211" s="321"/>
      <c r="Q211" s="321"/>
      <c r="R211" s="321"/>
      <c r="S211" s="321"/>
      <c r="T211" s="321"/>
      <c r="U211" s="321"/>
      <c r="V211" s="321"/>
    </row>
    <row r="212" spans="1:22">
      <c r="A212" s="321"/>
      <c r="B212" s="321"/>
      <c r="C212" s="322"/>
      <c r="D212" s="323"/>
      <c r="E212" s="324"/>
      <c r="F212" s="321"/>
      <c r="G212" s="325"/>
      <c r="H212" s="321"/>
      <c r="I212" s="321"/>
      <c r="J212" s="322"/>
      <c r="K212" s="321"/>
      <c r="L212" s="360"/>
      <c r="M212" s="392"/>
      <c r="N212" s="321"/>
      <c r="O212" s="321"/>
      <c r="P212" s="321"/>
      <c r="Q212" s="321"/>
      <c r="R212" s="321"/>
      <c r="S212" s="321"/>
      <c r="T212" s="321"/>
      <c r="U212" s="321"/>
      <c r="V212" s="321"/>
    </row>
    <row r="213" spans="1:22">
      <c r="A213" s="321"/>
      <c r="B213" s="321"/>
      <c r="C213" s="322"/>
      <c r="D213" s="323"/>
      <c r="E213" s="324"/>
      <c r="F213" s="321"/>
      <c r="G213" s="325"/>
      <c r="H213" s="321"/>
      <c r="I213" s="321"/>
      <c r="J213" s="322"/>
      <c r="K213" s="321"/>
      <c r="L213" s="360"/>
      <c r="M213" s="392"/>
      <c r="N213" s="321"/>
      <c r="O213" s="321"/>
      <c r="P213" s="321"/>
      <c r="Q213" s="321"/>
      <c r="R213" s="321"/>
      <c r="S213" s="321"/>
      <c r="T213" s="321"/>
      <c r="U213" s="321"/>
      <c r="V213" s="321"/>
    </row>
    <row r="214" spans="1:22">
      <c r="A214" s="321"/>
      <c r="B214" s="321"/>
      <c r="C214" s="322"/>
      <c r="D214" s="323"/>
      <c r="E214" s="324"/>
      <c r="F214" s="321"/>
      <c r="G214" s="325"/>
      <c r="H214" s="321"/>
      <c r="I214" s="321"/>
      <c r="J214" s="322"/>
      <c r="K214" s="321"/>
      <c r="L214" s="360"/>
      <c r="M214" s="392"/>
      <c r="N214" s="321"/>
      <c r="O214" s="321"/>
      <c r="P214" s="321"/>
      <c r="Q214" s="321"/>
      <c r="R214" s="321"/>
      <c r="S214" s="321"/>
      <c r="T214" s="321"/>
      <c r="U214" s="321"/>
      <c r="V214" s="321"/>
    </row>
    <row r="215" spans="1:22">
      <c r="A215" s="321"/>
      <c r="B215" s="321"/>
      <c r="C215" s="322"/>
      <c r="D215" s="323"/>
      <c r="E215" s="324"/>
      <c r="F215" s="321"/>
      <c r="G215" s="325"/>
      <c r="H215" s="321"/>
      <c r="I215" s="321"/>
      <c r="J215" s="322"/>
      <c r="K215" s="321"/>
      <c r="L215" s="360"/>
      <c r="M215" s="392"/>
      <c r="N215" s="321"/>
      <c r="O215" s="321"/>
      <c r="P215" s="321"/>
      <c r="Q215" s="321"/>
      <c r="R215" s="321"/>
      <c r="S215" s="321"/>
      <c r="T215" s="321"/>
      <c r="U215" s="321"/>
      <c r="V215" s="321"/>
    </row>
    <row r="216" spans="1:22">
      <c r="A216" s="321"/>
      <c r="B216" s="321"/>
      <c r="C216" s="322"/>
      <c r="D216" s="323"/>
      <c r="E216" s="324"/>
      <c r="F216" s="321"/>
      <c r="G216" s="325"/>
      <c r="H216" s="321"/>
      <c r="I216" s="321"/>
      <c r="J216" s="322"/>
      <c r="K216" s="321"/>
      <c r="L216" s="360"/>
      <c r="M216" s="392"/>
      <c r="N216" s="321"/>
      <c r="O216" s="321"/>
      <c r="P216" s="321"/>
      <c r="Q216" s="321"/>
      <c r="R216" s="321"/>
      <c r="S216" s="321"/>
      <c r="T216" s="321"/>
      <c r="U216" s="321"/>
      <c r="V216" s="321"/>
    </row>
    <row r="217" spans="1:22">
      <c r="A217" s="321"/>
      <c r="B217" s="321"/>
      <c r="C217" s="322"/>
      <c r="D217" s="323"/>
      <c r="E217" s="324"/>
      <c r="F217" s="321"/>
      <c r="G217" s="325"/>
      <c r="H217" s="321"/>
      <c r="I217" s="321"/>
      <c r="J217" s="322"/>
      <c r="K217" s="321"/>
      <c r="L217" s="360"/>
      <c r="M217" s="392"/>
      <c r="N217" s="321"/>
      <c r="O217" s="321"/>
      <c r="P217" s="321"/>
      <c r="Q217" s="321"/>
      <c r="R217" s="321"/>
      <c r="S217" s="321"/>
      <c r="T217" s="321"/>
      <c r="U217" s="321"/>
      <c r="V217" s="321"/>
    </row>
    <row r="218" spans="1:22">
      <c r="A218" s="321"/>
      <c r="B218" s="321"/>
      <c r="C218" s="322"/>
      <c r="D218" s="323"/>
      <c r="E218" s="324"/>
      <c r="F218" s="321"/>
      <c r="G218" s="325"/>
      <c r="H218" s="321"/>
      <c r="I218" s="321"/>
      <c r="J218" s="322"/>
      <c r="K218" s="321"/>
      <c r="L218" s="360"/>
      <c r="M218" s="392"/>
      <c r="N218" s="321"/>
      <c r="O218" s="321"/>
      <c r="P218" s="321"/>
      <c r="Q218" s="321"/>
      <c r="R218" s="321"/>
      <c r="S218" s="321"/>
      <c r="T218" s="321"/>
      <c r="U218" s="321"/>
      <c r="V218" s="321"/>
    </row>
    <row r="219" spans="1:22">
      <c r="A219" s="321"/>
      <c r="B219" s="321"/>
      <c r="C219" s="322"/>
      <c r="D219" s="323"/>
      <c r="E219" s="324"/>
      <c r="F219" s="321"/>
      <c r="G219" s="325"/>
      <c r="H219" s="321"/>
      <c r="I219" s="321"/>
      <c r="J219" s="322"/>
      <c r="K219" s="321"/>
      <c r="L219" s="360"/>
      <c r="M219" s="392"/>
      <c r="N219" s="321"/>
      <c r="O219" s="321"/>
      <c r="P219" s="321"/>
      <c r="Q219" s="321"/>
      <c r="R219" s="321"/>
      <c r="S219" s="321"/>
      <c r="T219" s="321"/>
      <c r="U219" s="321"/>
      <c r="V219" s="321"/>
    </row>
    <row r="220" spans="1:22">
      <c r="A220" s="321"/>
      <c r="B220" s="321"/>
      <c r="C220" s="322"/>
      <c r="D220" s="323"/>
      <c r="E220" s="324"/>
      <c r="F220" s="321"/>
      <c r="G220" s="325"/>
      <c r="H220" s="321"/>
      <c r="I220" s="321"/>
      <c r="J220" s="322"/>
      <c r="K220" s="321"/>
      <c r="L220" s="360"/>
      <c r="M220" s="392"/>
      <c r="N220" s="321"/>
      <c r="O220" s="321"/>
      <c r="P220" s="321"/>
      <c r="Q220" s="321"/>
      <c r="R220" s="321"/>
      <c r="S220" s="321"/>
      <c r="T220" s="321"/>
      <c r="U220" s="321"/>
      <c r="V220" s="321"/>
    </row>
    <row r="221" spans="1:22">
      <c r="A221" s="321"/>
      <c r="B221" s="321"/>
      <c r="C221" s="322"/>
      <c r="D221" s="323"/>
      <c r="E221" s="324"/>
      <c r="F221" s="321"/>
      <c r="G221" s="325"/>
      <c r="H221" s="321"/>
      <c r="I221" s="321"/>
      <c r="J221" s="322"/>
      <c r="K221" s="321"/>
      <c r="L221" s="360"/>
      <c r="M221" s="392"/>
      <c r="N221" s="321"/>
      <c r="O221" s="321"/>
      <c r="P221" s="321"/>
      <c r="Q221" s="321"/>
      <c r="R221" s="321"/>
      <c r="S221" s="321"/>
      <c r="T221" s="321"/>
      <c r="U221" s="321"/>
      <c r="V221" s="321"/>
    </row>
    <row r="222" spans="1:22">
      <c r="A222" s="321"/>
      <c r="B222" s="321"/>
      <c r="C222" s="322"/>
      <c r="D222" s="323"/>
      <c r="E222" s="324"/>
      <c r="F222" s="321"/>
      <c r="G222" s="325"/>
      <c r="H222" s="321"/>
      <c r="I222" s="321"/>
      <c r="J222" s="322"/>
      <c r="K222" s="321"/>
      <c r="L222" s="360"/>
      <c r="M222" s="392"/>
      <c r="N222" s="321"/>
      <c r="O222" s="321"/>
      <c r="P222" s="321"/>
      <c r="Q222" s="321"/>
      <c r="R222" s="321"/>
      <c r="S222" s="321"/>
      <c r="T222" s="321"/>
      <c r="U222" s="321"/>
      <c r="V222" s="321"/>
    </row>
    <row r="223" spans="1:22">
      <c r="A223" s="321"/>
      <c r="B223" s="321"/>
      <c r="C223" s="322"/>
      <c r="D223" s="323"/>
      <c r="E223" s="324"/>
      <c r="F223" s="321"/>
      <c r="G223" s="325"/>
      <c r="H223" s="321"/>
      <c r="I223" s="321"/>
      <c r="J223" s="322"/>
      <c r="K223" s="321"/>
      <c r="L223" s="360"/>
      <c r="M223" s="392"/>
      <c r="N223" s="321"/>
      <c r="O223" s="321"/>
      <c r="P223" s="321"/>
      <c r="Q223" s="321"/>
      <c r="R223" s="321"/>
      <c r="S223" s="321"/>
      <c r="T223" s="321"/>
      <c r="U223" s="321"/>
      <c r="V223" s="321"/>
    </row>
    <row r="224" spans="1:22">
      <c r="A224" s="321"/>
      <c r="B224" s="321"/>
      <c r="C224" s="322"/>
      <c r="D224" s="323"/>
      <c r="E224" s="324"/>
      <c r="F224" s="321"/>
      <c r="G224" s="325"/>
      <c r="H224" s="321"/>
      <c r="I224" s="321"/>
      <c r="J224" s="322"/>
      <c r="K224" s="321"/>
      <c r="L224" s="360"/>
      <c r="M224" s="392"/>
      <c r="N224" s="321"/>
      <c r="O224" s="321"/>
      <c r="P224" s="321"/>
      <c r="Q224" s="321"/>
      <c r="R224" s="321"/>
      <c r="S224" s="321"/>
      <c r="T224" s="321"/>
      <c r="U224" s="321"/>
      <c r="V224" s="321"/>
    </row>
    <row r="225" spans="1:22">
      <c r="A225" s="321"/>
      <c r="B225" s="321"/>
      <c r="C225" s="322"/>
      <c r="D225" s="323"/>
      <c r="E225" s="324"/>
      <c r="F225" s="321"/>
      <c r="G225" s="325"/>
      <c r="H225" s="321"/>
      <c r="I225" s="321"/>
      <c r="J225" s="322"/>
      <c r="K225" s="321"/>
      <c r="L225" s="360"/>
      <c r="M225" s="392"/>
      <c r="N225" s="321"/>
      <c r="O225" s="321"/>
      <c r="P225" s="321"/>
      <c r="Q225" s="321"/>
      <c r="R225" s="321"/>
      <c r="S225" s="321"/>
      <c r="T225" s="321"/>
      <c r="U225" s="321"/>
      <c r="V225" s="321"/>
    </row>
    <row r="226" spans="1:22">
      <c r="A226" s="321"/>
      <c r="B226" s="321"/>
      <c r="C226" s="322"/>
      <c r="D226" s="323"/>
      <c r="E226" s="324"/>
      <c r="F226" s="321"/>
      <c r="G226" s="325"/>
      <c r="H226" s="321"/>
      <c r="I226" s="321"/>
      <c r="J226" s="322"/>
      <c r="K226" s="321"/>
      <c r="L226" s="360"/>
      <c r="M226" s="392"/>
      <c r="N226" s="321"/>
      <c r="O226" s="321"/>
      <c r="P226" s="321"/>
      <c r="Q226" s="321"/>
      <c r="R226" s="321"/>
      <c r="S226" s="321"/>
      <c r="T226" s="321"/>
      <c r="U226" s="321"/>
      <c r="V226" s="321"/>
    </row>
    <row r="227" spans="1:22">
      <c r="A227" s="321"/>
      <c r="B227" s="321"/>
      <c r="C227" s="322"/>
      <c r="D227" s="323"/>
      <c r="E227" s="324"/>
      <c r="F227" s="321"/>
      <c r="G227" s="325"/>
      <c r="H227" s="321"/>
      <c r="I227" s="321"/>
      <c r="J227" s="322"/>
      <c r="K227" s="321"/>
      <c r="L227" s="360"/>
      <c r="M227" s="392"/>
      <c r="N227" s="321"/>
      <c r="O227" s="321"/>
      <c r="P227" s="321"/>
      <c r="Q227" s="321"/>
      <c r="R227" s="321"/>
      <c r="S227" s="321"/>
      <c r="T227" s="321"/>
      <c r="U227" s="321"/>
      <c r="V227" s="321"/>
    </row>
    <row r="228" spans="1:22">
      <c r="A228" s="321"/>
      <c r="B228" s="321"/>
      <c r="C228" s="322"/>
      <c r="D228" s="323"/>
      <c r="E228" s="324"/>
      <c r="F228" s="321"/>
      <c r="G228" s="325"/>
      <c r="H228" s="321"/>
      <c r="I228" s="321"/>
      <c r="J228" s="322"/>
      <c r="K228" s="321"/>
      <c r="L228" s="360"/>
      <c r="M228" s="392"/>
      <c r="N228" s="321"/>
      <c r="O228" s="321"/>
      <c r="P228" s="321"/>
      <c r="Q228" s="321"/>
      <c r="R228" s="321"/>
      <c r="S228" s="321"/>
      <c r="T228" s="321"/>
      <c r="U228" s="321"/>
      <c r="V228" s="321"/>
    </row>
    <row r="229" spans="1:22">
      <c r="A229" s="321"/>
      <c r="B229" s="321"/>
      <c r="C229" s="322"/>
      <c r="D229" s="323"/>
      <c r="E229" s="324"/>
      <c r="F229" s="321"/>
      <c r="G229" s="325"/>
      <c r="H229" s="321"/>
      <c r="I229" s="321"/>
      <c r="J229" s="322"/>
      <c r="K229" s="321"/>
      <c r="L229" s="360"/>
      <c r="M229" s="392"/>
      <c r="N229" s="321"/>
      <c r="O229" s="321"/>
      <c r="P229" s="321"/>
      <c r="Q229" s="321"/>
      <c r="R229" s="321"/>
      <c r="S229" s="321"/>
      <c r="T229" s="321"/>
      <c r="U229" s="321"/>
      <c r="V229" s="321"/>
    </row>
    <row r="230" spans="1:22">
      <c r="A230" s="321"/>
      <c r="B230" s="321"/>
      <c r="C230" s="322"/>
      <c r="D230" s="323"/>
      <c r="E230" s="324"/>
      <c r="F230" s="321"/>
      <c r="G230" s="325"/>
      <c r="H230" s="321"/>
      <c r="I230" s="321"/>
      <c r="J230" s="322"/>
      <c r="K230" s="321"/>
      <c r="L230" s="360"/>
      <c r="M230" s="392"/>
      <c r="N230" s="321"/>
      <c r="O230" s="321"/>
      <c r="P230" s="321"/>
      <c r="Q230" s="321"/>
      <c r="R230" s="321"/>
      <c r="S230" s="321"/>
      <c r="T230" s="321"/>
      <c r="U230" s="321"/>
      <c r="V230" s="321"/>
    </row>
    <row r="231" spans="1:22">
      <c r="A231" s="321"/>
      <c r="B231" s="321"/>
      <c r="C231" s="322"/>
      <c r="D231" s="323"/>
      <c r="E231" s="324"/>
      <c r="F231" s="321"/>
      <c r="G231" s="325"/>
      <c r="H231" s="321"/>
      <c r="I231" s="321"/>
      <c r="J231" s="322"/>
      <c r="K231" s="321"/>
      <c r="L231" s="360"/>
      <c r="M231" s="392"/>
      <c r="N231" s="321"/>
      <c r="O231" s="321"/>
      <c r="P231" s="321"/>
      <c r="Q231" s="321"/>
      <c r="R231" s="321"/>
      <c r="S231" s="321"/>
      <c r="T231" s="321"/>
      <c r="U231" s="321"/>
      <c r="V231" s="321"/>
    </row>
    <row r="232" spans="1:22">
      <c r="A232" s="321"/>
      <c r="B232" s="321"/>
      <c r="C232" s="322"/>
      <c r="D232" s="323"/>
      <c r="E232" s="324"/>
      <c r="F232" s="321"/>
      <c r="G232" s="325"/>
      <c r="H232" s="321"/>
      <c r="I232" s="321"/>
      <c r="J232" s="322"/>
      <c r="K232" s="321"/>
      <c r="L232" s="360"/>
      <c r="M232" s="392"/>
      <c r="N232" s="321"/>
      <c r="O232" s="321"/>
      <c r="P232" s="321"/>
      <c r="Q232" s="321"/>
      <c r="R232" s="321"/>
      <c r="S232" s="321"/>
      <c r="T232" s="321"/>
      <c r="U232" s="321"/>
      <c r="V232" s="321"/>
    </row>
    <row r="233" spans="1:22">
      <c r="A233" s="321"/>
      <c r="B233" s="321"/>
      <c r="C233" s="322"/>
      <c r="D233" s="323"/>
      <c r="E233" s="324"/>
      <c r="F233" s="321"/>
      <c r="G233" s="325"/>
      <c r="H233" s="321"/>
      <c r="I233" s="321"/>
      <c r="J233" s="322"/>
      <c r="K233" s="321"/>
      <c r="L233" s="360"/>
      <c r="M233" s="392"/>
      <c r="N233" s="321"/>
      <c r="R233" s="321"/>
      <c r="S233" s="321"/>
      <c r="T233" s="321"/>
      <c r="U233" s="321"/>
      <c r="V233" s="321"/>
    </row>
    <row r="234" spans="1:22">
      <c r="A234" s="321"/>
      <c r="B234" s="321"/>
      <c r="C234" s="322"/>
      <c r="D234" s="323"/>
      <c r="E234" s="324"/>
      <c r="F234" s="321"/>
      <c r="G234" s="325"/>
      <c r="H234" s="321"/>
      <c r="I234" s="321"/>
      <c r="J234" s="322"/>
      <c r="K234" s="321"/>
      <c r="L234" s="360"/>
      <c r="M234" s="392"/>
      <c r="N234" s="321"/>
      <c r="R234" s="321"/>
      <c r="S234" s="321"/>
      <c r="T234" s="321"/>
      <c r="U234" s="321"/>
      <c r="V234" s="321"/>
    </row>
    <row r="235" spans="1:22">
      <c r="A235" s="321"/>
      <c r="B235" s="321"/>
      <c r="C235" s="322"/>
      <c r="D235" s="323"/>
      <c r="E235" s="324"/>
      <c r="F235" s="321"/>
      <c r="G235" s="325"/>
      <c r="H235" s="321"/>
      <c r="I235" s="321"/>
      <c r="J235" s="322"/>
      <c r="K235" s="321"/>
      <c r="L235" s="360"/>
      <c r="M235" s="392"/>
      <c r="N235" s="321"/>
      <c r="R235" s="321"/>
      <c r="S235" s="321"/>
      <c r="T235" s="321"/>
      <c r="U235" s="321"/>
      <c r="V235" s="321"/>
    </row>
    <row r="236" spans="1:22">
      <c r="A236" s="321"/>
      <c r="B236" s="321"/>
      <c r="R236" s="321"/>
      <c r="S236" s="321"/>
      <c r="T236" s="321"/>
      <c r="U236" s="321"/>
      <c r="V236" s="321"/>
    </row>
    <row r="237" spans="1:22">
      <c r="A237" s="321"/>
      <c r="B237" s="321"/>
      <c r="R237" s="321"/>
      <c r="S237" s="321"/>
      <c r="T237" s="321"/>
      <c r="U237" s="321"/>
      <c r="V237" s="321"/>
    </row>
    <row r="238" spans="1:22">
      <c r="A238" s="321"/>
      <c r="B238" s="321"/>
      <c r="R238" s="321"/>
      <c r="S238" s="321"/>
      <c r="T238" s="321"/>
      <c r="U238" s="321"/>
      <c r="V238" s="321"/>
    </row>
    <row r="239" spans="1:22">
      <c r="A239" s="321"/>
      <c r="B239" s="321"/>
      <c r="R239" s="321"/>
      <c r="S239" s="321"/>
      <c r="T239" s="321"/>
      <c r="U239" s="321"/>
      <c r="V239" s="321"/>
    </row>
    <row r="240" spans="1:22">
      <c r="A240" s="321"/>
      <c r="B240" s="321"/>
      <c r="R240" s="321"/>
      <c r="S240" s="321"/>
      <c r="T240" s="321"/>
      <c r="U240" s="321"/>
      <c r="V240" s="321"/>
    </row>
    <row r="241" spans="1:22">
      <c r="A241" s="321"/>
      <c r="B241" s="321"/>
      <c r="R241" s="321"/>
      <c r="S241" s="321"/>
      <c r="T241" s="321"/>
      <c r="U241" s="321"/>
      <c r="V241" s="321"/>
    </row>
    <row r="242" spans="1:22">
      <c r="A242" s="321"/>
      <c r="B242" s="321"/>
      <c r="R242" s="321"/>
      <c r="S242" s="321"/>
      <c r="T242" s="321"/>
      <c r="U242" s="321"/>
      <c r="V242" s="321"/>
    </row>
    <row r="243" spans="1:22">
      <c r="A243" s="321"/>
      <c r="B243" s="321"/>
      <c r="R243" s="321"/>
      <c r="S243" s="321"/>
      <c r="T243" s="321"/>
      <c r="U243" s="321"/>
      <c r="V243" s="321"/>
    </row>
    <row r="244" spans="1:22">
      <c r="A244" s="321"/>
      <c r="B244" s="321"/>
      <c r="R244" s="321"/>
      <c r="S244" s="321"/>
      <c r="T244" s="321"/>
      <c r="U244" s="321"/>
      <c r="V244" s="321"/>
    </row>
    <row r="245" spans="1:22">
      <c r="A245" s="321"/>
      <c r="B245" s="321"/>
      <c r="R245" s="321"/>
      <c r="S245" s="321"/>
      <c r="T245" s="321"/>
      <c r="U245" s="321"/>
      <c r="V245" s="321"/>
    </row>
    <row r="246" spans="1:22">
      <c r="A246" s="321"/>
      <c r="B246" s="321"/>
      <c r="R246" s="321"/>
      <c r="S246" s="321"/>
      <c r="T246" s="321"/>
      <c r="U246" s="321"/>
      <c r="V246" s="321"/>
    </row>
    <row r="247" spans="1:22">
      <c r="R247" s="321"/>
      <c r="S247" s="321"/>
      <c r="T247" s="321"/>
      <c r="U247" s="321"/>
      <c r="V247" s="321"/>
    </row>
    <row r="248" spans="1:22">
      <c r="R248" s="321"/>
      <c r="S248" s="321"/>
      <c r="T248" s="321"/>
      <c r="U248" s="321"/>
      <c r="V248" s="321"/>
    </row>
    <row r="249" spans="1:22">
      <c r="R249" s="321"/>
      <c r="S249" s="321"/>
      <c r="T249" s="321"/>
      <c r="U249" s="321"/>
      <c r="V249" s="321"/>
    </row>
    <row r="250" spans="1:22">
      <c r="R250" s="321"/>
      <c r="S250" s="321"/>
      <c r="T250" s="321"/>
      <c r="U250" s="321"/>
      <c r="V250" s="321"/>
    </row>
    <row r="251" spans="1:22">
      <c r="R251" s="321"/>
      <c r="S251" s="321"/>
      <c r="T251" s="321"/>
      <c r="U251" s="321"/>
      <c r="V251" s="321"/>
    </row>
    <row r="252" spans="1:22">
      <c r="R252" s="321"/>
      <c r="S252" s="321"/>
      <c r="T252" s="321"/>
      <c r="U252" s="321"/>
      <c r="V252" s="321"/>
    </row>
    <row r="253" spans="1:22">
      <c r="R253" s="321"/>
      <c r="S253" s="321"/>
      <c r="T253" s="321"/>
      <c r="U253" s="321"/>
      <c r="V253" s="321"/>
    </row>
    <row r="254" spans="1:22">
      <c r="R254" s="321"/>
      <c r="S254" s="321"/>
      <c r="T254" s="321"/>
      <c r="U254" s="321"/>
      <c r="V254" s="321"/>
    </row>
    <row r="255" spans="1:22">
      <c r="R255" s="321"/>
      <c r="S255" s="321"/>
      <c r="T255" s="321"/>
      <c r="U255" s="321"/>
      <c r="V255" s="321"/>
    </row>
    <row r="256" spans="1:22">
      <c r="R256" s="321"/>
      <c r="S256" s="321"/>
      <c r="T256" s="321"/>
      <c r="U256" s="321"/>
      <c r="V256" s="321"/>
    </row>
    <row r="257" spans="18:22">
      <c r="R257" s="321"/>
      <c r="S257" s="321"/>
      <c r="T257" s="321"/>
      <c r="U257" s="321"/>
      <c r="V257" s="321"/>
    </row>
    <row r="258" spans="18:22">
      <c r="R258" s="321"/>
      <c r="S258" s="321"/>
      <c r="T258" s="321"/>
      <c r="U258" s="321"/>
      <c r="V258" s="321"/>
    </row>
    <row r="259" spans="18:22">
      <c r="R259" s="321"/>
      <c r="S259" s="321"/>
      <c r="T259" s="321"/>
      <c r="U259" s="321"/>
      <c r="V259" s="321"/>
    </row>
    <row r="260" spans="18:22">
      <c r="R260" s="321"/>
      <c r="S260" s="321"/>
      <c r="T260" s="321"/>
      <c r="U260" s="321"/>
      <c r="V260" s="321"/>
    </row>
    <row r="261" spans="18:22">
      <c r="R261" s="321"/>
      <c r="S261" s="321"/>
      <c r="T261" s="321"/>
      <c r="U261" s="321"/>
      <c r="V261" s="321"/>
    </row>
    <row r="262" spans="18:22">
      <c r="R262" s="321"/>
      <c r="S262" s="321"/>
      <c r="T262" s="321"/>
      <c r="U262" s="321"/>
      <c r="V262" s="321"/>
    </row>
    <row r="263" spans="18:22">
      <c r="R263" s="321"/>
      <c r="S263" s="321"/>
      <c r="T263" s="321"/>
      <c r="U263" s="321"/>
      <c r="V263" s="321"/>
    </row>
    <row r="264" spans="18:22">
      <c r="R264" s="321"/>
      <c r="S264" s="321"/>
      <c r="T264" s="321"/>
      <c r="U264" s="321"/>
      <c r="V264" s="321"/>
    </row>
    <row r="265" spans="18:22">
      <c r="R265" s="321"/>
      <c r="S265" s="321"/>
      <c r="T265" s="321"/>
      <c r="U265" s="321"/>
      <c r="V265" s="321"/>
    </row>
    <row r="266" spans="18:22">
      <c r="R266" s="321"/>
      <c r="S266" s="321"/>
      <c r="T266" s="321"/>
      <c r="U266" s="321"/>
      <c r="V266" s="321"/>
    </row>
    <row r="267" spans="18:22">
      <c r="R267" s="321"/>
      <c r="S267" s="321"/>
      <c r="T267" s="321"/>
      <c r="U267" s="321"/>
      <c r="V267" s="321"/>
    </row>
    <row r="268" spans="18:22">
      <c r="R268" s="321"/>
      <c r="S268" s="321"/>
      <c r="T268" s="321"/>
      <c r="U268" s="321"/>
      <c r="V268" s="321"/>
    </row>
    <row r="269" spans="18:22">
      <c r="R269" s="321"/>
      <c r="S269" s="321"/>
      <c r="T269" s="321"/>
      <c r="U269" s="321"/>
      <c r="V269" s="321"/>
    </row>
    <row r="270" spans="18:22">
      <c r="R270" s="321"/>
      <c r="S270" s="321"/>
      <c r="T270" s="321"/>
      <c r="U270" s="321"/>
      <c r="V270" s="321"/>
    </row>
    <row r="271" spans="18:22">
      <c r="R271" s="321"/>
      <c r="S271" s="321"/>
      <c r="T271" s="321"/>
      <c r="U271" s="321"/>
      <c r="V271" s="321"/>
    </row>
    <row r="272" spans="18:22">
      <c r="R272" s="321"/>
      <c r="S272" s="321"/>
      <c r="T272" s="321"/>
      <c r="U272" s="321"/>
      <c r="V272" s="321"/>
    </row>
    <row r="273" spans="18:22">
      <c r="R273" s="321"/>
      <c r="S273" s="321"/>
      <c r="T273" s="321"/>
      <c r="U273" s="321"/>
      <c r="V273" s="321"/>
    </row>
    <row r="274" spans="18:22">
      <c r="R274" s="321"/>
      <c r="S274" s="321"/>
      <c r="T274" s="321"/>
      <c r="U274" s="321"/>
      <c r="V274" s="321"/>
    </row>
    <row r="275" spans="18:22">
      <c r="R275" s="321"/>
      <c r="S275" s="321"/>
      <c r="T275" s="321"/>
      <c r="U275" s="321"/>
      <c r="V275" s="321"/>
    </row>
    <row r="276" spans="18:22">
      <c r="R276" s="321"/>
      <c r="S276" s="321"/>
      <c r="T276" s="321"/>
      <c r="U276" s="321"/>
      <c r="V276" s="321"/>
    </row>
    <row r="277" spans="18:22">
      <c r="R277" s="321"/>
      <c r="S277" s="321"/>
      <c r="T277" s="321"/>
      <c r="U277" s="321"/>
      <c r="V277" s="321"/>
    </row>
    <row r="278" spans="18:22">
      <c r="R278" s="321"/>
      <c r="S278" s="321"/>
      <c r="T278" s="321"/>
      <c r="U278" s="321"/>
      <c r="V278" s="321"/>
    </row>
    <row r="279" spans="18:22">
      <c r="R279" s="321"/>
      <c r="S279" s="321"/>
      <c r="T279" s="321"/>
      <c r="U279" s="321"/>
      <c r="V279" s="321"/>
    </row>
    <row r="280" spans="18:22">
      <c r="R280" s="321"/>
      <c r="S280" s="321"/>
      <c r="T280" s="321"/>
      <c r="U280" s="321"/>
      <c r="V280" s="321"/>
    </row>
    <row r="281" spans="18:22">
      <c r="R281" s="321"/>
      <c r="S281" s="321"/>
      <c r="T281" s="321"/>
      <c r="U281" s="321"/>
      <c r="V281" s="321"/>
    </row>
    <row r="282" spans="18:22">
      <c r="R282" s="321"/>
      <c r="S282" s="321"/>
      <c r="T282" s="321"/>
      <c r="U282" s="321"/>
      <c r="V282" s="321"/>
    </row>
    <row r="283" spans="18:22">
      <c r="R283" s="321"/>
      <c r="S283" s="321"/>
      <c r="T283" s="321"/>
      <c r="U283" s="321"/>
      <c r="V283" s="321"/>
    </row>
    <row r="284" spans="18:22">
      <c r="R284" s="321"/>
      <c r="S284" s="321"/>
      <c r="T284" s="321"/>
      <c r="U284" s="321"/>
      <c r="V284" s="321"/>
    </row>
    <row r="285" spans="18:22">
      <c r="R285" s="321"/>
      <c r="S285" s="321"/>
      <c r="T285" s="321"/>
      <c r="U285" s="321"/>
      <c r="V285" s="321"/>
    </row>
    <row r="286" spans="18:22">
      <c r="R286" s="321"/>
      <c r="S286" s="321"/>
      <c r="T286" s="321"/>
      <c r="U286" s="321"/>
      <c r="V286" s="321"/>
    </row>
    <row r="287" spans="18:22">
      <c r="R287" s="321"/>
      <c r="S287" s="321"/>
      <c r="T287" s="321"/>
      <c r="U287" s="321"/>
      <c r="V287" s="321"/>
    </row>
    <row r="288" spans="18:22">
      <c r="R288" s="321"/>
      <c r="S288" s="321"/>
      <c r="T288" s="321"/>
      <c r="U288" s="321"/>
      <c r="V288" s="321"/>
    </row>
    <row r="289" spans="18:22">
      <c r="R289" s="321"/>
      <c r="S289" s="321"/>
      <c r="T289" s="321"/>
      <c r="U289" s="321"/>
      <c r="V289" s="321"/>
    </row>
    <row r="290" spans="18:22">
      <c r="R290" s="321"/>
      <c r="S290" s="321"/>
      <c r="T290" s="321"/>
      <c r="U290" s="321"/>
      <c r="V290" s="321"/>
    </row>
    <row r="291" spans="18:22">
      <c r="R291" s="321"/>
      <c r="S291" s="321"/>
      <c r="T291" s="321"/>
      <c r="U291" s="321"/>
      <c r="V291" s="321"/>
    </row>
    <row r="292" spans="18:22">
      <c r="R292" s="321"/>
      <c r="S292" s="321"/>
      <c r="T292" s="321"/>
      <c r="U292" s="321"/>
      <c r="V292" s="321"/>
    </row>
    <row r="293" spans="18:22">
      <c r="R293" s="321"/>
      <c r="S293" s="321"/>
      <c r="T293" s="321"/>
      <c r="U293" s="321"/>
      <c r="V293" s="321"/>
    </row>
    <row r="294" spans="18:22">
      <c r="R294" s="321"/>
      <c r="S294" s="321"/>
      <c r="T294" s="321"/>
      <c r="U294" s="321"/>
      <c r="V294" s="321"/>
    </row>
    <row r="295" spans="18:22">
      <c r="R295" s="321"/>
      <c r="S295" s="321"/>
      <c r="T295" s="321"/>
      <c r="U295" s="321"/>
      <c r="V295" s="321"/>
    </row>
    <row r="296" spans="18:22">
      <c r="R296" s="321"/>
      <c r="S296" s="321"/>
      <c r="T296" s="321"/>
      <c r="U296" s="321"/>
      <c r="V296" s="321"/>
    </row>
    <row r="297" spans="18:22">
      <c r="R297" s="321"/>
      <c r="S297" s="321"/>
      <c r="T297" s="321"/>
      <c r="U297" s="321"/>
      <c r="V297" s="321"/>
    </row>
    <row r="298" spans="18:22">
      <c r="R298" s="321"/>
      <c r="S298" s="321"/>
      <c r="T298" s="321"/>
      <c r="U298" s="321"/>
      <c r="V298" s="321"/>
    </row>
    <row r="299" spans="18:22">
      <c r="R299" s="321"/>
      <c r="S299" s="321"/>
      <c r="T299" s="321"/>
      <c r="U299" s="321"/>
      <c r="V299" s="321"/>
    </row>
    <row r="300" spans="18:22">
      <c r="R300" s="321"/>
      <c r="S300" s="321"/>
      <c r="T300" s="321"/>
      <c r="U300" s="321"/>
      <c r="V300" s="321"/>
    </row>
    <row r="301" spans="18:22">
      <c r="R301" s="321"/>
      <c r="S301" s="321"/>
      <c r="T301" s="321"/>
      <c r="U301" s="321"/>
      <c r="V301" s="321"/>
    </row>
    <row r="302" spans="18:22">
      <c r="R302" s="321"/>
      <c r="S302" s="321"/>
      <c r="T302" s="321"/>
      <c r="U302" s="321"/>
      <c r="V302" s="321"/>
    </row>
    <row r="303" spans="18:22">
      <c r="R303" s="321"/>
      <c r="S303" s="321"/>
      <c r="T303" s="321"/>
      <c r="U303" s="321"/>
      <c r="V303" s="321"/>
    </row>
    <row r="304" spans="18:22">
      <c r="R304" s="321"/>
      <c r="S304" s="321"/>
      <c r="T304" s="321"/>
      <c r="U304" s="321"/>
      <c r="V304" s="321"/>
    </row>
    <row r="305" spans="18:22">
      <c r="R305" s="321"/>
      <c r="S305" s="321"/>
      <c r="T305" s="321"/>
      <c r="U305" s="321"/>
      <c r="V305" s="321"/>
    </row>
    <row r="306" spans="18:22">
      <c r="R306" s="321"/>
      <c r="S306" s="321"/>
      <c r="T306" s="321"/>
      <c r="U306" s="321"/>
      <c r="V306" s="321"/>
    </row>
    <row r="307" spans="18:22">
      <c r="R307" s="321"/>
      <c r="S307" s="321"/>
      <c r="T307" s="321"/>
      <c r="U307" s="321"/>
      <c r="V307" s="321"/>
    </row>
    <row r="308" spans="18:22">
      <c r="R308" s="321"/>
      <c r="S308" s="321"/>
      <c r="T308" s="321"/>
      <c r="U308" s="321"/>
      <c r="V308" s="321"/>
    </row>
    <row r="309" spans="18:22">
      <c r="R309" s="321"/>
      <c r="S309" s="321"/>
      <c r="T309" s="321"/>
      <c r="U309" s="321"/>
      <c r="V309" s="321"/>
    </row>
    <row r="310" spans="18:22">
      <c r="R310" s="321"/>
      <c r="S310" s="321"/>
      <c r="T310" s="321"/>
      <c r="U310" s="321"/>
      <c r="V310" s="321"/>
    </row>
    <row r="311" spans="18:22">
      <c r="R311" s="321"/>
      <c r="S311" s="321"/>
      <c r="T311" s="321"/>
      <c r="U311" s="321"/>
      <c r="V311" s="321"/>
    </row>
    <row r="312" spans="18:22">
      <c r="R312" s="321"/>
      <c r="S312" s="321"/>
      <c r="T312" s="321"/>
      <c r="U312" s="321"/>
      <c r="V312" s="321"/>
    </row>
    <row r="313" spans="18:22">
      <c r="R313" s="321"/>
      <c r="S313" s="321"/>
      <c r="T313" s="321"/>
      <c r="U313" s="321"/>
      <c r="V313" s="321"/>
    </row>
    <row r="314" spans="18:22">
      <c r="R314" s="321"/>
      <c r="S314" s="321"/>
      <c r="T314" s="321"/>
      <c r="U314" s="321"/>
      <c r="V314" s="321"/>
    </row>
    <row r="315" spans="18:22">
      <c r="R315" s="321"/>
      <c r="S315" s="321"/>
      <c r="T315" s="321"/>
      <c r="U315" s="321"/>
      <c r="V315" s="321"/>
    </row>
    <row r="316" spans="18:22">
      <c r="R316" s="321"/>
      <c r="S316" s="321"/>
      <c r="T316" s="321"/>
      <c r="U316" s="321"/>
      <c r="V316" s="321"/>
    </row>
    <row r="317" spans="18:22">
      <c r="R317" s="321"/>
      <c r="S317" s="321"/>
      <c r="T317" s="321"/>
      <c r="U317" s="321"/>
      <c r="V317" s="321"/>
    </row>
    <row r="318" spans="18:22">
      <c r="R318" s="321"/>
      <c r="S318" s="321"/>
      <c r="T318" s="321"/>
      <c r="U318" s="321"/>
      <c r="V318" s="321"/>
    </row>
    <row r="319" spans="18:22">
      <c r="R319" s="321"/>
      <c r="S319" s="321"/>
      <c r="T319" s="321"/>
      <c r="U319" s="321"/>
      <c r="V319" s="321"/>
    </row>
    <row r="320" spans="18:22">
      <c r="R320" s="321"/>
      <c r="S320" s="321"/>
      <c r="T320" s="321"/>
      <c r="U320" s="321"/>
      <c r="V320" s="321"/>
    </row>
    <row r="321" spans="18:22">
      <c r="R321" s="321"/>
      <c r="S321" s="321"/>
      <c r="T321" s="321"/>
      <c r="U321" s="321"/>
      <c r="V321" s="321"/>
    </row>
    <row r="322" spans="18:22">
      <c r="R322" s="321"/>
      <c r="S322" s="321"/>
      <c r="T322" s="321"/>
      <c r="U322" s="321"/>
      <c r="V322" s="321"/>
    </row>
    <row r="323" spans="18:22">
      <c r="R323" s="321"/>
      <c r="S323" s="321"/>
      <c r="T323" s="321"/>
      <c r="U323" s="321"/>
      <c r="V323" s="321"/>
    </row>
    <row r="324" spans="18:22">
      <c r="R324" s="321"/>
      <c r="S324" s="321"/>
      <c r="T324" s="321"/>
      <c r="U324" s="321"/>
      <c r="V324" s="321"/>
    </row>
    <row r="325" spans="18:22">
      <c r="R325" s="321"/>
      <c r="S325" s="321"/>
      <c r="T325" s="321"/>
      <c r="U325" s="321"/>
      <c r="V325" s="321"/>
    </row>
    <row r="326" spans="18:22">
      <c r="R326" s="321"/>
      <c r="S326" s="321"/>
      <c r="T326" s="321"/>
      <c r="U326" s="321"/>
      <c r="V326" s="321"/>
    </row>
    <row r="327" spans="18:22">
      <c r="R327" s="321"/>
      <c r="S327" s="321"/>
      <c r="T327" s="321"/>
      <c r="U327" s="321"/>
      <c r="V327" s="321"/>
    </row>
    <row r="328" spans="18:22">
      <c r="R328" s="321"/>
      <c r="S328" s="321"/>
      <c r="T328" s="321"/>
      <c r="U328" s="321"/>
      <c r="V328" s="321"/>
    </row>
    <row r="329" spans="18:22">
      <c r="R329" s="321"/>
      <c r="S329" s="321"/>
      <c r="T329" s="321"/>
      <c r="U329" s="321"/>
      <c r="V329" s="321"/>
    </row>
    <row r="330" spans="18:22">
      <c r="R330" s="321"/>
      <c r="S330" s="321"/>
      <c r="T330" s="321"/>
      <c r="U330" s="321"/>
      <c r="V330" s="321"/>
    </row>
    <row r="331" spans="18:22">
      <c r="R331" s="321"/>
      <c r="S331" s="321"/>
      <c r="T331" s="321"/>
      <c r="U331" s="321"/>
      <c r="V331" s="321"/>
    </row>
    <row r="332" spans="18:22">
      <c r="R332" s="321"/>
      <c r="S332" s="321"/>
      <c r="T332" s="321"/>
      <c r="U332" s="321"/>
      <c r="V332" s="321"/>
    </row>
    <row r="333" spans="18:22">
      <c r="R333" s="321"/>
      <c r="S333" s="321"/>
      <c r="T333" s="321"/>
      <c r="U333" s="321"/>
      <c r="V333" s="321"/>
    </row>
    <row r="334" spans="18:22">
      <c r="R334" s="321"/>
      <c r="S334" s="321"/>
      <c r="T334" s="321"/>
      <c r="U334" s="321"/>
      <c r="V334" s="321"/>
    </row>
    <row r="335" spans="18:22">
      <c r="R335" s="321"/>
      <c r="S335" s="321"/>
      <c r="T335" s="321"/>
      <c r="U335" s="321"/>
      <c r="V335" s="321"/>
    </row>
    <row r="336" spans="18:22">
      <c r="R336" s="321"/>
      <c r="S336" s="321"/>
      <c r="T336" s="321"/>
      <c r="U336" s="321"/>
      <c r="V336" s="321"/>
    </row>
    <row r="337" spans="18:22">
      <c r="R337" s="321"/>
      <c r="S337" s="321"/>
      <c r="T337" s="321"/>
      <c r="U337" s="321"/>
      <c r="V337" s="321"/>
    </row>
    <row r="338" spans="18:22">
      <c r="R338" s="321"/>
      <c r="S338" s="321"/>
      <c r="T338" s="321"/>
      <c r="U338" s="321"/>
      <c r="V338" s="321"/>
    </row>
    <row r="339" spans="18:22">
      <c r="R339" s="321"/>
      <c r="S339" s="321"/>
      <c r="T339" s="321"/>
      <c r="U339" s="321"/>
      <c r="V339" s="321"/>
    </row>
    <row r="340" spans="18:22">
      <c r="R340" s="321"/>
      <c r="S340" s="321"/>
      <c r="T340" s="321"/>
      <c r="U340" s="321"/>
      <c r="V340" s="321"/>
    </row>
    <row r="341" spans="18:22">
      <c r="R341" s="321"/>
      <c r="S341" s="321"/>
      <c r="T341" s="321"/>
      <c r="U341" s="321"/>
      <c r="V341" s="321"/>
    </row>
    <row r="342" spans="18:22">
      <c r="R342" s="321"/>
      <c r="S342" s="321"/>
      <c r="T342" s="321"/>
      <c r="U342" s="321"/>
      <c r="V342" s="321"/>
    </row>
    <row r="343" spans="18:22">
      <c r="U343" s="321"/>
      <c r="V343" s="321"/>
    </row>
    <row r="344" spans="18:22">
      <c r="U344" s="321"/>
      <c r="V344" s="321"/>
    </row>
    <row r="345" spans="18:22">
      <c r="U345" s="321"/>
      <c r="V345" s="321"/>
    </row>
  </sheetData>
  <sheetProtection formatCells="0" insertHyperlinks="0"/>
  <autoFilter ref="C10:J87" xr:uid="{00000000-0009-0000-0000-00000A000000}">
    <sortState xmlns:xlrd2="http://schemas.microsoft.com/office/spreadsheetml/2017/richdata2" ref="C11:J87">
      <sortCondition ref="C10:C87"/>
    </sortState>
  </autoFilter>
  <mergeCells count="14">
    <mergeCell ref="B2:L4"/>
    <mergeCell ref="C156:C163"/>
    <mergeCell ref="C8:K9"/>
    <mergeCell ref="M8:T9"/>
    <mergeCell ref="C174:C186"/>
    <mergeCell ref="E175:I175"/>
    <mergeCell ref="M41:M42"/>
    <mergeCell ref="C189:C202"/>
    <mergeCell ref="F192:G192"/>
    <mergeCell ref="H192:I192"/>
    <mergeCell ref="J192:K192"/>
    <mergeCell ref="C165:C172"/>
    <mergeCell ref="E166:F168"/>
    <mergeCell ref="H166:I167"/>
  </mergeCells>
  <conditionalFormatting sqref="K156 J68:J88 J62:J66">
    <cfRule type="cellIs" dxfId="337" priority="203" operator="equal">
      <formula>"Positif"</formula>
    </cfRule>
    <cfRule type="cellIs" dxfId="336" priority="204" operator="equal">
      <formula>"Negatif"</formula>
    </cfRule>
  </conditionalFormatting>
  <conditionalFormatting sqref="J68:J88 J62:J66">
    <cfRule type="cellIs" dxfId="335" priority="202" operator="equal">
      <formula>"négatif"</formula>
    </cfRule>
  </conditionalFormatting>
  <conditionalFormatting sqref="J68:J83 J88 J62:J6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4" priority="197" operator="equal">
      <formula>"Negatif"</formula>
    </cfRule>
    <cfRule type="colorScale" priority="198">
      <colorScale>
        <cfvo type="min"/>
        <cfvo type="max"/>
        <color rgb="FFFF7128"/>
        <color rgb="FFFFEF9C"/>
      </colorScale>
    </cfRule>
  </conditionalFormatting>
  <conditionalFormatting sqref="J68:J82 J88 J62:J6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3" priority="194" operator="equal">
      <formula>"Negatif"</formula>
    </cfRule>
    <cfRule type="colorScale" priority="195">
      <colorScale>
        <cfvo type="min"/>
        <cfvo type="max"/>
        <color rgb="FFFF7128"/>
        <color rgb="FFFFEF9C"/>
      </colorScale>
    </cfRule>
  </conditionalFormatting>
  <conditionalFormatting sqref="J68:J88 J62:J66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2" priority="2645" operator="equal">
      <formula>"Negatif"</formula>
    </cfRule>
    <cfRule type="colorScale" priority="2646">
      <colorScale>
        <cfvo type="min"/>
        <cfvo type="max"/>
        <color rgb="FFFF7128"/>
        <color rgb="FFFFEF9C"/>
      </colorScale>
    </cfRule>
  </conditionalFormatting>
  <conditionalFormatting sqref="J67">
    <cfRule type="cellIs" dxfId="331" priority="80" operator="equal">
      <formula>"Positif"</formula>
    </cfRule>
    <cfRule type="cellIs" dxfId="330" priority="81" operator="equal">
      <formula>"Negatif"</formula>
    </cfRule>
  </conditionalFormatting>
  <conditionalFormatting sqref="J67">
    <cfRule type="cellIs" dxfId="329" priority="79" operator="equal">
      <formula>"négatif"</formula>
    </cfRule>
  </conditionalFormatting>
  <conditionalFormatting sqref="J6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8" priority="77" operator="equal">
      <formula>"Negatif"</formula>
    </cfRule>
    <cfRule type="colorScale" priority="78">
      <colorScale>
        <cfvo type="min"/>
        <cfvo type="max"/>
        <color rgb="FFFF7128"/>
        <color rgb="FFFFEF9C"/>
      </colorScale>
    </cfRule>
  </conditionalFormatting>
  <conditionalFormatting sqref="J6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7" priority="74" operator="equal">
      <formula>"Negatif"</formula>
    </cfRule>
    <cfRule type="colorScale" priority="75">
      <colorScale>
        <cfvo type="min"/>
        <cfvo type="max"/>
        <color rgb="FFFF7128"/>
        <color rgb="FFFFEF9C"/>
      </colorScale>
    </cfRule>
  </conditionalFormatting>
  <conditionalFormatting sqref="J6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6" priority="83" operator="equal">
      <formula>"Negatif"</formula>
    </cfRule>
    <cfRule type="colorScale" priority="84">
      <colorScale>
        <cfvo type="min"/>
        <cfvo type="max"/>
        <color rgb="FFFF7128"/>
        <color rgb="FFFFEF9C"/>
      </colorScale>
    </cfRule>
  </conditionalFormatting>
  <dataValidations count="3">
    <dataValidation type="list" allowBlank="1" showInputMessage="1" showErrorMessage="1" sqref="I11:I88" xr:uid="{00000000-0002-0000-0A00-000000000000}">
      <formula1>$E$177:$E$184</formula1>
    </dataValidation>
    <dataValidation type="list" allowBlank="1" showInputMessage="1" showErrorMessage="1" sqref="F11:F87" xr:uid="{00000000-0002-0000-0A00-000001000000}">
      <formula1>Type</formula1>
    </dataValidation>
    <dataValidation type="list" allowBlank="1" showInputMessage="1" showErrorMessage="1" sqref="H11:H87" xr:uid="{00000000-0002-0000-0A00-000002000000}">
      <formula1>INDIRECT(F11)</formula1>
    </dataValidation>
  </dataValidations>
  <hyperlinks>
    <hyperlink ref="S11" r:id="rId1" xr:uid="{00000000-0004-0000-0A00-000000000000}"/>
    <hyperlink ref="K11" r:id="rId2" display="PQR" xr:uid="{00000000-0004-0000-0A00-000001000000}"/>
    <hyperlink ref="K13" r:id="rId3" display="PQR" xr:uid="{00000000-0004-0000-0A00-000002000000}"/>
    <hyperlink ref="K12" r:id="rId4" display="PQR" xr:uid="{00000000-0004-0000-0A00-000003000000}"/>
    <hyperlink ref="K21" r:id="rId5" xr:uid="{00000000-0004-0000-0A00-000004000000}"/>
    <hyperlink ref="K23" r:id="rId6" display="PQR" xr:uid="{00000000-0004-0000-0A00-000005000000}"/>
    <hyperlink ref="K20" r:id="rId7" xr:uid="{00000000-0004-0000-0A00-000006000000}"/>
    <hyperlink ref="K16" r:id="rId8" display="PQR" xr:uid="{00000000-0004-0000-0A00-000007000000}"/>
    <hyperlink ref="K15" r:id="rId9" xr:uid="{00000000-0004-0000-0A00-000008000000}"/>
    <hyperlink ref="K17" r:id="rId10" display="PQR" xr:uid="{00000000-0004-0000-0A00-000009000000}"/>
    <hyperlink ref="K18" r:id="rId11" display="PQR" xr:uid="{00000000-0004-0000-0A00-00000A000000}"/>
    <hyperlink ref="K19" r:id="rId12" display="PQR" xr:uid="{00000000-0004-0000-0A00-00000B000000}"/>
    <hyperlink ref="K22" r:id="rId13" display="PQR" xr:uid="{00000000-0004-0000-0A00-00000C000000}"/>
    <hyperlink ref="K24" r:id="rId14" display="PQR" xr:uid="{00000000-0004-0000-0A00-00000D000000}"/>
    <hyperlink ref="K26" r:id="rId15" display="PQR" xr:uid="{00000000-0004-0000-0A00-00000E000000}"/>
    <hyperlink ref="K25" r:id="rId16" xr:uid="{00000000-0004-0000-0A00-00000F000000}"/>
    <hyperlink ref="K28" r:id="rId17" display="PQR" xr:uid="{00000000-0004-0000-0A00-000010000000}"/>
    <hyperlink ref="K27" r:id="rId18" xr:uid="{00000000-0004-0000-0A00-000011000000}"/>
    <hyperlink ref="K30" r:id="rId19" display="PQR" xr:uid="{00000000-0004-0000-0A00-000012000000}"/>
    <hyperlink ref="K31" r:id="rId20" display="PQR" xr:uid="{00000000-0004-0000-0A00-000013000000}"/>
    <hyperlink ref="K29" r:id="rId21" xr:uid="{00000000-0004-0000-0A00-000014000000}"/>
    <hyperlink ref="K35" r:id="rId22" display="PQR" xr:uid="{00000000-0004-0000-0A00-000015000000}"/>
    <hyperlink ref="K32" r:id="rId23" xr:uid="{00000000-0004-0000-0A00-000016000000}"/>
    <hyperlink ref="K36" r:id="rId24" display="PQR" xr:uid="{00000000-0004-0000-0A00-000017000000}"/>
    <hyperlink ref="K34" r:id="rId25" display="PQR" xr:uid="{00000000-0004-0000-0A00-000018000000}"/>
    <hyperlink ref="K37" r:id="rId26" display="PQR" xr:uid="{00000000-0004-0000-0A00-000019000000}"/>
    <hyperlink ref="K45" r:id="rId27" display="PQR" xr:uid="{00000000-0004-0000-0A00-00001A000000}"/>
    <hyperlink ref="K38" r:id="rId28" display="PQR" xr:uid="{00000000-0004-0000-0A00-00001B000000}"/>
    <hyperlink ref="K46" r:id="rId29" xr:uid="{00000000-0004-0000-0A00-00001C000000}"/>
    <hyperlink ref="K48" r:id="rId30" display="PQR" xr:uid="{00000000-0004-0000-0A00-00001D000000}"/>
    <hyperlink ref="K43" r:id="rId31" display="PQR" xr:uid="{00000000-0004-0000-0A00-00001E000000}"/>
    <hyperlink ref="K44" r:id="rId32" display="PQR" xr:uid="{00000000-0004-0000-0A00-00001F000000}"/>
    <hyperlink ref="K39" r:id="rId33" xr:uid="{00000000-0004-0000-0A00-000020000000}"/>
    <hyperlink ref="K40" r:id="rId34" xr:uid="{00000000-0004-0000-0A00-000021000000}"/>
    <hyperlink ref="K41" r:id="rId35" display="PQR" xr:uid="{00000000-0004-0000-0A00-000022000000}"/>
    <hyperlink ref="K49" r:id="rId36" xr:uid="{00000000-0004-0000-0A00-000023000000}"/>
    <hyperlink ref="K53" r:id="rId37" xr:uid="{00000000-0004-0000-0A00-000024000000}"/>
    <hyperlink ref="K54" r:id="rId38" xr:uid="{00000000-0004-0000-0A00-000025000000}"/>
    <hyperlink ref="K55" r:id="rId39" xr:uid="{00000000-0004-0000-0A00-000026000000}"/>
    <hyperlink ref="K56" r:id="rId40" xr:uid="{00000000-0004-0000-0A00-000027000000}"/>
    <hyperlink ref="K57" r:id="rId41" xr:uid="{00000000-0004-0000-0A00-000028000000}"/>
    <hyperlink ref="K47" r:id="rId42" xr:uid="{00000000-0004-0000-0A00-000029000000}"/>
    <hyperlink ref="K50" r:id="rId43" xr:uid="{00000000-0004-0000-0A00-00002A000000}"/>
    <hyperlink ref="K51" r:id="rId44" xr:uid="{00000000-0004-0000-0A00-00002B000000}"/>
    <hyperlink ref="K52" r:id="rId45" xr:uid="{00000000-0004-0000-0A00-00002C000000}"/>
    <hyperlink ref="S14" r:id="rId46" xr:uid="{00000000-0004-0000-0A00-00002D000000}"/>
    <hyperlink ref="K14" r:id="rId47" xr:uid="{00000000-0004-0000-0A00-00002E000000}"/>
  </hyperlinks>
  <pageMargins left="0.7" right="0.7" top="0.75" bottom="0.75" header="0.3" footer="0.3"/>
  <pageSetup paperSize="9" orientation="portrait" r:id="rId48"/>
  <legacyDrawing r:id="rId4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AK248"/>
  <sheetViews>
    <sheetView topLeftCell="H7" zoomScale="70" zoomScaleNormal="70" workbookViewId="0">
      <selection activeCell="E32" sqref="E32"/>
    </sheetView>
  </sheetViews>
  <sheetFormatPr defaultColWidth="11" defaultRowHeight="15.75"/>
  <cols>
    <col min="1" max="1" width="4.25" style="329" customWidth="1"/>
    <col min="2" max="2" width="3.125" style="329" customWidth="1"/>
    <col min="3" max="3" width="9.75" style="400" customWidth="1"/>
    <col min="4" max="4" width="7.25" style="401" customWidth="1"/>
    <col min="5" max="5" width="103.75" style="402" customWidth="1"/>
    <col min="6" max="6" width="7.5" style="329" customWidth="1"/>
    <col min="7" max="7" width="7" style="403" customWidth="1"/>
    <col min="8" max="8" width="32.625" style="329" customWidth="1"/>
    <col min="9" max="9" width="14.75" style="329" customWidth="1"/>
    <col min="10" max="10" width="11.5" style="400" customWidth="1"/>
    <col min="11" max="11" width="9.75" style="329" customWidth="1"/>
    <col min="12" max="12" width="6.125" style="362" customWidth="1"/>
    <col min="13" max="13" width="16.625" style="404" customWidth="1"/>
    <col min="14" max="14" width="7.25" style="329" customWidth="1"/>
    <col min="15" max="15" width="55.5" style="329" customWidth="1"/>
    <col min="16" max="16" width="8.625" style="329" customWidth="1"/>
    <col min="17" max="17" width="9.25" style="329" customWidth="1"/>
    <col min="18" max="19" width="11.625" style="329" customWidth="1"/>
    <col min="20" max="20" width="13.75" style="329" customWidth="1"/>
    <col min="21" max="22" width="11" style="329"/>
    <col min="23" max="23" width="11" style="321"/>
    <col min="24" max="24" width="37.125" style="321" customWidth="1"/>
    <col min="25" max="25" width="9.75" style="321" customWidth="1"/>
    <col min="26" max="26" width="24.125" style="321" customWidth="1"/>
    <col min="27" max="27" width="13" style="321" customWidth="1"/>
    <col min="28" max="28" width="16.125" style="321" customWidth="1"/>
    <col min="29" max="29" width="14.625" style="321" customWidth="1"/>
    <col min="30" max="30" width="15.75" style="321" customWidth="1"/>
    <col min="31" max="37" width="11" style="321"/>
    <col min="38" max="16384" width="11" style="329"/>
  </cols>
  <sheetData>
    <row r="1" spans="1:37" ht="16.5" thickBot="1">
      <c r="A1" s="321"/>
      <c r="B1" s="321"/>
      <c r="C1" s="322"/>
      <c r="D1" s="323"/>
      <c r="E1" s="324"/>
      <c r="F1" s="321"/>
      <c r="G1" s="325"/>
      <c r="H1" s="321"/>
      <c r="I1" s="321"/>
      <c r="J1" s="322"/>
      <c r="K1" s="326"/>
      <c r="L1" s="327"/>
      <c r="M1" s="328"/>
      <c r="N1" s="321"/>
      <c r="O1" s="321"/>
      <c r="P1" s="321"/>
      <c r="Q1" s="321"/>
      <c r="R1" s="321"/>
      <c r="S1" s="321"/>
      <c r="T1" s="321"/>
      <c r="U1" s="321"/>
      <c r="V1" s="321"/>
    </row>
    <row r="2" spans="1:37" ht="15.75" customHeight="1">
      <c r="A2" s="321"/>
      <c r="B2" s="1557" t="s">
        <v>608</v>
      </c>
      <c r="C2" s="1558"/>
      <c r="D2" s="1558"/>
      <c r="E2" s="1558"/>
      <c r="F2" s="1558"/>
      <c r="G2" s="1558"/>
      <c r="H2" s="1558"/>
      <c r="I2" s="1558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  <c r="V2" s="321"/>
    </row>
    <row r="3" spans="1:37" ht="15.75" customHeight="1">
      <c r="A3" s="321"/>
      <c r="B3" s="1560"/>
      <c r="C3" s="1561"/>
      <c r="D3" s="1561"/>
      <c r="E3" s="1561"/>
      <c r="F3" s="1561"/>
      <c r="G3" s="1561"/>
      <c r="H3" s="1561"/>
      <c r="I3" s="1561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37" ht="15.75" customHeight="1" thickBot="1">
      <c r="A4" s="321"/>
      <c r="B4" s="1563"/>
      <c r="C4" s="1564"/>
      <c r="D4" s="1564"/>
      <c r="E4" s="1564"/>
      <c r="F4" s="1564"/>
      <c r="G4" s="1564"/>
      <c r="H4" s="1564"/>
      <c r="I4" s="1564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  <c r="V4" s="321"/>
    </row>
    <row r="5" spans="1:37" ht="15.75" customHeight="1">
      <c r="A5" s="321"/>
      <c r="B5" s="326"/>
      <c r="C5" s="330"/>
      <c r="D5" s="331"/>
      <c r="E5" s="330"/>
      <c r="F5" s="330"/>
      <c r="G5" s="330"/>
      <c r="H5" s="330"/>
      <c r="I5" s="330"/>
      <c r="J5" s="330"/>
      <c r="K5" s="332"/>
      <c r="L5" s="332"/>
      <c r="M5" s="326"/>
      <c r="N5" s="321"/>
      <c r="O5" s="321"/>
      <c r="P5" s="321"/>
      <c r="Q5" s="321"/>
      <c r="R5" s="321"/>
      <c r="S5" s="321"/>
      <c r="T5" s="321"/>
      <c r="U5" s="321"/>
      <c r="V5" s="321"/>
    </row>
    <row r="6" spans="1:37" ht="15.75" customHeight="1" thickBot="1">
      <c r="A6" s="321"/>
      <c r="B6" s="326"/>
      <c r="C6" s="330"/>
      <c r="D6" s="331"/>
      <c r="E6" s="330"/>
      <c r="F6" s="330"/>
      <c r="G6" s="330"/>
      <c r="H6" s="330"/>
      <c r="I6" s="330"/>
      <c r="J6" s="330"/>
      <c r="K6" s="332"/>
      <c r="L6" s="332"/>
      <c r="M6" s="326"/>
      <c r="N6" s="321"/>
      <c r="O6" s="321"/>
      <c r="P6" s="321"/>
      <c r="Q6" s="321"/>
      <c r="R6" s="321"/>
      <c r="S6" s="321"/>
      <c r="T6" s="321"/>
      <c r="U6" s="321"/>
      <c r="V6" s="321"/>
    </row>
    <row r="7" spans="1:37" ht="15.75" customHeight="1" thickBot="1">
      <c r="A7" s="321"/>
      <c r="B7" s="471"/>
      <c r="C7" s="817"/>
      <c r="D7" s="818"/>
      <c r="E7" s="817"/>
      <c r="F7" s="817"/>
      <c r="G7" s="817"/>
      <c r="H7" s="817"/>
      <c r="I7" s="817"/>
      <c r="J7" s="817"/>
      <c r="K7" s="819"/>
      <c r="L7" s="336"/>
      <c r="M7" s="337"/>
      <c r="N7" s="337"/>
      <c r="O7" s="337"/>
      <c r="P7" s="337"/>
      <c r="Q7" s="337"/>
      <c r="R7" s="337"/>
      <c r="S7" s="337"/>
      <c r="T7" s="337"/>
      <c r="U7" s="338"/>
      <c r="V7" s="321"/>
    </row>
    <row r="8" spans="1:37" ht="15.75" customHeight="1">
      <c r="A8" s="321"/>
      <c r="B8" s="474"/>
      <c r="C8" s="1620" t="s">
        <v>64</v>
      </c>
      <c r="D8" s="1621"/>
      <c r="E8" s="1621"/>
      <c r="F8" s="1621"/>
      <c r="G8" s="1621"/>
      <c r="H8" s="1621"/>
      <c r="I8" s="1621"/>
      <c r="J8" s="1621"/>
      <c r="K8" s="1622"/>
      <c r="L8" s="340"/>
      <c r="M8" s="1551" t="s">
        <v>65</v>
      </c>
      <c r="N8" s="1552"/>
      <c r="O8" s="1552"/>
      <c r="P8" s="1552"/>
      <c r="Q8" s="1552"/>
      <c r="R8" s="1552"/>
      <c r="S8" s="1552"/>
      <c r="T8" s="1553"/>
      <c r="U8" s="341"/>
      <c r="V8" s="321"/>
    </row>
    <row r="9" spans="1:37" ht="15.75" customHeight="1">
      <c r="A9" s="321"/>
      <c r="B9" s="474"/>
      <c r="C9" s="1623"/>
      <c r="D9" s="1624"/>
      <c r="E9" s="1624"/>
      <c r="F9" s="1624"/>
      <c r="G9" s="1624"/>
      <c r="H9" s="1624"/>
      <c r="I9" s="1624"/>
      <c r="J9" s="1624"/>
      <c r="K9" s="1625"/>
      <c r="L9" s="340"/>
      <c r="M9" s="1554"/>
      <c r="N9" s="1555"/>
      <c r="O9" s="1555"/>
      <c r="P9" s="1555"/>
      <c r="Q9" s="1555"/>
      <c r="R9" s="1555"/>
      <c r="S9" s="1555"/>
      <c r="T9" s="1556"/>
      <c r="U9" s="341"/>
      <c r="V9" s="321"/>
    </row>
    <row r="10" spans="1:37" ht="30" customHeight="1">
      <c r="A10" s="321"/>
      <c r="B10" s="474"/>
      <c r="C10" s="864">
        <v>44062</v>
      </c>
      <c r="D10" s="798" t="s">
        <v>67</v>
      </c>
      <c r="E10" s="799" t="s">
        <v>68</v>
      </c>
      <c r="F10" s="801" t="s">
        <v>69</v>
      </c>
      <c r="G10" s="801" t="s">
        <v>70</v>
      </c>
      <c r="H10" s="801" t="s">
        <v>71</v>
      </c>
      <c r="I10" s="801" t="s">
        <v>72</v>
      </c>
      <c r="J10" s="802" t="s">
        <v>73</v>
      </c>
      <c r="K10" s="865" t="s">
        <v>74</v>
      </c>
      <c r="L10" s="346"/>
      <c r="M10" s="735" t="s">
        <v>75</v>
      </c>
      <c r="N10" s="348" t="s">
        <v>76</v>
      </c>
      <c r="O10" s="349" t="s">
        <v>77</v>
      </c>
      <c r="P10" s="349" t="s">
        <v>69</v>
      </c>
      <c r="Q10" s="349" t="s">
        <v>70</v>
      </c>
      <c r="R10" s="685" t="s">
        <v>72</v>
      </c>
      <c r="S10" s="349" t="s">
        <v>74</v>
      </c>
      <c r="T10" s="350" t="s">
        <v>64</v>
      </c>
      <c r="U10" s="341"/>
      <c r="V10" s="321"/>
    </row>
    <row r="11" spans="1:37" s="357" customFormat="1" ht="16.5" customHeight="1">
      <c r="A11" s="351"/>
      <c r="B11" s="820"/>
      <c r="C11" s="1226">
        <v>44044</v>
      </c>
      <c r="D11" s="1307">
        <v>70</v>
      </c>
      <c r="E11" s="1308" t="s">
        <v>609</v>
      </c>
      <c r="F11" s="1309" t="s">
        <v>10</v>
      </c>
      <c r="G11" s="1310">
        <f>IF( F11="Radio", VLOOKUP(H11,radio!$A$2:$B$33,2), IF(F11="PQR",VLOOKUP(H11,pqr!$A$2:$B$20,2),IF(F11="INTERNET",VLOOKUP(H11,internet!$A$2:$C$43,2),IF(F11="TV",VLOOKUP(H11,tv!$A$2:$B$10,2),""))) )</f>
        <v>40</v>
      </c>
      <c r="H11" s="1311" t="s">
        <v>275</v>
      </c>
      <c r="I11" s="1311" t="s">
        <v>51</v>
      </c>
      <c r="J11" s="1134" t="s">
        <v>80</v>
      </c>
      <c r="K11" s="866" t="s">
        <v>96</v>
      </c>
      <c r="L11" s="353"/>
      <c r="M11" s="354"/>
      <c r="N11" s="355"/>
      <c r="O11" s="889"/>
      <c r="P11" s="890"/>
      <c r="Q11" s="890"/>
      <c r="R11" s="493"/>
      <c r="S11" s="698"/>
      <c r="T11" s="595"/>
      <c r="U11" s="356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351"/>
      <c r="AJ11" s="351"/>
      <c r="AK11" s="351"/>
    </row>
    <row r="12" spans="1:37" s="357" customFormat="1" ht="15.75" customHeight="1">
      <c r="A12" s="351"/>
      <c r="B12" s="820"/>
      <c r="C12" s="1226">
        <v>44044</v>
      </c>
      <c r="D12" s="1307">
        <v>71</v>
      </c>
      <c r="E12" s="1312" t="s">
        <v>610</v>
      </c>
      <c r="F12" s="1309" t="s">
        <v>8</v>
      </c>
      <c r="G12" s="1310">
        <f>IF( F12="Radio", VLOOKUP(H12,radio!$A$2:$B$33,2), IF(F12="PQR",VLOOKUP(H12,pqr!$A$2:$B$20,2),IF(F12="INTERNET",VLOOKUP(H12,internet!$A$2:$C$43,2),IF(F12="TV",VLOOKUP(H12,tv!$A$2:$B$10,2),""))) )</f>
        <v>64</v>
      </c>
      <c r="H12" s="1311" t="s">
        <v>611</v>
      </c>
      <c r="I12" s="1311" t="s">
        <v>51</v>
      </c>
      <c r="J12" s="1134" t="s">
        <v>80</v>
      </c>
      <c r="K12" s="816" t="s">
        <v>81</v>
      </c>
      <c r="L12" s="358"/>
      <c r="M12" s="354" t="s">
        <v>612</v>
      </c>
      <c r="N12" s="355">
        <v>73</v>
      </c>
      <c r="O12" s="889" t="s">
        <v>613</v>
      </c>
      <c r="P12" s="890" t="s">
        <v>107</v>
      </c>
      <c r="Q12" s="890">
        <v>40</v>
      </c>
      <c r="R12" s="493" t="s">
        <v>47</v>
      </c>
      <c r="S12" s="698"/>
      <c r="T12" s="595">
        <f>COUNTIF(D:D,N12)+COUNTIF(Sept!D:D,N12)</f>
        <v>1</v>
      </c>
      <c r="U12" s="34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  <c r="AG12" s="351"/>
      <c r="AH12" s="351"/>
      <c r="AI12" s="351"/>
      <c r="AJ12" s="351"/>
      <c r="AK12" s="351"/>
    </row>
    <row r="13" spans="1:37" ht="32.25" thickBot="1">
      <c r="A13" s="321"/>
      <c r="B13" s="474"/>
      <c r="C13" s="1226">
        <v>44044</v>
      </c>
      <c r="D13" s="1307">
        <v>70</v>
      </c>
      <c r="E13" s="1311" t="s">
        <v>614</v>
      </c>
      <c r="F13" s="1309" t="s">
        <v>8</v>
      </c>
      <c r="G13" s="1310">
        <f>IF( F13="Radio", VLOOKUP(H13,radio!$A$2:$B$33,2), IF(F13="PQR",VLOOKUP(H13,pqr!$A$2:$B$20,2),IF(F13="INTERNET",VLOOKUP(H13,internet!$A$2:$C$43,2),IF(F13="TV",VLOOKUP(H13,tv!$A$2:$B$10,2),""))) )</f>
        <v>40</v>
      </c>
      <c r="H13" s="1311" t="s">
        <v>85</v>
      </c>
      <c r="I13" s="1311" t="s">
        <v>51</v>
      </c>
      <c r="J13" s="1134" t="s">
        <v>80</v>
      </c>
      <c r="K13" s="867" t="s">
        <v>81</v>
      </c>
      <c r="L13" s="359"/>
      <c r="M13" s="768" t="s">
        <v>615</v>
      </c>
      <c r="N13" s="526">
        <v>74</v>
      </c>
      <c r="O13" s="533" t="s">
        <v>616</v>
      </c>
      <c r="P13" s="366" t="s">
        <v>94</v>
      </c>
      <c r="Q13" s="366">
        <v>40</v>
      </c>
      <c r="R13" s="769" t="s">
        <v>617</v>
      </c>
      <c r="S13" s="367"/>
      <c r="T13" s="596">
        <f>COUNTIF(D:D,N13)+COUNTIF(Sept!D:D,N13)</f>
        <v>6</v>
      </c>
      <c r="U13" s="341"/>
      <c r="V13" s="321"/>
    </row>
    <row r="14" spans="1:37" s="362" customFormat="1" ht="16.5" thickBot="1">
      <c r="A14" s="360"/>
      <c r="B14" s="821"/>
      <c r="C14" s="1226">
        <v>44044</v>
      </c>
      <c r="D14" s="1307">
        <v>71</v>
      </c>
      <c r="E14" s="1313" t="s">
        <v>618</v>
      </c>
      <c r="F14" s="1309" t="s">
        <v>8</v>
      </c>
      <c r="G14" s="1310">
        <f>IF( F14="Radio", VLOOKUP(H14,radio!$A$2:$B$33,2), IF(F14="PQR",VLOOKUP(H14,pqr!$A$2:$B$20,2),IF(F14="INTERNET",VLOOKUP(H14,internet!$A$2:$C$43,2),IF(F14="TV",VLOOKUP(H14,tv!$A$2:$B$10,2),""))) )</f>
        <v>64</v>
      </c>
      <c r="H14" s="1311" t="s">
        <v>396</v>
      </c>
      <c r="I14" s="1311" t="s">
        <v>51</v>
      </c>
      <c r="J14" s="1134" t="s">
        <v>80</v>
      </c>
      <c r="K14" s="867" t="s">
        <v>81</v>
      </c>
      <c r="L14" s="358"/>
      <c r="M14" s="768"/>
      <c r="N14" s="526"/>
      <c r="O14" s="533"/>
      <c r="P14" s="366"/>
      <c r="Q14" s="366"/>
      <c r="R14" s="769"/>
      <c r="S14" s="367"/>
      <c r="T14" s="596">
        <f>COUNTIF(D:D,N14)+COUNTIF(Sept!D:D,N14)</f>
        <v>0</v>
      </c>
      <c r="U14" s="341"/>
      <c r="V14" s="360"/>
      <c r="W14" s="360"/>
      <c r="X14" s="360"/>
      <c r="Y14" s="360"/>
      <c r="Z14" s="360"/>
      <c r="AA14" s="360"/>
      <c r="AB14" s="360"/>
      <c r="AC14" s="360"/>
      <c r="AD14" s="360"/>
      <c r="AE14" s="360"/>
      <c r="AF14" s="360"/>
      <c r="AG14" s="360"/>
      <c r="AH14" s="360"/>
      <c r="AI14" s="360"/>
      <c r="AJ14" s="360"/>
      <c r="AK14" s="360"/>
    </row>
    <row r="15" spans="1:37" s="362" customFormat="1" ht="16.5" thickBot="1">
      <c r="A15" s="360"/>
      <c r="B15" s="821"/>
      <c r="C15" s="1226">
        <v>44044</v>
      </c>
      <c r="D15" s="1307">
        <v>71</v>
      </c>
      <c r="E15" s="1311" t="s">
        <v>618</v>
      </c>
      <c r="F15" s="1309" t="s">
        <v>8</v>
      </c>
      <c r="G15" s="1310">
        <f>IF( F15="Radio", VLOOKUP(H15,radio!$A$2:$B$33,2), IF(F15="PQR",VLOOKUP(H15,pqr!$A$2:$B$20,2),IF(F15="INTERNET",VLOOKUP(H15,internet!$A$2:$C$43,2),IF(F15="TV",VLOOKUP(H15,tv!$A$2:$B$10,2),""))) )</f>
        <v>64</v>
      </c>
      <c r="H15" s="1311" t="s">
        <v>556</v>
      </c>
      <c r="I15" s="1311" t="s">
        <v>51</v>
      </c>
      <c r="J15" s="1134" t="s">
        <v>80</v>
      </c>
      <c r="K15" s="867" t="s">
        <v>81</v>
      </c>
      <c r="L15" s="358"/>
      <c r="M15" s="768"/>
      <c r="N15" s="526"/>
      <c r="O15" s="533"/>
      <c r="P15" s="366"/>
      <c r="Q15" s="366"/>
      <c r="R15" s="769"/>
      <c r="S15" s="367"/>
      <c r="T15" s="596">
        <f>COUNTIF(D:D,N15)+COUNTIF(Sept!D:D,N15)</f>
        <v>0</v>
      </c>
      <c r="U15" s="341"/>
      <c r="V15" s="360"/>
      <c r="W15" s="360"/>
      <c r="X15" s="360"/>
      <c r="Y15" s="360"/>
      <c r="Z15" s="360"/>
      <c r="AA15" s="360"/>
      <c r="AB15" s="360"/>
      <c r="AC15" s="360"/>
      <c r="AD15" s="360"/>
      <c r="AE15" s="360"/>
      <c r="AF15" s="360"/>
      <c r="AG15" s="360"/>
      <c r="AH15" s="360"/>
      <c r="AI15" s="360"/>
      <c r="AJ15" s="360"/>
      <c r="AK15" s="360"/>
    </row>
    <row r="16" spans="1:37" s="362" customFormat="1" ht="16.5" thickBot="1">
      <c r="A16" s="360"/>
      <c r="B16" s="821"/>
      <c r="C16" s="1226">
        <v>44044</v>
      </c>
      <c r="D16" s="1307">
        <v>71</v>
      </c>
      <c r="E16" s="1311" t="s">
        <v>619</v>
      </c>
      <c r="F16" s="1309" t="s">
        <v>8</v>
      </c>
      <c r="G16" s="1310">
        <f>IF( F16="Radio", VLOOKUP(H16,radio!$A$2:$B$33,2), IF(F16="PQR",VLOOKUP(H16,pqr!$A$2:$B$20,2),IF(F16="INTERNET",VLOOKUP(H16,internet!$A$2:$C$43,2),IF(F16="TV",VLOOKUP(H16,tv!$A$2:$B$10,2),""))) )</f>
        <v>64</v>
      </c>
      <c r="H16" s="1311" t="s">
        <v>396</v>
      </c>
      <c r="I16" s="1311" t="s">
        <v>51</v>
      </c>
      <c r="J16" s="1134" t="s">
        <v>80</v>
      </c>
      <c r="K16" s="867" t="s">
        <v>81</v>
      </c>
      <c r="L16" s="358"/>
      <c r="M16" s="768"/>
      <c r="N16" s="526"/>
      <c r="O16" s="533"/>
      <c r="P16" s="366"/>
      <c r="Q16" s="366"/>
      <c r="R16" s="769"/>
      <c r="S16" s="367"/>
      <c r="T16" s="596">
        <f>COUNTIF(D:D,N16)+COUNTIF(Sept!D:D,N16)</f>
        <v>0</v>
      </c>
      <c r="U16" s="341"/>
      <c r="V16" s="360"/>
      <c r="W16" s="360"/>
      <c r="X16" s="360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360"/>
      <c r="AJ16" s="360"/>
      <c r="AK16" s="360"/>
    </row>
    <row r="17" spans="1:37" s="365" customFormat="1" ht="16.5" thickBot="1">
      <c r="A17" s="363"/>
      <c r="B17" s="822"/>
      <c r="C17" s="1226">
        <v>44054</v>
      </c>
      <c r="D17" s="1307">
        <v>71</v>
      </c>
      <c r="E17" s="1313" t="s">
        <v>620</v>
      </c>
      <c r="F17" s="1309" t="s">
        <v>10</v>
      </c>
      <c r="G17" s="1310">
        <f>IF( F17="Radio", VLOOKUP(H17,radio!$A$2:$B$33,2), IF(F17="PQR",VLOOKUP(H17,pqr!$A$2:$B$20,2),IF(F17="INTERNET",VLOOKUP(H17,internet!$A$2:$C$43,2),IF(F17="TV",VLOOKUP(H17,tv!$A$2:$B$10,2),""))) )</f>
        <v>64</v>
      </c>
      <c r="H17" s="1311" t="s">
        <v>331</v>
      </c>
      <c r="I17" s="1311" t="s">
        <v>51</v>
      </c>
      <c r="J17" s="1134" t="s">
        <v>80</v>
      </c>
      <c r="K17" s="816" t="s">
        <v>96</v>
      </c>
      <c r="L17" s="353"/>
      <c r="M17" s="768"/>
      <c r="N17" s="526"/>
      <c r="O17" s="533"/>
      <c r="P17" s="366"/>
      <c r="Q17" s="366"/>
      <c r="R17" s="769"/>
      <c r="S17" s="367"/>
      <c r="T17" s="596">
        <f>COUNTIF(D:D,N17)+COUNTIF(Sept!D:D,N17)</f>
        <v>0</v>
      </c>
      <c r="U17" s="341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  <c r="AH17" s="363"/>
      <c r="AI17" s="363"/>
      <c r="AJ17" s="363"/>
      <c r="AK17" s="363"/>
    </row>
    <row r="18" spans="1:37" s="362" customFormat="1" ht="16.5" thickBot="1">
      <c r="A18" s="360"/>
      <c r="B18" s="821"/>
      <c r="C18" s="1226">
        <v>44054</v>
      </c>
      <c r="D18" s="1307"/>
      <c r="E18" s="1312" t="s">
        <v>621</v>
      </c>
      <c r="F18" s="1309" t="s">
        <v>10</v>
      </c>
      <c r="G18" s="1310">
        <f>IF( F18="Radio", VLOOKUP(H18,radio!$A$2:$B$33,2), IF(F18="PQR",VLOOKUP(H18,pqr!$A$2:$B$20,2),IF(F18="INTERNET",VLOOKUP(H18,internet!$A$2:$C$43,2),IF(F18="TV",VLOOKUP(H18,tv!$A$2:$B$10,2),""))) )</f>
        <v>64</v>
      </c>
      <c r="H18" s="1311" t="s">
        <v>331</v>
      </c>
      <c r="I18" s="1311" t="s">
        <v>51</v>
      </c>
      <c r="J18" s="1134" t="s">
        <v>80</v>
      </c>
      <c r="K18" s="816" t="s">
        <v>96</v>
      </c>
      <c r="L18" s="353"/>
      <c r="M18" s="768"/>
      <c r="N18" s="526"/>
      <c r="O18" s="533"/>
      <c r="P18" s="366"/>
      <c r="Q18" s="366"/>
      <c r="R18" s="769"/>
      <c r="S18" s="367"/>
      <c r="T18" s="596">
        <f>COUNTIF(D:D,N18)+COUNTIF(Sept!D:D,N18)</f>
        <v>0</v>
      </c>
      <c r="U18" s="341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360"/>
      <c r="AK18" s="360"/>
    </row>
    <row r="19" spans="1:37">
      <c r="A19" s="321"/>
      <c r="B19" s="474"/>
      <c r="C19" s="1226">
        <v>44054</v>
      </c>
      <c r="D19" s="1307"/>
      <c r="E19" s="1312" t="s">
        <v>622</v>
      </c>
      <c r="F19" s="1309" t="s">
        <v>10</v>
      </c>
      <c r="G19" s="1310">
        <f>IF( F19="Radio", VLOOKUP(H19,radio!$A$2:$B$33,2), IF(F19="PQR",VLOOKUP(H19,pqr!$A$2:$B$20,2),IF(F19="INTERNET",VLOOKUP(H19,internet!$A$2:$C$43,2),IF(F19="TV",VLOOKUP(H19,tv!$A$2:$B$10,2),""))) )</f>
        <v>64</v>
      </c>
      <c r="H19" s="1311" t="s">
        <v>331</v>
      </c>
      <c r="I19" s="1311" t="s">
        <v>51</v>
      </c>
      <c r="J19" s="1134" t="s">
        <v>80</v>
      </c>
      <c r="K19" s="816" t="s">
        <v>96</v>
      </c>
      <c r="L19" s="353"/>
      <c r="M19" s="765"/>
      <c r="N19" s="765"/>
      <c r="O19" s="713"/>
      <c r="P19" s="836"/>
      <c r="Q19" s="669"/>
      <c r="R19" s="373"/>
      <c r="S19" s="373"/>
      <c r="T19" s="378"/>
      <c r="U19" s="341"/>
      <c r="V19" s="321"/>
    </row>
    <row r="20" spans="1:37" s="365" customFormat="1" ht="15.75" customHeight="1">
      <c r="A20" s="363"/>
      <c r="B20" s="822"/>
      <c r="C20" s="1226">
        <v>44054</v>
      </c>
      <c r="D20" s="1307"/>
      <c r="E20" s="1314" t="s">
        <v>623</v>
      </c>
      <c r="F20" s="1309" t="s">
        <v>10</v>
      </c>
      <c r="G20" s="1310">
        <f>IF( F20="Radio", VLOOKUP(H20,radio!$A$2:$B$33,2), IF(F20="PQR",VLOOKUP(H20,pqr!$A$2:$B$20,2),IF(F20="INTERNET",VLOOKUP(H20,internet!$A$2:$C$43,2),IF(F20="TV",VLOOKUP(H20,tv!$A$2:$B$10,2),""))) )</f>
        <v>64</v>
      </c>
      <c r="H20" s="1311" t="s">
        <v>331</v>
      </c>
      <c r="I20" s="1311" t="s">
        <v>51</v>
      </c>
      <c r="J20" s="1134" t="s">
        <v>80</v>
      </c>
      <c r="K20" s="816" t="s">
        <v>96</v>
      </c>
      <c r="L20" s="353"/>
      <c r="M20" s="369"/>
      <c r="N20" s="369"/>
      <c r="O20" s="346"/>
      <c r="P20" s="836"/>
      <c r="Q20" s="346"/>
      <c r="R20" s="346"/>
      <c r="S20" s="346"/>
      <c r="T20" s="346"/>
      <c r="U20" s="341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363"/>
      <c r="AK20" s="363"/>
    </row>
    <row r="21" spans="1:37" s="362" customFormat="1">
      <c r="A21" s="360"/>
      <c r="B21" s="821"/>
      <c r="C21" s="1226">
        <v>44055</v>
      </c>
      <c r="D21" s="1307"/>
      <c r="E21" s="1314" t="s">
        <v>624</v>
      </c>
      <c r="F21" s="1309" t="s">
        <v>10</v>
      </c>
      <c r="G21" s="1310">
        <f>IF( F21="Radio", VLOOKUP(H21,radio!$A$2:$B$33,2), IF(F21="PQR",VLOOKUP(H21,pqr!$A$2:$B$20,2),IF(F21="INTERNET",VLOOKUP(H21,internet!$A$2:$C$43,2),IF(F21="TV",VLOOKUP(H21,tv!$A$2:$B$10,2),""))) )</f>
        <v>64</v>
      </c>
      <c r="H21" s="1311" t="s">
        <v>261</v>
      </c>
      <c r="I21" s="1311" t="s">
        <v>51</v>
      </c>
      <c r="J21" s="1134" t="s">
        <v>625</v>
      </c>
      <c r="K21" s="816" t="s">
        <v>96</v>
      </c>
      <c r="L21" s="358"/>
      <c r="M21" s="697"/>
      <c r="N21" s="766"/>
      <c r="O21" s="369"/>
      <c r="P21" s="836"/>
      <c r="Q21" s="369"/>
      <c r="R21" s="369"/>
      <c r="S21" s="369"/>
      <c r="T21" s="369"/>
      <c r="U21" s="341"/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  <c r="AF21" s="360"/>
      <c r="AG21" s="360"/>
      <c r="AH21" s="360"/>
      <c r="AI21" s="360"/>
      <c r="AJ21" s="360"/>
      <c r="AK21" s="360"/>
    </row>
    <row r="22" spans="1:37" s="362" customFormat="1">
      <c r="A22" s="360"/>
      <c r="B22" s="821"/>
      <c r="C22" s="1226">
        <v>44056</v>
      </c>
      <c r="D22" s="1307">
        <v>70</v>
      </c>
      <c r="E22" s="1314" t="s">
        <v>626</v>
      </c>
      <c r="F22" s="1309" t="s">
        <v>10</v>
      </c>
      <c r="G22" s="1310">
        <f>IF( F22="Radio", VLOOKUP(H22,radio!$A$2:$B$33,2), IF(F22="PQR",VLOOKUP(H22,pqr!$A$2:$B$20,2),IF(F22="INTERNET",VLOOKUP(H22,internet!$A$2:$C$43,2),IF(F22="TV",VLOOKUP(H22,tv!$A$2:$B$10,2),""))) )</f>
        <v>40</v>
      </c>
      <c r="H22" s="1311" t="s">
        <v>275</v>
      </c>
      <c r="I22" s="1311" t="s">
        <v>51</v>
      </c>
      <c r="J22" s="1134" t="s">
        <v>80</v>
      </c>
      <c r="K22" s="816" t="s">
        <v>96</v>
      </c>
      <c r="L22" s="370"/>
      <c r="M22" s="369"/>
      <c r="N22" s="369"/>
      <c r="O22" s="369"/>
      <c r="P22" s="836"/>
      <c r="Q22" s="369"/>
      <c r="R22" s="369"/>
      <c r="S22" s="369"/>
      <c r="T22" s="369"/>
      <c r="U22" s="341"/>
      <c r="V22" s="360"/>
      <c r="W22" s="360"/>
      <c r="X22" s="360"/>
      <c r="Y22" s="360"/>
      <c r="Z22" s="360"/>
      <c r="AA22" s="360"/>
      <c r="AB22" s="360"/>
      <c r="AC22" s="360"/>
      <c r="AD22" s="360"/>
      <c r="AE22" s="360"/>
      <c r="AF22" s="360"/>
      <c r="AG22" s="360"/>
      <c r="AH22" s="360"/>
      <c r="AI22" s="360"/>
      <c r="AJ22" s="360"/>
      <c r="AK22" s="360"/>
    </row>
    <row r="23" spans="1:37">
      <c r="A23" s="321"/>
      <c r="B23" s="474"/>
      <c r="C23" s="1226">
        <v>44056</v>
      </c>
      <c r="D23" s="1307">
        <v>70</v>
      </c>
      <c r="E23" s="1312" t="s">
        <v>627</v>
      </c>
      <c r="F23" s="1309" t="s">
        <v>10</v>
      </c>
      <c r="G23" s="1310">
        <f>IF( F23="Radio", VLOOKUP(H23,radio!$A$2:$B$33,2), IF(F23="PQR",VLOOKUP(H23,pqr!$A$2:$B$20,2),IF(F23="INTERNET",VLOOKUP(H23,internet!$A$2:$C$43,2),IF(F23="TV",VLOOKUP(H23,tv!$A$2:$B$10,2),""))) )</f>
        <v>40</v>
      </c>
      <c r="H23" s="1311" t="s">
        <v>275</v>
      </c>
      <c r="I23" s="1311" t="s">
        <v>51</v>
      </c>
      <c r="J23" s="1134" t="s">
        <v>80</v>
      </c>
      <c r="K23" s="816" t="s">
        <v>96</v>
      </c>
      <c r="L23" s="370"/>
      <c r="M23" s="369"/>
      <c r="N23" s="369"/>
      <c r="O23" s="369"/>
      <c r="P23" s="836"/>
      <c r="Q23" s="369"/>
      <c r="R23" s="369"/>
      <c r="S23" s="369"/>
      <c r="T23" s="369"/>
      <c r="U23" s="341"/>
      <c r="V23" s="321"/>
    </row>
    <row r="24" spans="1:37">
      <c r="A24" s="321"/>
      <c r="B24" s="474"/>
      <c r="C24" s="1226">
        <v>44056</v>
      </c>
      <c r="D24" s="1307">
        <v>70</v>
      </c>
      <c r="E24" s="1312" t="s">
        <v>628</v>
      </c>
      <c r="F24" s="1309" t="s">
        <v>9</v>
      </c>
      <c r="G24" s="1310">
        <v>40</v>
      </c>
      <c r="H24" s="1311" t="s">
        <v>295</v>
      </c>
      <c r="I24" s="1311" t="s">
        <v>51</v>
      </c>
      <c r="J24" s="1134" t="s">
        <v>80</v>
      </c>
      <c r="K24" s="816" t="s">
        <v>96</v>
      </c>
      <c r="L24" s="370"/>
      <c r="M24" s="369"/>
      <c r="N24" s="369"/>
      <c r="O24" s="346"/>
      <c r="P24" s="836"/>
      <c r="Q24" s="346"/>
      <c r="R24" s="346"/>
      <c r="S24" s="346"/>
      <c r="T24" s="346"/>
      <c r="U24" s="341"/>
      <c r="V24" s="321"/>
    </row>
    <row r="25" spans="1:37" ht="16.5" thickBot="1">
      <c r="A25" s="321"/>
      <c r="B25" s="474"/>
      <c r="C25" s="1226">
        <v>44062</v>
      </c>
      <c r="D25" s="1307">
        <v>73</v>
      </c>
      <c r="E25" s="1312" t="s">
        <v>629</v>
      </c>
      <c r="F25" s="1309" t="s">
        <v>8</v>
      </c>
      <c r="G25" s="1310">
        <f>IF( F25="Radio", VLOOKUP(H25,radio!$A$2:$B$33,2), IF(F25="PQR",VLOOKUP(H25,pqr!$A$2:$B$20,2),IF(F25="INTERNET",VLOOKUP(H25,internet!$A$2:$C$43,2),IF(F25="TV",VLOOKUP(H25,tv!$A$2:$B$10,2),""))) )</f>
        <v>40</v>
      </c>
      <c r="H25" s="1311" t="s">
        <v>85</v>
      </c>
      <c r="I25" s="1311" t="s">
        <v>47</v>
      </c>
      <c r="J25" s="1134" t="s">
        <v>80</v>
      </c>
      <c r="K25" s="816" t="s">
        <v>81</v>
      </c>
      <c r="L25" s="358"/>
      <c r="M25" s="369"/>
      <c r="N25" s="369"/>
      <c r="O25" s="346"/>
      <c r="P25" s="836"/>
      <c r="Q25" s="346"/>
      <c r="R25" s="346"/>
      <c r="S25" s="346"/>
      <c r="T25" s="346"/>
      <c r="U25" s="341"/>
      <c r="V25" s="321"/>
    </row>
    <row r="26" spans="1:37" s="362" customFormat="1">
      <c r="A26" s="360"/>
      <c r="B26" s="821"/>
      <c r="C26" s="1226">
        <v>44062</v>
      </c>
      <c r="D26" s="1307"/>
      <c r="E26" s="1315" t="s">
        <v>630</v>
      </c>
      <c r="F26" s="1309" t="s">
        <v>8</v>
      </c>
      <c r="G26" s="1310">
        <f>IF( F26="Radio", VLOOKUP(H26,radio!$A$2:$B$33,2), IF(F26="PQR",VLOOKUP(H26,pqr!$A$2:$B$20,2),IF(F26="INTERNET",VLOOKUP(H26,internet!$A$2:$C$43,2),IF(F26="TV",VLOOKUP(H26,tv!$A$2:$B$10,2),""))) )</f>
        <v>64</v>
      </c>
      <c r="H26" s="1311" t="s">
        <v>396</v>
      </c>
      <c r="I26" s="1311" t="s">
        <v>53</v>
      </c>
      <c r="J26" s="1134" t="s">
        <v>80</v>
      </c>
      <c r="K26" s="816" t="s">
        <v>96</v>
      </c>
      <c r="L26" s="370"/>
      <c r="M26" s="1036" t="s">
        <v>64</v>
      </c>
      <c r="N26" s="489"/>
      <c r="O26" s="371"/>
      <c r="P26" s="836"/>
      <c r="Q26" s="371"/>
      <c r="R26" s="371"/>
      <c r="S26" s="371"/>
      <c r="T26" s="371"/>
      <c r="U26" s="372"/>
      <c r="V26" s="360"/>
      <c r="W26" s="360"/>
      <c r="X26" s="360"/>
      <c r="Y26" s="360"/>
      <c r="Z26" s="360"/>
      <c r="AA26" s="360"/>
      <c r="AB26" s="360"/>
      <c r="AC26" s="360"/>
      <c r="AD26" s="360"/>
      <c r="AE26" s="360"/>
      <c r="AF26" s="360"/>
      <c r="AG26" s="360"/>
      <c r="AH26" s="360"/>
      <c r="AI26" s="360"/>
      <c r="AJ26" s="360"/>
      <c r="AK26" s="360"/>
    </row>
    <row r="27" spans="1:37" s="362" customFormat="1">
      <c r="A27" s="360"/>
      <c r="B27" s="821"/>
      <c r="C27" s="1226">
        <v>44062</v>
      </c>
      <c r="D27" s="1307"/>
      <c r="E27" s="1315" t="s">
        <v>630</v>
      </c>
      <c r="F27" s="1309" t="s">
        <v>8</v>
      </c>
      <c r="G27" s="1310">
        <f>IF( F27="Radio", VLOOKUP(H27,radio!$A$2:$B$33,2), IF(F27="PQR",VLOOKUP(H27,pqr!$A$2:$B$20,2),IF(F27="INTERNET",VLOOKUP(H27,internet!$A$2:$C$43,2),IF(F27="TV",VLOOKUP(H27,tv!$A$2:$B$10,2),""))) )</f>
        <v>64</v>
      </c>
      <c r="H27" s="1311" t="s">
        <v>556</v>
      </c>
      <c r="I27" s="1311" t="s">
        <v>53</v>
      </c>
      <c r="J27" s="1134" t="s">
        <v>80</v>
      </c>
      <c r="K27" s="816" t="s">
        <v>96</v>
      </c>
      <c r="L27" s="370"/>
      <c r="M27" s="490" t="s">
        <v>128</v>
      </c>
      <c r="N27" s="450">
        <f>SUM(N28:N30)</f>
        <v>24</v>
      </c>
      <c r="O27" s="371"/>
      <c r="P27" s="836"/>
      <c r="Q27" s="371"/>
      <c r="R27" s="371"/>
      <c r="S27" s="371"/>
      <c r="T27" s="371"/>
      <c r="U27" s="372"/>
      <c r="V27" s="360"/>
      <c r="W27" s="360"/>
      <c r="X27" s="360"/>
      <c r="Y27" s="360"/>
      <c r="Z27" s="360"/>
      <c r="AA27" s="360"/>
      <c r="AB27" s="360"/>
      <c r="AC27" s="360"/>
      <c r="AD27" s="360"/>
      <c r="AE27" s="360"/>
      <c r="AF27" s="360"/>
      <c r="AG27" s="360"/>
      <c r="AH27" s="360"/>
      <c r="AI27" s="360"/>
      <c r="AJ27" s="360"/>
      <c r="AK27" s="360"/>
    </row>
    <row r="28" spans="1:37" s="362" customFormat="1">
      <c r="A28" s="360"/>
      <c r="B28" s="821"/>
      <c r="C28" s="1226">
        <v>44070</v>
      </c>
      <c r="D28" s="1307"/>
      <c r="E28" s="1312" t="s">
        <v>631</v>
      </c>
      <c r="F28" s="1309" t="s">
        <v>8</v>
      </c>
      <c r="G28" s="1310">
        <f>IF( F28="Radio", VLOOKUP(H28,radio!$A$2:$B$33,2), IF(F28="PQR",VLOOKUP(H28,pqr!$A$2:$B$20,2),IF(F28="INTERNET",VLOOKUP(H28,internet!$A$2:$C$43,2),IF(F28="TV",VLOOKUP(H28,tv!$A$2:$B$10,2),""))) )</f>
        <v>65</v>
      </c>
      <c r="H28" s="1311" t="s">
        <v>91</v>
      </c>
      <c r="I28" s="1311" t="s">
        <v>52</v>
      </c>
      <c r="J28" s="1134" t="s">
        <v>80</v>
      </c>
      <c r="K28" s="816" t="s">
        <v>96</v>
      </c>
      <c r="L28" s="370"/>
      <c r="M28" s="491" t="s">
        <v>129</v>
      </c>
      <c r="N28" s="450">
        <f>COUNTIF(G$1:G198,40)</f>
        <v>10</v>
      </c>
      <c r="O28" s="346"/>
      <c r="P28" s="836"/>
      <c r="Q28" s="346"/>
      <c r="R28" s="346"/>
      <c r="S28" s="346"/>
      <c r="T28" s="346"/>
      <c r="U28" s="372"/>
      <c r="V28" s="360"/>
      <c r="W28" s="360"/>
      <c r="X28" s="360"/>
      <c r="Y28" s="360"/>
      <c r="Z28" s="360"/>
      <c r="AA28" s="360"/>
      <c r="AB28" s="360"/>
      <c r="AC28" s="360"/>
      <c r="AD28" s="360"/>
      <c r="AE28" s="360"/>
      <c r="AF28" s="360"/>
      <c r="AG28" s="360"/>
      <c r="AH28" s="360"/>
      <c r="AI28" s="360"/>
      <c r="AJ28" s="360"/>
      <c r="AK28" s="360"/>
    </row>
    <row r="29" spans="1:37">
      <c r="A29" s="321"/>
      <c r="B29" s="474"/>
      <c r="C29" s="1226">
        <v>44074</v>
      </c>
      <c r="D29" s="1307"/>
      <c r="E29" s="1313" t="s">
        <v>632</v>
      </c>
      <c r="F29" s="1309" t="s">
        <v>9</v>
      </c>
      <c r="G29" s="1310">
        <v>40</v>
      </c>
      <c r="H29" s="1316"/>
      <c r="I29" s="1311" t="s">
        <v>52</v>
      </c>
      <c r="J29" s="1134" t="s">
        <v>80</v>
      </c>
      <c r="K29" s="816" t="s">
        <v>96</v>
      </c>
      <c r="L29" s="370"/>
      <c r="M29" s="491" t="s">
        <v>132</v>
      </c>
      <c r="N29" s="450">
        <f>COUNTIF(G$1:G198,65)</f>
        <v>1</v>
      </c>
      <c r="O29" s="369"/>
      <c r="P29" s="837"/>
      <c r="Q29" s="369"/>
      <c r="R29" s="369"/>
      <c r="S29" s="369"/>
      <c r="T29" s="369"/>
      <c r="U29" s="341"/>
      <c r="V29" s="321"/>
    </row>
    <row r="30" spans="1:37" s="362" customFormat="1" ht="16.5" thickBot="1">
      <c r="A30" s="360"/>
      <c r="B30" s="821"/>
      <c r="C30" s="1226">
        <v>44074</v>
      </c>
      <c r="D30" s="1307"/>
      <c r="E30" s="1314" t="s">
        <v>633</v>
      </c>
      <c r="F30" s="1309" t="s">
        <v>9</v>
      </c>
      <c r="G30" s="1310">
        <v>40</v>
      </c>
      <c r="H30" s="1316"/>
      <c r="I30" s="1311" t="s">
        <v>53</v>
      </c>
      <c r="J30" s="1134" t="s">
        <v>80</v>
      </c>
      <c r="K30" s="816" t="s">
        <v>81</v>
      </c>
      <c r="L30" s="370"/>
      <c r="M30" s="492" t="s">
        <v>134</v>
      </c>
      <c r="N30" s="456">
        <f>COUNTIF(G$1:G198,64)</f>
        <v>13</v>
      </c>
      <c r="O30" s="346"/>
      <c r="P30" s="835"/>
      <c r="Q30" s="346"/>
      <c r="R30" s="346"/>
      <c r="S30" s="346"/>
      <c r="T30" s="346"/>
      <c r="U30" s="372"/>
      <c r="V30" s="360"/>
      <c r="W30" s="360"/>
      <c r="X30" s="360"/>
      <c r="Y30" s="360"/>
      <c r="Z30" s="360"/>
      <c r="AA30" s="360"/>
      <c r="AB30" s="360"/>
      <c r="AC30" s="360"/>
      <c r="AD30" s="360"/>
      <c r="AE30" s="360"/>
      <c r="AF30" s="360"/>
      <c r="AG30" s="360"/>
      <c r="AH30" s="360"/>
      <c r="AI30" s="360"/>
      <c r="AJ30" s="360"/>
      <c r="AK30" s="360"/>
    </row>
    <row r="31" spans="1:37">
      <c r="A31" s="321"/>
      <c r="B31" s="474"/>
      <c r="C31" s="1226" t="s">
        <v>634</v>
      </c>
      <c r="D31" s="1307">
        <v>74</v>
      </c>
      <c r="E31" s="1314" t="s">
        <v>635</v>
      </c>
      <c r="F31" s="1309" t="s">
        <v>10</v>
      </c>
      <c r="G31" s="1310">
        <v>40</v>
      </c>
      <c r="H31" s="1311" t="s">
        <v>636</v>
      </c>
      <c r="I31" s="1311" t="s">
        <v>49</v>
      </c>
      <c r="J31" s="1134" t="s">
        <v>80</v>
      </c>
      <c r="K31" s="868"/>
      <c r="L31" s="358"/>
      <c r="M31" s="373"/>
      <c r="N31" s="369"/>
      <c r="O31" s="369"/>
      <c r="P31" s="835"/>
      <c r="Q31" s="369"/>
      <c r="R31" s="369"/>
      <c r="S31" s="369"/>
      <c r="T31" s="369"/>
      <c r="U31" s="341"/>
      <c r="V31" s="321"/>
    </row>
    <row r="32" spans="1:37" s="362" customFormat="1">
      <c r="A32" s="360"/>
      <c r="B32" s="821"/>
      <c r="C32" s="1226">
        <v>44044</v>
      </c>
      <c r="D32" s="1307">
        <v>71</v>
      </c>
      <c r="E32" s="1312" t="s">
        <v>610</v>
      </c>
      <c r="F32" s="1309" t="s">
        <v>9</v>
      </c>
      <c r="G32" s="1310">
        <v>64</v>
      </c>
      <c r="H32" s="1311" t="s">
        <v>611</v>
      </c>
      <c r="I32" s="1311" t="s">
        <v>51</v>
      </c>
      <c r="J32" s="1134" t="s">
        <v>80</v>
      </c>
      <c r="K32" s="816" t="s">
        <v>81</v>
      </c>
      <c r="L32" s="358"/>
      <c r="M32" s="373"/>
      <c r="N32" s="346"/>
      <c r="O32" s="346"/>
      <c r="P32" s="835"/>
      <c r="Q32" s="346"/>
      <c r="R32" s="346"/>
      <c r="S32" s="346"/>
      <c r="T32" s="346"/>
      <c r="U32" s="372"/>
      <c r="V32" s="360"/>
      <c r="W32" s="360"/>
      <c r="X32" s="360"/>
      <c r="Y32" s="360"/>
      <c r="Z32" s="360"/>
      <c r="AA32" s="360"/>
      <c r="AB32" s="360"/>
      <c r="AC32" s="360"/>
      <c r="AD32" s="360"/>
      <c r="AE32" s="360"/>
      <c r="AF32" s="360"/>
      <c r="AG32" s="360"/>
      <c r="AH32" s="360"/>
      <c r="AI32" s="360"/>
      <c r="AJ32" s="360"/>
      <c r="AK32" s="360"/>
    </row>
    <row r="33" spans="1:37" s="362" customFormat="1">
      <c r="A33" s="360"/>
      <c r="B33" s="821"/>
      <c r="C33" s="1226" t="s">
        <v>637</v>
      </c>
      <c r="D33" s="1307">
        <v>70</v>
      </c>
      <c r="E33" s="1315" t="s">
        <v>638</v>
      </c>
      <c r="F33" s="1309" t="s">
        <v>8</v>
      </c>
      <c r="G33" s="1310">
        <v>40</v>
      </c>
      <c r="H33" s="1311" t="s">
        <v>85</v>
      </c>
      <c r="I33" s="1311" t="s">
        <v>51</v>
      </c>
      <c r="J33" s="1134" t="s">
        <v>80</v>
      </c>
      <c r="K33" s="1163"/>
      <c r="L33" s="358"/>
      <c r="M33" s="373"/>
      <c r="N33" s="346"/>
      <c r="O33" s="346"/>
      <c r="P33" s="835"/>
      <c r="Q33" s="346"/>
      <c r="R33" s="346"/>
      <c r="S33" s="346"/>
      <c r="T33" s="346"/>
      <c r="U33" s="372"/>
      <c r="V33" s="360"/>
      <c r="W33" s="360"/>
      <c r="X33" s="360"/>
      <c r="Y33" s="360"/>
      <c r="Z33" s="360"/>
      <c r="AA33" s="360"/>
      <c r="AB33" s="360"/>
      <c r="AC33" s="360"/>
      <c r="AD33" s="360"/>
      <c r="AE33" s="360"/>
      <c r="AF33" s="360"/>
      <c r="AG33" s="360"/>
      <c r="AH33" s="360"/>
      <c r="AI33" s="360"/>
      <c r="AJ33" s="360"/>
      <c r="AK33" s="360"/>
    </row>
    <row r="34" spans="1:37" s="362" customFormat="1">
      <c r="A34" s="360"/>
      <c r="B34" s="821"/>
      <c r="C34" s="1226">
        <v>44044</v>
      </c>
      <c r="D34" s="1307">
        <v>71</v>
      </c>
      <c r="E34" s="1313" t="s">
        <v>618</v>
      </c>
      <c r="F34" s="1309" t="s">
        <v>9</v>
      </c>
      <c r="G34" s="1310">
        <v>64</v>
      </c>
      <c r="H34" s="1311" t="s">
        <v>396</v>
      </c>
      <c r="I34" s="1311" t="s">
        <v>51</v>
      </c>
      <c r="J34" s="1134" t="s">
        <v>80</v>
      </c>
      <c r="K34" s="867" t="s">
        <v>81</v>
      </c>
      <c r="L34" s="358"/>
      <c r="M34" s="373"/>
      <c r="N34" s="346"/>
      <c r="O34" s="346"/>
      <c r="P34" s="346"/>
      <c r="Q34" s="346"/>
      <c r="R34" s="346"/>
      <c r="S34" s="346"/>
      <c r="T34" s="346"/>
      <c r="U34" s="372"/>
      <c r="V34" s="360"/>
      <c r="W34" s="360"/>
      <c r="X34" s="360"/>
      <c r="Y34" s="360"/>
      <c r="Z34" s="360"/>
      <c r="AA34" s="360"/>
      <c r="AB34" s="360"/>
      <c r="AC34" s="360"/>
      <c r="AD34" s="360"/>
      <c r="AE34" s="360"/>
      <c r="AF34" s="360"/>
      <c r="AG34" s="360"/>
      <c r="AH34" s="360"/>
      <c r="AI34" s="360"/>
      <c r="AJ34" s="360"/>
      <c r="AK34" s="360"/>
    </row>
    <row r="35" spans="1:37" s="362" customFormat="1" ht="16.5" customHeight="1">
      <c r="A35" s="360"/>
      <c r="B35" s="821"/>
      <c r="C35" s="1317"/>
      <c r="D35" s="1318"/>
      <c r="E35" s="1319"/>
      <c r="F35" s="1320"/>
      <c r="G35" s="1321" t="str">
        <f>IF( F35="Radio", VLOOKUP(H35,radio!$A$2:$B$33,2), IF(F35="PQR",VLOOKUP(H35,pqr!$A$2:$B$20,2),IF(F35="INTERNET",VLOOKUP(H35,internet!$A$2:$C$43,2),IF(F35="TV",VLOOKUP(H35,tv!$A$2:$B$10,2),""))) )</f>
        <v/>
      </c>
      <c r="H35" s="1322"/>
      <c r="I35" s="1323"/>
      <c r="J35" s="1324"/>
      <c r="K35" s="1163"/>
      <c r="L35" s="358"/>
      <c r="M35" s="373"/>
      <c r="N35" s="346"/>
      <c r="O35" s="346"/>
      <c r="P35" s="346"/>
      <c r="Q35" s="346"/>
      <c r="R35" s="346"/>
      <c r="S35" s="346"/>
      <c r="T35" s="346"/>
      <c r="U35" s="372"/>
      <c r="V35" s="360"/>
      <c r="W35" s="360"/>
      <c r="X35" s="360"/>
      <c r="Y35" s="360"/>
      <c r="Z35" s="360"/>
      <c r="AA35" s="360"/>
      <c r="AB35" s="360"/>
      <c r="AC35" s="360"/>
      <c r="AD35" s="360"/>
      <c r="AE35" s="360"/>
      <c r="AF35" s="360"/>
      <c r="AG35" s="360"/>
      <c r="AH35" s="360"/>
      <c r="AI35" s="360"/>
      <c r="AJ35" s="360"/>
      <c r="AK35" s="360"/>
    </row>
    <row r="36" spans="1:37" s="362" customFormat="1">
      <c r="A36" s="360"/>
      <c r="B36" s="821"/>
      <c r="C36" s="1317"/>
      <c r="D36" s="1318"/>
      <c r="E36" s="1325"/>
      <c r="F36" s="1320"/>
      <c r="G36" s="1321" t="str">
        <f>IF( F36="Radio", VLOOKUP(H36,radio!$A$2:$B$33,2), IF(F36="PQR",VLOOKUP(H36,pqr!$A$2:$B$20,2),IF(F36="INTERNET",VLOOKUP(H36,internet!$A$2:$C$43,2),IF(F36="TV",VLOOKUP(H36,tv!$A$2:$B$10,2),""))) )</f>
        <v/>
      </c>
      <c r="H36" s="1322"/>
      <c r="I36" s="1323"/>
      <c r="J36" s="1324"/>
      <c r="K36" s="1163"/>
      <c r="L36" s="358"/>
      <c r="M36" s="373"/>
      <c r="N36" s="374"/>
      <c r="O36" s="346"/>
      <c r="P36" s="346"/>
      <c r="Q36" s="346"/>
      <c r="R36" s="346"/>
      <c r="S36" s="346"/>
      <c r="T36" s="346"/>
      <c r="U36" s="372"/>
      <c r="V36" s="360"/>
      <c r="W36" s="360"/>
      <c r="X36" s="360"/>
      <c r="Y36" s="360"/>
      <c r="Z36" s="360"/>
      <c r="AA36" s="360"/>
      <c r="AB36" s="360"/>
      <c r="AC36" s="360"/>
      <c r="AD36" s="360"/>
      <c r="AE36" s="360"/>
      <c r="AF36" s="360"/>
      <c r="AG36" s="360"/>
      <c r="AH36" s="360"/>
      <c r="AI36" s="360"/>
      <c r="AJ36" s="360"/>
      <c r="AK36" s="360"/>
    </row>
    <row r="37" spans="1:37" s="362" customFormat="1">
      <c r="A37" s="360"/>
      <c r="B37" s="821"/>
      <c r="C37" s="1317"/>
      <c r="D37" s="1318"/>
      <c r="E37" s="1326"/>
      <c r="F37" s="1320"/>
      <c r="G37" s="1321" t="str">
        <f>IF( F37="Radio", VLOOKUP(H37,radio!$A$2:$B$33,2), IF(F37="PQR",VLOOKUP(H37,pqr!$A$2:$B$20,2),IF(F37="INTERNET",VLOOKUP(H37,internet!$A$2:$C$43,2),IF(F37="TV",VLOOKUP(H37,tv!$A$2:$B$10,2),""))) )</f>
        <v/>
      </c>
      <c r="H37" s="1322"/>
      <c r="I37" s="1323"/>
      <c r="J37" s="1324"/>
      <c r="K37" s="1163"/>
      <c r="L37" s="370"/>
      <c r="M37" s="373"/>
      <c r="N37" s="374"/>
      <c r="O37" s="346"/>
      <c r="P37" s="346"/>
      <c r="Q37" s="346"/>
      <c r="R37" s="346"/>
      <c r="S37" s="346"/>
      <c r="T37" s="346"/>
      <c r="U37" s="372"/>
      <c r="V37" s="360"/>
      <c r="W37" s="360"/>
      <c r="X37" s="360"/>
      <c r="Y37" s="360"/>
      <c r="Z37" s="360"/>
      <c r="AA37" s="360"/>
      <c r="AB37" s="360"/>
      <c r="AC37" s="360"/>
      <c r="AD37" s="360"/>
      <c r="AE37" s="360"/>
      <c r="AF37" s="360"/>
      <c r="AG37" s="360"/>
      <c r="AH37" s="360"/>
      <c r="AI37" s="360"/>
      <c r="AJ37" s="360"/>
      <c r="AK37" s="360"/>
    </row>
    <row r="38" spans="1:37" s="362" customFormat="1">
      <c r="A38" s="360"/>
      <c r="B38" s="821"/>
      <c r="C38" s="1317"/>
      <c r="D38" s="1318"/>
      <c r="E38" s="1326"/>
      <c r="F38" s="1320"/>
      <c r="G38" s="1321" t="str">
        <f>IF( F38="Radio", VLOOKUP(H38,radio!$A$2:$B$33,2), IF(F38="PQR",VLOOKUP(H38,pqr!$A$2:$B$20,2),IF(F38="INTERNET",VLOOKUP(H38,internet!$A$2:$C$43,2),IF(F38="TV",VLOOKUP(H38,tv!$A$2:$B$10,2),""))) )</f>
        <v/>
      </c>
      <c r="H38" s="1322"/>
      <c r="I38" s="1323"/>
      <c r="J38" s="1324"/>
      <c r="K38" s="1163"/>
      <c r="L38" s="370"/>
      <c r="M38" s="373"/>
      <c r="N38" s="374"/>
      <c r="O38" s="346"/>
      <c r="P38" s="346"/>
      <c r="Q38" s="346"/>
      <c r="R38" s="346"/>
      <c r="S38" s="346"/>
      <c r="T38" s="346"/>
      <c r="U38" s="372"/>
      <c r="V38" s="360"/>
      <c r="W38" s="360"/>
      <c r="X38" s="360"/>
      <c r="Y38" s="360"/>
      <c r="Z38" s="360"/>
      <c r="AA38" s="360"/>
      <c r="AB38" s="360"/>
      <c r="AC38" s="360"/>
      <c r="AD38" s="360"/>
      <c r="AE38" s="360"/>
      <c r="AF38" s="360"/>
      <c r="AG38" s="360"/>
      <c r="AH38" s="360"/>
      <c r="AI38" s="360"/>
      <c r="AJ38" s="360"/>
      <c r="AK38" s="360"/>
    </row>
    <row r="39" spans="1:37">
      <c r="A39" s="321"/>
      <c r="B39" s="474"/>
      <c r="C39" s="1317"/>
      <c r="D39" s="1327"/>
      <c r="E39" s="1325"/>
      <c r="F39" s="1320"/>
      <c r="G39" s="1321" t="str">
        <f>IF( F39="Radio", VLOOKUP(H39,radio!$A$2:$B$33,2), IF(F39="PQR",VLOOKUP(H39,pqr!$A$2:$B$20,2),IF(F39="INTERNET",VLOOKUP(H39,internet!$A$2:$C$43,2),IF(F39="TV",VLOOKUP(H39,tv!$A$2:$B$10,2),""))) )</f>
        <v/>
      </c>
      <c r="H39" s="1322"/>
      <c r="I39" s="1323"/>
      <c r="J39" s="1324"/>
      <c r="K39" s="1163"/>
      <c r="L39" s="370"/>
      <c r="M39" s="373"/>
      <c r="N39" s="369"/>
      <c r="O39" s="369"/>
      <c r="P39" s="369"/>
      <c r="Q39" s="369"/>
      <c r="R39" s="369"/>
      <c r="S39" s="369"/>
      <c r="T39" s="369"/>
      <c r="U39" s="341"/>
      <c r="V39" s="321"/>
    </row>
    <row r="40" spans="1:37">
      <c r="A40" s="321"/>
      <c r="B40" s="474"/>
      <c r="C40" s="1317"/>
      <c r="D40" s="1318"/>
      <c r="E40" s="1325"/>
      <c r="F40" s="1320"/>
      <c r="G40" s="1321" t="str">
        <f>IF( F40="Radio", VLOOKUP(H40,radio!$A$2:$B$33,2), IF(F40="PQR",VLOOKUP(H40,pqr!$A$2:$B$20,2),IF(F40="INTERNET",VLOOKUP(H40,internet!$A$2:$C$43,2),IF(F40="TV",VLOOKUP(H40,tv!$A$2:$B$10,2),""))) )</f>
        <v/>
      </c>
      <c r="H40" s="1322"/>
      <c r="I40" s="1323"/>
      <c r="J40" s="1324"/>
      <c r="K40" s="1163"/>
      <c r="L40" s="370"/>
      <c r="M40" s="373"/>
      <c r="N40" s="369"/>
      <c r="O40" s="369"/>
      <c r="P40" s="369"/>
      <c r="Q40" s="369"/>
      <c r="R40" s="369"/>
      <c r="S40" s="369"/>
      <c r="T40" s="369"/>
      <c r="U40" s="341"/>
      <c r="V40" s="321"/>
    </row>
    <row r="41" spans="1:37">
      <c r="A41" s="321"/>
      <c r="B41" s="474"/>
      <c r="C41" s="1317"/>
      <c r="D41" s="1318"/>
      <c r="E41" s="1325"/>
      <c r="F41" s="1320"/>
      <c r="G41" s="1321" t="str">
        <f>IF( F41="Radio", VLOOKUP(H41,radio!$A$2:$B$33,2), IF(F41="PQR",VLOOKUP(H41,pqr!$A$2:$B$20,2),IF(F41="INTERNET",VLOOKUP(H41,internet!$A$2:$C$43,2),IF(F41="TV",VLOOKUP(H41,tv!$A$2:$B$10,2),""))) )</f>
        <v/>
      </c>
      <c r="H41" s="1322"/>
      <c r="I41" s="1323"/>
      <c r="J41" s="1324"/>
      <c r="K41" s="1163"/>
      <c r="L41" s="370"/>
      <c r="M41" s="373"/>
      <c r="N41" s="369"/>
      <c r="O41" s="369"/>
      <c r="P41" s="369"/>
      <c r="Q41" s="369"/>
      <c r="R41" s="369"/>
      <c r="S41" s="369"/>
      <c r="T41" s="369"/>
      <c r="U41" s="341"/>
      <c r="V41" s="321"/>
    </row>
    <row r="42" spans="1:37">
      <c r="A42" s="321"/>
      <c r="B42" s="474"/>
      <c r="C42" s="1317"/>
      <c r="D42" s="1318"/>
      <c r="E42" s="1322"/>
      <c r="F42" s="1320"/>
      <c r="G42" s="1321" t="str">
        <f>IF( F42="Radio", VLOOKUP(H42,radio!$A$2:$B$33,2), IF(F42="PQR",VLOOKUP(H42,pqr!$A$2:$B$20,2),IF(F42="INTERNET",VLOOKUP(H42,internet!$A$2:$C$43,2),IF(F42="TV",VLOOKUP(H42,tv!$A$2:$B$10,2),""))) )</f>
        <v/>
      </c>
      <c r="H42" s="1322"/>
      <c r="I42" s="1323"/>
      <c r="J42" s="1324"/>
      <c r="K42" s="1163"/>
      <c r="L42" s="375"/>
      <c r="M42" s="373"/>
      <c r="N42" s="369"/>
      <c r="O42" s="369"/>
      <c r="P42" s="369"/>
      <c r="Q42" s="369"/>
      <c r="R42" s="369"/>
      <c r="S42" s="369"/>
      <c r="T42" s="369"/>
      <c r="U42" s="341"/>
      <c r="V42" s="321"/>
    </row>
    <row r="43" spans="1:37" s="362" customFormat="1" ht="16.5" thickBot="1">
      <c r="A43" s="360"/>
      <c r="B43" s="821"/>
      <c r="C43" s="1328"/>
      <c r="D43" s="1329"/>
      <c r="E43" s="1330"/>
      <c r="F43" s="1331"/>
      <c r="G43" s="1332" t="str">
        <f>IF( F43="Radio", VLOOKUP(H43,radio!$A$2:$B$33,2), IF(F43="PQR",VLOOKUP(H43,pqr!$A$2:$B$20,2),IF(F43="INTERNET",VLOOKUP(H43,internet!$A$2:$C$43,2),IF(F43="TV",VLOOKUP(H43,tv!$A$2:$B$10,2),""))) )</f>
        <v/>
      </c>
      <c r="H43" s="1333"/>
      <c r="I43" s="1334"/>
      <c r="J43" s="1335"/>
      <c r="K43" s="1167"/>
      <c r="L43" s="358"/>
      <c r="M43" s="373"/>
      <c r="N43" s="346"/>
      <c r="O43" s="346"/>
      <c r="P43" s="346"/>
      <c r="Q43" s="346"/>
      <c r="R43" s="346"/>
      <c r="S43" s="346"/>
      <c r="T43" s="346"/>
      <c r="U43" s="372"/>
      <c r="V43" s="360"/>
      <c r="W43" s="360"/>
      <c r="X43" s="360"/>
      <c r="Y43" s="360"/>
      <c r="Z43" s="360"/>
      <c r="AA43" s="360"/>
      <c r="AB43" s="360"/>
      <c r="AC43" s="360"/>
      <c r="AD43" s="360"/>
      <c r="AE43" s="360"/>
      <c r="AF43" s="360"/>
      <c r="AG43" s="360"/>
      <c r="AH43" s="360"/>
      <c r="AI43" s="360"/>
      <c r="AJ43" s="360"/>
      <c r="AK43" s="360"/>
    </row>
    <row r="44" spans="1:37" s="362" customFormat="1" ht="21.75" customHeight="1">
      <c r="A44" s="360"/>
      <c r="B44" s="361"/>
      <c r="C44" s="377"/>
      <c r="D44" s="706"/>
      <c r="E44" s="359"/>
      <c r="F44" s="379"/>
      <c r="G44" s="544" t="str">
        <f>IF( F44="Radio", VLOOKUP(H44,radio!$A$2:$B$33,2), IF(F44="PQR",VLOOKUP(H44,pqr!$A$2:$B$20,2),IF(F44="INTERNET",VLOOKUP(H44,internet!$A$2:$C$43,2),IF(F44="TV",VLOOKUP(H44,tv!$A$2:$B$10,2),""))) )</f>
        <v/>
      </c>
      <c r="H44" s="358"/>
      <c r="I44" s="346"/>
      <c r="J44" s="1095"/>
      <c r="K44" s="346"/>
      <c r="L44" s="370"/>
      <c r="M44" s="373"/>
      <c r="N44" s="346"/>
      <c r="O44" s="346"/>
      <c r="P44" s="346"/>
      <c r="Q44" s="346"/>
      <c r="R44" s="346"/>
      <c r="S44" s="346"/>
      <c r="T44" s="346"/>
      <c r="U44" s="372"/>
      <c r="V44" s="360"/>
      <c r="W44" s="360"/>
      <c r="X44" s="360"/>
      <c r="Y44" s="360"/>
      <c r="Z44" s="360"/>
      <c r="AA44" s="360"/>
      <c r="AB44" s="360"/>
      <c r="AC44" s="360"/>
      <c r="AD44" s="360"/>
      <c r="AE44" s="360"/>
      <c r="AF44" s="360"/>
      <c r="AG44" s="360"/>
      <c r="AH44" s="360"/>
      <c r="AI44" s="360"/>
      <c r="AJ44" s="360"/>
      <c r="AK44" s="360"/>
    </row>
    <row r="45" spans="1:37" s="362" customFormat="1">
      <c r="A45" s="360"/>
      <c r="B45" s="361"/>
      <c r="C45" s="377"/>
      <c r="D45" s="706"/>
      <c r="E45" s="705"/>
      <c r="F45" s="379"/>
      <c r="G45" s="544" t="str">
        <f>IF( F45="Radio", VLOOKUP(H45,radio!$A$2:$B$33,2), IF(F45="PQR",VLOOKUP(H45,pqr!$A$2:$B$20,2),IF(F45="INTERNET",VLOOKUP(H45,internet!$A$2:$C$43,2),IF(F45="TV",VLOOKUP(H45,tv!$A$2:$B$10,2),""))) )</f>
        <v/>
      </c>
      <c r="H45" s="358"/>
      <c r="I45" s="346"/>
      <c r="J45" s="1095"/>
      <c r="K45" s="346"/>
      <c r="L45" s="370"/>
      <c r="M45" s="373"/>
      <c r="N45" s="346"/>
      <c r="O45" s="346"/>
      <c r="P45" s="346"/>
      <c r="Q45" s="346"/>
      <c r="R45" s="346"/>
      <c r="S45" s="346"/>
      <c r="T45" s="346"/>
      <c r="U45" s="372"/>
      <c r="V45" s="360"/>
      <c r="W45" s="360"/>
      <c r="X45" s="360"/>
      <c r="Y45" s="360"/>
      <c r="Z45" s="360"/>
      <c r="AA45" s="360"/>
      <c r="AB45" s="360"/>
      <c r="AC45" s="360"/>
      <c r="AD45" s="360"/>
      <c r="AE45" s="360"/>
      <c r="AF45" s="360"/>
      <c r="AG45" s="360"/>
      <c r="AH45" s="360"/>
      <c r="AI45" s="360"/>
      <c r="AJ45" s="360"/>
      <c r="AK45" s="360"/>
    </row>
    <row r="46" spans="1:37" s="362" customFormat="1">
      <c r="A46" s="360"/>
      <c r="B46" s="361"/>
      <c r="C46" s="707"/>
      <c r="D46" s="706"/>
      <c r="E46" s="346"/>
      <c r="F46" s="379"/>
      <c r="G46" s="544" t="str">
        <f>IF( F46="Radio", VLOOKUP(H46,radio!$A$2:$B$33,2), IF(F46="PQR",VLOOKUP(H46,pqr!$A$2:$B$20,2),IF(F46="INTERNET",VLOOKUP(H46,internet!$A$2:$C$43,2),IF(F46="TV",VLOOKUP(H46,tv!$A$2:$B$10,2),""))) )</f>
        <v/>
      </c>
      <c r="H46" s="358"/>
      <c r="I46" s="346"/>
      <c r="J46" s="1095"/>
      <c r="K46" s="346"/>
      <c r="L46" s="370"/>
      <c r="M46" s="373"/>
      <c r="N46" s="346"/>
      <c r="O46" s="346"/>
      <c r="P46" s="346"/>
      <c r="Q46" s="346"/>
      <c r="R46" s="346"/>
      <c r="S46" s="346"/>
      <c r="T46" s="346"/>
      <c r="U46" s="372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  <c r="AF46" s="360"/>
      <c r="AG46" s="360"/>
      <c r="AH46" s="360"/>
      <c r="AI46" s="360"/>
      <c r="AJ46" s="360"/>
      <c r="AK46" s="360"/>
    </row>
    <row r="47" spans="1:37" s="362" customFormat="1">
      <c r="A47" s="360"/>
      <c r="B47" s="361"/>
      <c r="C47" s="377"/>
      <c r="D47" s="706"/>
      <c r="E47" s="359"/>
      <c r="F47" s="379"/>
      <c r="G47" s="544" t="str">
        <f>IF( F47="Radio", VLOOKUP(H47,radio!$A$2:$B$33,2), IF(F47="PQR",VLOOKUP(H47,pqr!$A$2:$B$20,2),IF(F47="INTERNET",VLOOKUP(H47,internet!$A$2:$C$43,2),IF(F47="TV",VLOOKUP(H47,tv!$A$2:$B$10,2),""))) )</f>
        <v/>
      </c>
      <c r="H47" s="358"/>
      <c r="I47" s="346"/>
      <c r="J47" s="1095"/>
      <c r="K47" s="346"/>
      <c r="L47" s="370"/>
      <c r="M47" s="373"/>
      <c r="N47" s="346"/>
      <c r="O47" s="346"/>
      <c r="P47" s="346"/>
      <c r="Q47" s="346"/>
      <c r="R47" s="346"/>
      <c r="S47" s="346"/>
      <c r="T47" s="346"/>
      <c r="U47" s="372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360"/>
      <c r="AJ47" s="360"/>
      <c r="AK47" s="360"/>
    </row>
    <row r="48" spans="1:37" s="362" customFormat="1">
      <c r="A48" s="360"/>
      <c r="B48" s="361"/>
      <c r="C48" s="377"/>
      <c r="D48" s="706"/>
      <c r="E48" s="359"/>
      <c r="F48" s="379"/>
      <c r="G48" s="544" t="str">
        <f>IF( F48="Radio", VLOOKUP(H48,radio!$A$2:$B$33,2), IF(F48="PQR",VLOOKUP(H48,pqr!$A$2:$B$20,2),IF(F48="INTERNET",VLOOKUP(H48,internet!$A$2:$C$43,2),IF(F48="TV",VLOOKUP(H48,tv!$A$2:$B$10,2),""))) )</f>
        <v/>
      </c>
      <c r="H48" s="358"/>
      <c r="I48" s="346"/>
      <c r="J48" s="1095"/>
      <c r="K48" s="346"/>
      <c r="L48" s="370"/>
      <c r="M48" s="373"/>
      <c r="N48" s="346"/>
      <c r="O48" s="346"/>
      <c r="P48" s="346"/>
      <c r="Q48" s="346"/>
      <c r="R48" s="346"/>
      <c r="S48" s="346"/>
      <c r="T48" s="346"/>
      <c r="U48" s="372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  <c r="AF48" s="360"/>
      <c r="AG48" s="360"/>
      <c r="AH48" s="360"/>
      <c r="AI48" s="360"/>
      <c r="AJ48" s="360"/>
      <c r="AK48" s="360"/>
    </row>
    <row r="49" spans="1:37" s="362" customFormat="1">
      <c r="A49" s="360"/>
      <c r="B49" s="361"/>
      <c r="C49" s="377"/>
      <c r="D49" s="706"/>
      <c r="E49" s="707"/>
      <c r="F49" s="379"/>
      <c r="G49" s="544" t="str">
        <f>IF( F49="Radio", VLOOKUP(H49,radio!$A$2:$B$33,2), IF(F49="PQR",VLOOKUP(H49,pqr!$A$2:$B$20,2),IF(F49="INTERNET",VLOOKUP(H49,internet!$A$2:$C$43,2),IF(F49="TV",VLOOKUP(H49,tv!$A$2:$B$10,2),""))) )</f>
        <v/>
      </c>
      <c r="H49" s="358"/>
      <c r="I49" s="346"/>
      <c r="J49" s="1095"/>
      <c r="K49" s="346"/>
      <c r="L49" s="375"/>
      <c r="M49" s="373"/>
      <c r="N49" s="346"/>
      <c r="O49" s="346"/>
      <c r="P49" s="346"/>
      <c r="Q49" s="346"/>
      <c r="R49" s="346"/>
      <c r="S49" s="346"/>
      <c r="T49" s="346"/>
      <c r="U49" s="372"/>
      <c r="V49" s="327"/>
      <c r="W49" s="327"/>
      <c r="X49" s="689"/>
      <c r="Y49" s="326"/>
      <c r="Z49" s="328"/>
      <c r="AA49" s="1306"/>
      <c r="AB49" s="1306"/>
      <c r="AC49" s="1306"/>
      <c r="AD49" s="1306"/>
      <c r="AE49" s="326"/>
      <c r="AF49" s="326"/>
      <c r="AG49" s="321"/>
      <c r="AH49" s="321"/>
      <c r="AI49" s="360"/>
      <c r="AJ49" s="360"/>
      <c r="AK49" s="360"/>
    </row>
    <row r="50" spans="1:37" s="362" customFormat="1">
      <c r="A50" s="360"/>
      <c r="B50" s="361"/>
      <c r="C50" s="377"/>
      <c r="D50" s="706"/>
      <c r="E50" s="707"/>
      <c r="F50" s="379"/>
      <c r="G50" s="544" t="str">
        <f>IF( F50="Radio", VLOOKUP(H50,radio!$A$2:$B$33,2), IF(F50="PQR",VLOOKUP(H50,pqr!$A$2:$B$20,2),IF(F50="INTERNET",VLOOKUP(H50,internet!$A$2:$C$43,2),IF(F50="TV",VLOOKUP(H50,tv!$A$2:$B$10,2),""))) )</f>
        <v/>
      </c>
      <c r="H50" s="358"/>
      <c r="I50" s="346"/>
      <c r="J50" s="1095"/>
      <c r="K50" s="346"/>
      <c r="L50" s="358"/>
      <c r="M50" s="373"/>
      <c r="N50" s="346"/>
      <c r="O50" s="346"/>
      <c r="P50" s="346"/>
      <c r="Q50" s="346"/>
      <c r="R50" s="346"/>
      <c r="S50" s="346"/>
      <c r="T50" s="346"/>
      <c r="U50" s="372"/>
      <c r="V50" s="327"/>
      <c r="W50" s="327"/>
      <c r="X50" s="689"/>
      <c r="Y50" s="326"/>
      <c r="Z50" s="328"/>
      <c r="AA50" s="1306"/>
      <c r="AB50" s="1306"/>
      <c r="AC50" s="1306"/>
      <c r="AD50" s="1306"/>
      <c r="AE50" s="326"/>
      <c r="AF50" s="326"/>
      <c r="AG50" s="321"/>
      <c r="AH50" s="321"/>
      <c r="AI50" s="360"/>
      <c r="AJ50" s="360"/>
      <c r="AK50" s="360"/>
    </row>
    <row r="51" spans="1:37" s="362" customFormat="1">
      <c r="A51" s="360"/>
      <c r="B51" s="361"/>
      <c r="C51" s="377"/>
      <c r="D51" s="706"/>
      <c r="E51" s="359"/>
      <c r="F51" s="379"/>
      <c r="G51" s="544" t="str">
        <f>IF( F51="Radio", VLOOKUP(H51,radio!$A$2:$B$33,2), IF(F51="PQR",VLOOKUP(H51,pqr!$A$2:$B$20,2),IF(F51="INTERNET",VLOOKUP(H51,internet!$A$2:$C$43,2),IF(F51="TV",VLOOKUP(H51,tv!$A$2:$B$10,2),""))) )</f>
        <v/>
      </c>
      <c r="H51" s="358"/>
      <c r="I51" s="346"/>
      <c r="J51" s="1095"/>
      <c r="K51" s="346"/>
      <c r="L51" s="358"/>
      <c r="M51" s="373"/>
      <c r="N51" s="346"/>
      <c r="O51" s="346"/>
      <c r="P51" s="346"/>
      <c r="Q51" s="346"/>
      <c r="R51" s="346"/>
      <c r="S51" s="346"/>
      <c r="T51" s="346"/>
      <c r="U51" s="372"/>
      <c r="V51" s="327"/>
      <c r="W51" s="327"/>
      <c r="X51" s="689"/>
      <c r="Y51" s="326"/>
      <c r="Z51" s="328"/>
      <c r="AA51" s="1306"/>
      <c r="AB51" s="1306"/>
      <c r="AC51" s="1306"/>
      <c r="AD51" s="1306"/>
      <c r="AE51" s="326"/>
      <c r="AF51" s="326"/>
      <c r="AG51" s="321"/>
      <c r="AH51" s="321"/>
      <c r="AI51" s="360"/>
      <c r="AJ51" s="360"/>
      <c r="AK51" s="360"/>
    </row>
    <row r="52" spans="1:37" s="362" customFormat="1">
      <c r="A52" s="360"/>
      <c r="B52" s="361"/>
      <c r="C52" s="377"/>
      <c r="D52" s="706"/>
      <c r="E52" s="359"/>
      <c r="F52" s="379"/>
      <c r="G52" s="544" t="str">
        <f>IF( F52="Radio", VLOOKUP(H52,radio!$A$2:$B$33,2), IF(F52="PQR",VLOOKUP(H52,pqr!$A$2:$B$20,2),IF(F52="INTERNET",VLOOKUP(H52,internet!$A$2:$C$43,2),IF(F52="TV",VLOOKUP(H52,tv!$A$2:$B$10,2),""))) )</f>
        <v/>
      </c>
      <c r="H52" s="358"/>
      <c r="I52" s="346"/>
      <c r="J52" s="1095"/>
      <c r="K52" s="346"/>
      <c r="L52" s="358"/>
      <c r="M52" s="373"/>
      <c r="N52" s="369"/>
      <c r="O52" s="346"/>
      <c r="P52" s="346"/>
      <c r="Q52" s="346"/>
      <c r="R52" s="346"/>
      <c r="S52" s="346"/>
      <c r="T52" s="346"/>
      <c r="U52" s="372"/>
      <c r="V52" s="327"/>
      <c r="W52" s="327"/>
      <c r="X52" s="689"/>
      <c r="Y52" s="326"/>
      <c r="Z52" s="328"/>
      <c r="AA52" s="1306"/>
      <c r="AB52" s="1306"/>
      <c r="AC52" s="1306"/>
      <c r="AD52" s="1306"/>
      <c r="AE52" s="326"/>
      <c r="AF52" s="326"/>
      <c r="AG52" s="321"/>
      <c r="AH52" s="321"/>
      <c r="AI52" s="360"/>
      <c r="AJ52" s="360"/>
      <c r="AK52" s="360"/>
    </row>
    <row r="53" spans="1:37" s="362" customFormat="1">
      <c r="A53" s="360"/>
      <c r="B53" s="361"/>
      <c r="C53" s="377"/>
      <c r="D53" s="706"/>
      <c r="E53" s="707"/>
      <c r="F53" s="379"/>
      <c r="G53" s="544" t="str">
        <f>IF( F53="Radio", VLOOKUP(H53,radio!$A$2:$B$33,2), IF(F53="PQR",VLOOKUP(H53,pqr!$A$2:$B$20,2),IF(F53="INTERNET",VLOOKUP(H53,internet!$A$2:$C$43,2),IF(F53="TV",VLOOKUP(H53,tv!$A$2:$B$10,2),""))) )</f>
        <v/>
      </c>
      <c r="H53" s="358"/>
      <c r="I53" s="346"/>
      <c r="J53" s="1095"/>
      <c r="K53" s="346"/>
      <c r="L53" s="358"/>
      <c r="M53" s="373"/>
      <c r="N53" s="369"/>
      <c r="O53" s="346"/>
      <c r="P53" s="346"/>
      <c r="Q53" s="346"/>
      <c r="R53" s="346"/>
      <c r="S53" s="346"/>
      <c r="T53" s="346"/>
      <c r="U53" s="372"/>
      <c r="V53" s="327"/>
      <c r="W53" s="327"/>
      <c r="X53" s="689"/>
      <c r="Y53" s="326"/>
      <c r="Z53" s="328"/>
      <c r="AA53" s="1306"/>
      <c r="AB53" s="1306"/>
      <c r="AC53" s="1306"/>
      <c r="AD53" s="1306"/>
      <c r="AE53" s="326"/>
      <c r="AF53" s="326"/>
      <c r="AG53" s="321"/>
      <c r="AH53" s="321"/>
      <c r="AI53" s="360"/>
      <c r="AJ53" s="360"/>
      <c r="AK53" s="360"/>
    </row>
    <row r="54" spans="1:37" s="362" customFormat="1">
      <c r="A54" s="360"/>
      <c r="B54" s="361"/>
      <c r="C54" s="377"/>
      <c r="D54" s="706"/>
      <c r="E54" s="707"/>
      <c r="F54" s="379"/>
      <c r="G54" s="544" t="str">
        <f>IF( F54="Radio", VLOOKUP(H54,radio!$A$2:$B$33,2), IF(F54="PQR",VLOOKUP(H54,pqr!$A$2:$B$20,2),IF(F54="INTERNET",VLOOKUP(H54,internet!$A$2:$C$43,2),IF(F54="TV",VLOOKUP(H54,tv!$A$2:$B$10,2),""))) )</f>
        <v/>
      </c>
      <c r="H54" s="358"/>
      <c r="I54" s="346"/>
      <c r="J54" s="1095"/>
      <c r="K54" s="346"/>
      <c r="L54" s="358"/>
      <c r="M54" s="373"/>
      <c r="N54" s="369"/>
      <c r="O54" s="346"/>
      <c r="P54" s="346"/>
      <c r="Q54" s="346"/>
      <c r="R54" s="346"/>
      <c r="S54" s="346"/>
      <c r="T54" s="346"/>
      <c r="U54" s="372"/>
      <c r="V54" s="327"/>
      <c r="W54" s="327"/>
      <c r="X54" s="689"/>
      <c r="Y54" s="326"/>
      <c r="Z54" s="690"/>
      <c r="AA54" s="691"/>
      <c r="AB54" s="691"/>
      <c r="AC54" s="326"/>
      <c r="AD54" s="326"/>
      <c r="AE54" s="326"/>
      <c r="AF54" s="326"/>
      <c r="AG54" s="321"/>
      <c r="AH54" s="321"/>
      <c r="AI54" s="360"/>
      <c r="AJ54" s="360"/>
      <c r="AK54" s="360"/>
    </row>
    <row r="55" spans="1:37" s="362" customFormat="1">
      <c r="A55" s="360"/>
      <c r="B55" s="361"/>
      <c r="C55" s="377"/>
      <c r="D55" s="706"/>
      <c r="E55" s="705"/>
      <c r="F55" s="379"/>
      <c r="G55" s="544" t="str">
        <f>IF( F55="Radio", VLOOKUP(H55,radio!$A$2:$B$33,2), IF(F55="PQR",VLOOKUP(H55,pqr!$A$2:$B$20,2),IF(F55="INTERNET",VLOOKUP(H55,internet!$A$2:$C$43,2),IF(F55="TV",VLOOKUP(H55,tv!$A$2:$B$10,2),""))) )</f>
        <v/>
      </c>
      <c r="H55" s="358"/>
      <c r="I55" s="346"/>
      <c r="J55" s="1095"/>
      <c r="K55" s="346"/>
      <c r="L55" s="353"/>
      <c r="M55" s="373"/>
      <c r="N55" s="369"/>
      <c r="O55" s="346"/>
      <c r="P55" s="346"/>
      <c r="Q55" s="346"/>
      <c r="R55" s="346"/>
      <c r="S55" s="346"/>
      <c r="T55" s="346"/>
      <c r="U55" s="372"/>
      <c r="V55" s="327"/>
      <c r="W55" s="327"/>
      <c r="X55" s="689"/>
      <c r="Y55" s="326"/>
      <c r="Z55" s="326"/>
      <c r="AA55" s="326"/>
      <c r="AB55" s="326"/>
      <c r="AC55" s="326"/>
      <c r="AD55" s="326"/>
      <c r="AE55" s="326"/>
      <c r="AF55" s="326"/>
      <c r="AG55" s="321"/>
      <c r="AH55" s="321"/>
      <c r="AI55" s="360"/>
      <c r="AJ55" s="360"/>
      <c r="AK55" s="360"/>
    </row>
    <row r="56" spans="1:37" s="362" customFormat="1">
      <c r="A56" s="360"/>
      <c r="B56" s="361"/>
      <c r="C56" s="377"/>
      <c r="D56" s="706"/>
      <c r="E56" s="705"/>
      <c r="F56" s="379"/>
      <c r="G56" s="544" t="str">
        <f>IF( F56="Radio", VLOOKUP(H56,radio!$A$2:$B$33,2), IF(F56="PQR",VLOOKUP(H56,pqr!$A$2:$B$20,2),IF(F56="INTERNET",VLOOKUP(H56,internet!$A$2:$C$43,2),IF(F56="TV",VLOOKUP(H56,tv!$A$2:$B$10,2),""))) )</f>
        <v/>
      </c>
      <c r="H56" s="358"/>
      <c r="I56" s="346"/>
      <c r="J56" s="1095"/>
      <c r="K56" s="346"/>
      <c r="L56" s="353"/>
      <c r="M56" s="373"/>
      <c r="N56" s="369"/>
      <c r="O56" s="346"/>
      <c r="P56" s="346"/>
      <c r="Q56" s="346"/>
      <c r="R56" s="346"/>
      <c r="S56" s="346"/>
      <c r="T56" s="346"/>
      <c r="U56" s="372"/>
      <c r="V56" s="360"/>
      <c r="W56" s="360"/>
      <c r="X56" s="360"/>
      <c r="Y56" s="327"/>
      <c r="Z56" s="327"/>
      <c r="AA56" s="327"/>
      <c r="AB56" s="327"/>
      <c r="AC56" s="327"/>
      <c r="AD56" s="327"/>
      <c r="AE56" s="327"/>
      <c r="AF56" s="327"/>
      <c r="AG56" s="360"/>
      <c r="AH56" s="360"/>
      <c r="AI56" s="360"/>
      <c r="AJ56" s="360"/>
      <c r="AK56" s="360"/>
    </row>
    <row r="57" spans="1:37" s="362" customFormat="1">
      <c r="A57" s="360"/>
      <c r="B57" s="361"/>
      <c r="C57" s="377"/>
      <c r="D57" s="706"/>
      <c r="E57" s="707"/>
      <c r="F57" s="379"/>
      <c r="G57" s="544" t="str">
        <f>IF( F57="Radio", VLOOKUP(H57,radio!$A$2:$B$33,2), IF(F57="PQR",VLOOKUP(H57,pqr!$A$2:$B$20,2),IF(F57="INTERNET",VLOOKUP(H57,internet!$A$2:$C$43,2),IF(F57="TV",VLOOKUP(H57,tv!$A$2:$B$10,2),""))) )</f>
        <v/>
      </c>
      <c r="H57" s="358"/>
      <c r="I57" s="346"/>
      <c r="J57" s="1095"/>
      <c r="K57" s="346"/>
      <c r="L57" s="346"/>
      <c r="M57" s="373"/>
      <c r="N57" s="369"/>
      <c r="O57" s="346"/>
      <c r="P57" s="346"/>
      <c r="Q57" s="346"/>
      <c r="R57" s="346"/>
      <c r="S57" s="346"/>
      <c r="T57" s="346"/>
      <c r="U57" s="372"/>
      <c r="V57" s="360"/>
      <c r="W57" s="360"/>
      <c r="X57" s="360"/>
      <c r="Y57" s="360"/>
      <c r="Z57" s="360"/>
      <c r="AA57" s="360"/>
      <c r="AB57" s="360"/>
      <c r="AC57" s="360"/>
      <c r="AD57" s="360"/>
      <c r="AE57" s="360"/>
      <c r="AF57" s="360"/>
      <c r="AG57" s="360"/>
      <c r="AH57" s="360"/>
      <c r="AI57" s="360"/>
      <c r="AJ57" s="360"/>
      <c r="AK57" s="360"/>
    </row>
    <row r="58" spans="1:37" s="362" customFormat="1">
      <c r="A58" s="360"/>
      <c r="B58" s="361"/>
      <c r="C58" s="377"/>
      <c r="D58" s="706"/>
      <c r="E58" s="707"/>
      <c r="F58" s="379"/>
      <c r="G58" s="544" t="str">
        <f>IF( F58="Radio", VLOOKUP(H58,radio!$A$2:$B$33,2), IF(F58="PQR",VLOOKUP(H58,pqr!$A$2:$B$20,2),IF(F58="INTERNET",VLOOKUP(H58,internet!$A$2:$C$43,2),IF(F58="TV",VLOOKUP(H58,tv!$A$2:$B$10,2),""))) )</f>
        <v/>
      </c>
      <c r="H58" s="358"/>
      <c r="I58" s="346"/>
      <c r="J58" s="1095"/>
      <c r="K58" s="346"/>
      <c r="L58" s="346"/>
      <c r="M58" s="346"/>
      <c r="N58" s="369"/>
      <c r="O58" s="346"/>
      <c r="P58" s="346"/>
      <c r="Q58" s="346"/>
      <c r="R58" s="346"/>
      <c r="S58" s="346"/>
      <c r="T58" s="346"/>
      <c r="U58" s="372"/>
      <c r="V58" s="360"/>
      <c r="W58" s="360"/>
      <c r="X58" s="360"/>
      <c r="Y58" s="360"/>
      <c r="Z58" s="360"/>
      <c r="AA58" s="360"/>
      <c r="AB58" s="360"/>
      <c r="AC58" s="360"/>
      <c r="AD58" s="360"/>
      <c r="AE58" s="360"/>
      <c r="AF58" s="360"/>
      <c r="AG58" s="360"/>
      <c r="AH58" s="360"/>
      <c r="AI58" s="360"/>
      <c r="AJ58" s="360"/>
      <c r="AK58" s="360"/>
    </row>
    <row r="59" spans="1:37">
      <c r="A59" s="321"/>
      <c r="B59" s="339"/>
      <c r="C59" s="377"/>
      <c r="D59" s="706"/>
      <c r="E59" s="359"/>
      <c r="F59" s="379"/>
      <c r="G59" s="544" t="str">
        <f>IF( F59="Radio", VLOOKUP(H59,radio!$A$2:$B$33,2), IF(F59="PQR",VLOOKUP(H59,pqr!$A$2:$B$20,2),IF(F59="INTERNET",VLOOKUP(H59,internet!$A$2:$C$43,2),IF(F59="TV",VLOOKUP(H59,tv!$A$2:$B$10,2),""))) )</f>
        <v/>
      </c>
      <c r="H59" s="358"/>
      <c r="I59" s="346"/>
      <c r="J59" s="1095"/>
      <c r="K59" s="369"/>
      <c r="L59" s="346"/>
      <c r="M59" s="373"/>
      <c r="N59" s="369"/>
      <c r="O59" s="353"/>
      <c r="P59" s="369"/>
      <c r="Q59" s="369"/>
      <c r="R59" s="369"/>
      <c r="S59" s="369"/>
      <c r="T59" s="369"/>
      <c r="U59" s="341"/>
      <c r="V59" s="321"/>
    </row>
    <row r="60" spans="1:37" s="362" customFormat="1">
      <c r="A60" s="360"/>
      <c r="B60" s="361"/>
      <c r="C60" s="377"/>
      <c r="D60" s="706"/>
      <c r="E60" s="359"/>
      <c r="F60" s="379"/>
      <c r="G60" s="544" t="str">
        <f>IF( F60="Radio", VLOOKUP(H60,radio!$A$2:$B$33,2), IF(F60="PQR",VLOOKUP(H60,pqr!$A$2:$B$20,2),IF(F60="INTERNET",VLOOKUP(H60,internet!$A$2:$C$43,2),IF(F60="TV",VLOOKUP(H60,tv!$A$2:$B$10,2),""))) )</f>
        <v/>
      </c>
      <c r="H60" s="358"/>
      <c r="I60" s="346"/>
      <c r="J60" s="1095"/>
      <c r="K60" s="346"/>
      <c r="L60" s="346"/>
      <c r="M60" s="373"/>
      <c r="N60" s="346"/>
      <c r="O60" s="346"/>
      <c r="P60" s="346"/>
      <c r="Q60" s="346"/>
      <c r="R60" s="346"/>
      <c r="S60" s="346"/>
      <c r="T60" s="346"/>
      <c r="U60" s="372"/>
      <c r="V60" s="360"/>
      <c r="W60" s="360"/>
      <c r="X60" s="360"/>
      <c r="Y60" s="360"/>
      <c r="Z60" s="360"/>
      <c r="AA60" s="360"/>
      <c r="AB60" s="360"/>
      <c r="AC60" s="360"/>
      <c r="AD60" s="360"/>
      <c r="AE60" s="360"/>
      <c r="AF60" s="360"/>
      <c r="AG60" s="360"/>
      <c r="AH60" s="360"/>
      <c r="AI60" s="360"/>
      <c r="AJ60" s="360"/>
      <c r="AK60" s="360"/>
    </row>
    <row r="61" spans="1:37" s="362" customFormat="1">
      <c r="A61" s="360"/>
      <c r="B61" s="361"/>
      <c r="C61" s="377"/>
      <c r="D61" s="378"/>
      <c r="E61" s="359"/>
      <c r="F61" s="379"/>
      <c r="G61" s="373"/>
      <c r="H61" s="380"/>
      <c r="I61" s="353"/>
      <c r="J61" s="353"/>
      <c r="K61" s="346"/>
      <c r="L61" s="346"/>
      <c r="M61" s="373"/>
      <c r="N61" s="346"/>
      <c r="O61" s="346"/>
      <c r="P61" s="346"/>
      <c r="Q61" s="346"/>
      <c r="R61" s="346"/>
      <c r="S61" s="346"/>
      <c r="T61" s="346"/>
      <c r="U61" s="372"/>
      <c r="V61" s="360"/>
      <c r="W61" s="360"/>
      <c r="X61" s="360"/>
      <c r="Y61" s="360"/>
      <c r="Z61" s="360"/>
      <c r="AA61" s="360"/>
      <c r="AB61" s="360"/>
      <c r="AC61" s="360"/>
      <c r="AD61" s="360"/>
      <c r="AE61" s="360"/>
      <c r="AF61" s="360"/>
      <c r="AG61" s="360"/>
      <c r="AH61" s="360"/>
      <c r="AI61" s="360"/>
      <c r="AJ61" s="360"/>
      <c r="AK61" s="360"/>
    </row>
    <row r="62" spans="1:37" s="362" customFormat="1" ht="14.25" customHeight="1" thickBot="1">
      <c r="A62" s="360"/>
      <c r="B62" s="381"/>
      <c r="C62" s="382"/>
      <c r="D62" s="383"/>
      <c r="E62" s="384"/>
      <c r="F62" s="382"/>
      <c r="G62" s="385"/>
      <c r="H62" s="386"/>
      <c r="I62" s="376"/>
      <c r="J62" s="387"/>
      <c r="K62" s="388"/>
      <c r="L62" s="388"/>
      <c r="M62" s="389"/>
      <c r="N62" s="388"/>
      <c r="O62" s="388"/>
      <c r="P62" s="388"/>
      <c r="Q62" s="388"/>
      <c r="R62" s="388"/>
      <c r="S62" s="388"/>
      <c r="T62" s="388"/>
      <c r="U62" s="390"/>
      <c r="V62" s="360"/>
      <c r="W62" s="360"/>
      <c r="X62" s="360"/>
      <c r="Y62" s="360"/>
      <c r="Z62" s="360"/>
      <c r="AA62" s="360"/>
      <c r="AB62" s="360"/>
      <c r="AC62" s="360"/>
      <c r="AD62" s="360"/>
      <c r="AE62" s="360"/>
      <c r="AF62" s="360"/>
      <c r="AG62" s="360"/>
      <c r="AH62" s="360"/>
      <c r="AI62" s="360"/>
      <c r="AJ62" s="360"/>
      <c r="AK62" s="360"/>
    </row>
    <row r="63" spans="1:37" s="362" customFormat="1" ht="15.75" customHeight="1">
      <c r="A63" s="360"/>
      <c r="B63" s="360"/>
      <c r="C63" s="360"/>
      <c r="D63" s="391"/>
      <c r="E63" s="360"/>
      <c r="F63" s="360"/>
      <c r="G63" s="360"/>
      <c r="H63" s="360"/>
      <c r="I63" s="360"/>
      <c r="J63" s="360"/>
      <c r="K63" s="360"/>
      <c r="L63" s="360"/>
      <c r="M63" s="392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60"/>
      <c r="AB63" s="360"/>
      <c r="AC63" s="360"/>
      <c r="AD63" s="360"/>
      <c r="AE63" s="360"/>
      <c r="AF63" s="360"/>
      <c r="AG63" s="360"/>
      <c r="AH63" s="360"/>
      <c r="AI63" s="360"/>
      <c r="AJ63" s="360"/>
      <c r="AK63" s="360"/>
    </row>
    <row r="64" spans="1:37" s="362" customFormat="1">
      <c r="A64" s="360"/>
      <c r="B64" s="360"/>
      <c r="C64" s="360"/>
      <c r="D64" s="391"/>
      <c r="E64" s="360"/>
      <c r="F64" s="360"/>
      <c r="G64" s="360"/>
      <c r="H64" s="360"/>
      <c r="I64" s="360"/>
      <c r="J64" s="360"/>
      <c r="K64" s="360"/>
      <c r="L64" s="360"/>
      <c r="M64" s="392"/>
      <c r="N64" s="360"/>
      <c r="O64" s="360"/>
      <c r="P64" s="360"/>
      <c r="Q64" s="360"/>
      <c r="R64" s="360"/>
      <c r="S64" s="360"/>
      <c r="T64" s="360"/>
      <c r="U64" s="360"/>
      <c r="V64" s="360"/>
      <c r="W64" s="360"/>
      <c r="X64" s="360"/>
      <c r="Y64" s="360"/>
      <c r="Z64" s="360"/>
      <c r="AA64" s="360"/>
      <c r="AB64" s="360"/>
      <c r="AC64" s="360"/>
      <c r="AD64" s="360"/>
      <c r="AE64" s="360"/>
      <c r="AF64" s="360"/>
      <c r="AG64" s="360"/>
      <c r="AH64" s="360"/>
      <c r="AI64" s="360"/>
      <c r="AJ64" s="360"/>
      <c r="AK64" s="360"/>
    </row>
    <row r="65" spans="1:37" s="362" customFormat="1">
      <c r="A65" s="360"/>
      <c r="B65" s="360"/>
      <c r="C65" s="360"/>
      <c r="D65" s="391"/>
      <c r="E65" s="360"/>
      <c r="F65" s="360"/>
      <c r="G65" s="360"/>
      <c r="H65" s="360"/>
      <c r="I65" s="360"/>
      <c r="J65" s="360"/>
      <c r="K65" s="360"/>
      <c r="L65" s="360"/>
      <c r="M65" s="392"/>
      <c r="N65" s="360"/>
      <c r="O65" s="360"/>
      <c r="P65" s="360"/>
      <c r="Q65" s="360"/>
      <c r="R65" s="360"/>
      <c r="S65" s="360"/>
      <c r="T65" s="360"/>
      <c r="U65" s="360"/>
      <c r="V65" s="360"/>
      <c r="W65" s="360"/>
      <c r="X65" s="360"/>
      <c r="Y65" s="360"/>
      <c r="Z65" s="360"/>
      <c r="AA65" s="360"/>
      <c r="AB65" s="360"/>
      <c r="AC65" s="360"/>
      <c r="AD65" s="360"/>
      <c r="AE65" s="360"/>
      <c r="AF65" s="360"/>
      <c r="AG65" s="360"/>
      <c r="AH65" s="360"/>
      <c r="AI65" s="360"/>
      <c r="AJ65" s="360"/>
      <c r="AK65" s="360"/>
    </row>
    <row r="66" spans="1:37" s="362" customFormat="1">
      <c r="A66" s="360"/>
      <c r="B66" s="360"/>
      <c r="C66" s="360"/>
      <c r="D66" s="391"/>
      <c r="E66" s="360"/>
      <c r="F66" s="360"/>
      <c r="G66" s="360"/>
      <c r="H66" s="360"/>
      <c r="I66" s="360"/>
      <c r="J66" s="360"/>
      <c r="K66" s="360"/>
      <c r="L66" s="360"/>
      <c r="M66" s="392"/>
      <c r="N66" s="360"/>
      <c r="O66" s="360"/>
      <c r="P66" s="360"/>
      <c r="Q66" s="360"/>
      <c r="R66" s="360"/>
      <c r="S66" s="360"/>
      <c r="T66" s="360"/>
      <c r="U66" s="360"/>
      <c r="V66" s="360"/>
      <c r="W66" s="360"/>
      <c r="X66" s="360"/>
      <c r="Y66" s="360"/>
      <c r="Z66" s="360"/>
      <c r="AA66" s="360"/>
      <c r="AB66" s="360"/>
      <c r="AC66" s="360"/>
      <c r="AD66" s="360"/>
      <c r="AE66" s="360"/>
      <c r="AF66" s="360"/>
      <c r="AG66" s="360"/>
      <c r="AH66" s="360"/>
      <c r="AI66" s="360"/>
      <c r="AJ66" s="360"/>
      <c r="AK66" s="360"/>
    </row>
    <row r="67" spans="1:37" s="362" customFormat="1">
      <c r="A67" s="360"/>
      <c r="B67" s="360"/>
      <c r="C67" s="360"/>
      <c r="D67" s="391"/>
      <c r="E67" s="360"/>
      <c r="F67" s="360"/>
      <c r="G67" s="360"/>
      <c r="H67" s="360"/>
      <c r="I67" s="360"/>
      <c r="J67" s="360"/>
      <c r="K67" s="360"/>
      <c r="L67" s="360"/>
      <c r="M67" s="392"/>
      <c r="N67" s="360"/>
      <c r="O67" s="360"/>
      <c r="P67" s="360"/>
      <c r="Q67" s="360"/>
      <c r="R67" s="360"/>
      <c r="S67" s="360"/>
      <c r="T67" s="360"/>
      <c r="U67" s="360"/>
      <c r="V67" s="360"/>
      <c r="W67" s="360"/>
      <c r="X67" s="360"/>
      <c r="Y67" s="360"/>
      <c r="Z67" s="360"/>
      <c r="AA67" s="360"/>
      <c r="AB67" s="360"/>
      <c r="AC67" s="360"/>
      <c r="AD67" s="360"/>
      <c r="AE67" s="360"/>
      <c r="AF67" s="360"/>
      <c r="AG67" s="360"/>
      <c r="AH67" s="360"/>
      <c r="AI67" s="360"/>
      <c r="AJ67" s="360"/>
      <c r="AK67" s="360"/>
    </row>
    <row r="68" spans="1:37" s="362" customFormat="1">
      <c r="A68" s="360"/>
      <c r="B68" s="360"/>
      <c r="C68" s="360"/>
      <c r="D68" s="391"/>
      <c r="E68" s="360"/>
      <c r="F68" s="360"/>
      <c r="G68" s="360"/>
      <c r="H68" s="360"/>
      <c r="I68" s="360"/>
      <c r="J68" s="360"/>
      <c r="K68" s="360"/>
      <c r="L68" s="360"/>
      <c r="M68" s="392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60"/>
      <c r="AB68" s="360"/>
      <c r="AC68" s="360"/>
      <c r="AD68" s="360"/>
      <c r="AE68" s="360"/>
      <c r="AF68" s="360"/>
      <c r="AG68" s="360"/>
      <c r="AH68" s="360"/>
      <c r="AI68" s="360"/>
      <c r="AJ68" s="360"/>
      <c r="AK68" s="360"/>
    </row>
    <row r="69" spans="1:37" s="362" customFormat="1">
      <c r="A69" s="360"/>
      <c r="B69" s="360"/>
      <c r="C69" s="360"/>
      <c r="D69" s="391"/>
      <c r="E69" s="360"/>
      <c r="F69" s="360"/>
      <c r="G69" s="360"/>
      <c r="H69" s="360"/>
      <c r="I69" s="360"/>
      <c r="J69" s="360"/>
      <c r="K69" s="360"/>
      <c r="L69" s="360"/>
      <c r="M69" s="392"/>
      <c r="N69" s="360"/>
      <c r="O69" s="360"/>
      <c r="P69" s="360"/>
      <c r="Q69" s="360"/>
      <c r="R69" s="360"/>
      <c r="S69" s="360"/>
      <c r="T69" s="360"/>
      <c r="U69" s="360"/>
      <c r="V69" s="360"/>
      <c r="W69" s="360"/>
      <c r="X69" s="360"/>
      <c r="Y69" s="360"/>
      <c r="Z69" s="360"/>
      <c r="AA69" s="360"/>
      <c r="AB69" s="360"/>
      <c r="AC69" s="360"/>
      <c r="AD69" s="360"/>
      <c r="AE69" s="360"/>
      <c r="AF69" s="360"/>
      <c r="AG69" s="360"/>
      <c r="AH69" s="360"/>
      <c r="AI69" s="360"/>
      <c r="AJ69" s="360"/>
      <c r="AK69" s="360"/>
    </row>
    <row r="70" spans="1:37" s="362" customFormat="1">
      <c r="A70" s="360"/>
      <c r="B70" s="360"/>
      <c r="C70" s="360"/>
      <c r="D70" s="391"/>
      <c r="E70" s="360"/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60"/>
      <c r="R70" s="360"/>
      <c r="S70" s="360"/>
      <c r="T70" s="360"/>
      <c r="U70" s="360"/>
      <c r="V70" s="360"/>
      <c r="W70" s="360"/>
      <c r="X70" s="360"/>
      <c r="Y70" s="360"/>
      <c r="Z70" s="360"/>
      <c r="AA70" s="360"/>
      <c r="AB70" s="360"/>
      <c r="AC70" s="360"/>
      <c r="AD70" s="360"/>
      <c r="AE70" s="360"/>
      <c r="AF70" s="360"/>
      <c r="AG70" s="360"/>
      <c r="AH70" s="360"/>
      <c r="AI70" s="360"/>
      <c r="AJ70" s="360"/>
      <c r="AK70" s="360"/>
    </row>
    <row r="71" spans="1:37" s="362" customFormat="1">
      <c r="A71" s="360"/>
      <c r="B71" s="360"/>
      <c r="C71" s="360"/>
      <c r="D71" s="391"/>
      <c r="E71" s="360"/>
      <c r="F71" s="360"/>
      <c r="G71" s="360"/>
      <c r="H71" s="360"/>
      <c r="I71" s="360"/>
      <c r="J71" s="360"/>
      <c r="K71" s="360"/>
      <c r="L71" s="360"/>
      <c r="M71" s="392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0"/>
    </row>
    <row r="72" spans="1:37" s="362" customFormat="1">
      <c r="A72" s="360"/>
      <c r="B72" s="360"/>
      <c r="C72" s="360"/>
      <c r="D72" s="391"/>
      <c r="E72" s="360"/>
      <c r="F72" s="360"/>
      <c r="G72" s="360"/>
      <c r="H72" s="360"/>
      <c r="I72" s="360"/>
      <c r="J72" s="360"/>
      <c r="K72" s="360"/>
      <c r="L72" s="360"/>
      <c r="M72" s="392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360"/>
      <c r="AA72" s="360"/>
      <c r="AB72" s="360"/>
      <c r="AC72" s="360"/>
      <c r="AD72" s="360"/>
      <c r="AE72" s="360"/>
      <c r="AF72" s="360"/>
      <c r="AG72" s="360"/>
      <c r="AH72" s="360"/>
      <c r="AI72" s="360"/>
      <c r="AJ72" s="360"/>
      <c r="AK72" s="360"/>
    </row>
    <row r="73" spans="1:37" s="362" customFormat="1">
      <c r="A73" s="360"/>
      <c r="B73" s="360"/>
      <c r="C73" s="360"/>
      <c r="D73" s="391"/>
      <c r="E73" s="360"/>
      <c r="F73" s="360"/>
      <c r="G73" s="360"/>
      <c r="H73" s="360"/>
      <c r="I73" s="360"/>
      <c r="J73" s="360"/>
      <c r="K73" s="360"/>
      <c r="L73" s="360"/>
      <c r="M73" s="392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60"/>
      <c r="AB73" s="360"/>
      <c r="AC73" s="360"/>
      <c r="AD73" s="360"/>
      <c r="AE73" s="360"/>
      <c r="AF73" s="360"/>
      <c r="AG73" s="360"/>
      <c r="AH73" s="360"/>
      <c r="AI73" s="360"/>
      <c r="AJ73" s="360"/>
      <c r="AK73" s="360"/>
    </row>
    <row r="74" spans="1:37" s="362" customFormat="1">
      <c r="A74" s="360"/>
      <c r="B74" s="360"/>
      <c r="C74" s="360"/>
      <c r="D74" s="391"/>
      <c r="E74" s="360"/>
      <c r="F74" s="360"/>
      <c r="G74" s="360"/>
      <c r="H74" s="360"/>
      <c r="I74" s="360"/>
      <c r="J74" s="360"/>
      <c r="K74" s="360"/>
      <c r="L74" s="360"/>
      <c r="M74" s="392"/>
      <c r="N74" s="360"/>
      <c r="O74" s="360"/>
      <c r="P74" s="360"/>
      <c r="Q74" s="360"/>
      <c r="R74" s="360"/>
      <c r="S74" s="360"/>
      <c r="T74" s="360"/>
      <c r="U74" s="360"/>
      <c r="V74" s="360"/>
      <c r="W74" s="360"/>
      <c r="X74" s="360"/>
      <c r="Y74" s="360"/>
      <c r="Z74" s="360"/>
      <c r="AA74" s="360"/>
      <c r="AB74" s="360"/>
      <c r="AC74" s="360"/>
      <c r="AD74" s="360"/>
      <c r="AE74" s="360"/>
      <c r="AF74" s="360"/>
      <c r="AG74" s="360"/>
      <c r="AH74" s="360"/>
      <c r="AI74" s="360"/>
      <c r="AJ74" s="360"/>
      <c r="AK74" s="360"/>
    </row>
    <row r="75" spans="1:37" s="362" customFormat="1">
      <c r="A75" s="360"/>
      <c r="B75" s="360"/>
      <c r="C75" s="360"/>
      <c r="D75" s="391"/>
      <c r="E75" s="360"/>
      <c r="F75" s="360"/>
      <c r="G75" s="360"/>
      <c r="H75" s="360"/>
      <c r="I75" s="360"/>
      <c r="J75" s="360"/>
      <c r="K75" s="360"/>
      <c r="L75" s="360"/>
      <c r="M75" s="392"/>
      <c r="N75" s="360"/>
      <c r="O75" s="360"/>
      <c r="P75" s="360"/>
      <c r="Q75" s="360"/>
      <c r="R75" s="360"/>
      <c r="S75" s="360"/>
      <c r="T75" s="360"/>
      <c r="U75" s="360"/>
      <c r="V75" s="360"/>
      <c r="W75" s="360"/>
      <c r="X75" s="360"/>
      <c r="Y75" s="360"/>
      <c r="Z75" s="360"/>
      <c r="AA75" s="360"/>
      <c r="AB75" s="360"/>
      <c r="AC75" s="360"/>
      <c r="AD75" s="360"/>
      <c r="AE75" s="360"/>
      <c r="AF75" s="360"/>
      <c r="AG75" s="360"/>
      <c r="AH75" s="360"/>
      <c r="AI75" s="360"/>
      <c r="AJ75" s="360"/>
      <c r="AK75" s="360"/>
    </row>
    <row r="76" spans="1:37" s="362" customFormat="1">
      <c r="A76" s="327"/>
      <c r="B76" s="360"/>
      <c r="C76" s="368"/>
      <c r="D76" s="393"/>
      <c r="E76" s="324"/>
      <c r="F76" s="321"/>
      <c r="G76" s="325"/>
      <c r="H76" s="321"/>
      <c r="I76" s="351"/>
      <c r="J76" s="322"/>
      <c r="K76" s="360"/>
      <c r="L76" s="394"/>
      <c r="M76" s="392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  <c r="Y76" s="360"/>
      <c r="Z76" s="360"/>
      <c r="AA76" s="360"/>
      <c r="AB76" s="360"/>
      <c r="AC76" s="360"/>
      <c r="AD76" s="360"/>
      <c r="AE76" s="360"/>
      <c r="AF76" s="360"/>
      <c r="AG76" s="360"/>
      <c r="AH76" s="360"/>
      <c r="AI76" s="360"/>
      <c r="AJ76" s="360"/>
      <c r="AK76" s="360"/>
    </row>
    <row r="77" spans="1:37" s="362" customFormat="1">
      <c r="A77" s="327"/>
      <c r="B77" s="1097"/>
      <c r="C77" s="322"/>
      <c r="D77" s="323"/>
      <c r="E77" s="360"/>
      <c r="F77" s="360"/>
      <c r="G77" s="360"/>
      <c r="H77" s="360"/>
      <c r="I77" s="360"/>
      <c r="J77" s="360"/>
      <c r="K77" s="360"/>
      <c r="L77" s="360"/>
      <c r="M77" s="392"/>
      <c r="N77" s="360"/>
      <c r="O77" s="360"/>
      <c r="P77" s="360"/>
      <c r="Q77" s="360"/>
      <c r="R77" s="360"/>
      <c r="S77" s="360"/>
      <c r="T77" s="360"/>
      <c r="U77" s="360"/>
      <c r="V77" s="360"/>
      <c r="W77" s="360"/>
      <c r="X77" s="360"/>
      <c r="Y77" s="360"/>
      <c r="Z77" s="360"/>
      <c r="AA77" s="360"/>
      <c r="AB77" s="360"/>
      <c r="AC77" s="360"/>
      <c r="AD77" s="360"/>
      <c r="AE77" s="360"/>
      <c r="AF77" s="360"/>
      <c r="AG77" s="360"/>
      <c r="AH77" s="360"/>
      <c r="AI77" s="360"/>
      <c r="AJ77" s="360"/>
      <c r="AK77" s="360"/>
    </row>
    <row r="78" spans="1:37" s="362" customFormat="1">
      <c r="A78" s="327"/>
      <c r="B78" s="1097"/>
      <c r="C78" s="322"/>
      <c r="D78" s="323"/>
      <c r="E78" s="360"/>
      <c r="F78" s="360"/>
      <c r="G78" s="360"/>
      <c r="H78" s="360"/>
      <c r="I78" s="360"/>
      <c r="J78" s="360"/>
      <c r="K78" s="360"/>
      <c r="L78" s="360"/>
      <c r="M78" s="392"/>
      <c r="N78" s="360"/>
      <c r="O78" s="360"/>
      <c r="P78" s="360"/>
      <c r="Q78" s="360"/>
      <c r="R78" s="360"/>
      <c r="S78" s="360"/>
      <c r="T78" s="360"/>
      <c r="U78" s="360"/>
      <c r="V78" s="360"/>
      <c r="W78" s="360"/>
      <c r="X78" s="360"/>
      <c r="Y78" s="360"/>
      <c r="Z78" s="360"/>
      <c r="AA78" s="360"/>
      <c r="AB78" s="360"/>
      <c r="AC78" s="360"/>
      <c r="AD78" s="360"/>
      <c r="AE78" s="360"/>
      <c r="AF78" s="360"/>
      <c r="AG78" s="360"/>
      <c r="AH78" s="360"/>
      <c r="AI78" s="360"/>
      <c r="AJ78" s="360"/>
      <c r="AK78" s="360"/>
    </row>
    <row r="79" spans="1:37" s="362" customFormat="1">
      <c r="A79" s="327"/>
      <c r="B79" s="327"/>
      <c r="C79" s="322"/>
      <c r="D79" s="323"/>
      <c r="E79" s="360"/>
      <c r="F79" s="360"/>
      <c r="G79" s="360"/>
      <c r="H79" s="360"/>
      <c r="I79" s="360"/>
      <c r="J79" s="360"/>
      <c r="K79" s="360"/>
      <c r="L79" s="360"/>
      <c r="M79" s="392"/>
      <c r="N79" s="360"/>
      <c r="O79" s="360"/>
      <c r="P79" s="360"/>
      <c r="Q79" s="360"/>
      <c r="R79" s="360"/>
      <c r="S79" s="360"/>
      <c r="T79" s="360"/>
      <c r="U79" s="360"/>
      <c r="V79" s="360"/>
      <c r="W79" s="360"/>
      <c r="X79" s="360"/>
      <c r="Y79" s="360"/>
      <c r="Z79" s="360"/>
      <c r="AA79" s="360"/>
      <c r="AB79" s="360"/>
      <c r="AC79" s="360"/>
      <c r="AD79" s="360"/>
      <c r="AE79" s="360"/>
      <c r="AF79" s="360"/>
      <c r="AG79" s="360"/>
      <c r="AH79" s="360"/>
      <c r="AI79" s="360"/>
      <c r="AJ79" s="360"/>
      <c r="AK79" s="360"/>
    </row>
    <row r="80" spans="1:37" s="399" customFormat="1">
      <c r="A80" s="395"/>
      <c r="B80" s="395"/>
      <c r="C80" s="322"/>
      <c r="D80" s="323"/>
      <c r="E80" s="360"/>
      <c r="F80" s="360"/>
      <c r="G80" s="360"/>
      <c r="H80" s="360"/>
      <c r="I80" s="360"/>
      <c r="J80" s="360"/>
      <c r="K80" s="360"/>
      <c r="L80" s="396"/>
      <c r="M80" s="397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</row>
    <row r="81" spans="1:22">
      <c r="A81" s="326"/>
      <c r="B81" s="326"/>
      <c r="C81" s="322"/>
      <c r="D81" s="323"/>
      <c r="E81" s="360"/>
      <c r="F81" s="360"/>
      <c r="G81" s="360"/>
      <c r="H81" s="360"/>
      <c r="I81" s="360"/>
      <c r="J81" s="360"/>
      <c r="K81" s="360"/>
      <c r="L81" s="360"/>
      <c r="M81" s="392"/>
      <c r="N81" s="321"/>
      <c r="O81" s="321"/>
      <c r="P81" s="321"/>
      <c r="Q81" s="321"/>
      <c r="R81" s="321"/>
      <c r="S81" s="321"/>
      <c r="T81" s="321"/>
      <c r="U81" s="321"/>
      <c r="V81" s="321"/>
    </row>
    <row r="82" spans="1:22">
      <c r="A82" s="326"/>
      <c r="B82" s="326"/>
      <c r="C82" s="322"/>
      <c r="D82" s="323"/>
      <c r="E82" s="360"/>
      <c r="F82" s="360"/>
      <c r="G82" s="360"/>
      <c r="H82" s="360"/>
      <c r="I82" s="360"/>
      <c r="J82" s="360"/>
      <c r="K82" s="360"/>
      <c r="L82" s="360"/>
      <c r="M82" s="392"/>
      <c r="N82" s="321"/>
      <c r="O82" s="321"/>
      <c r="P82" s="321"/>
      <c r="Q82" s="321"/>
      <c r="R82" s="321"/>
      <c r="S82" s="321"/>
      <c r="T82" s="321"/>
      <c r="U82" s="321"/>
      <c r="V82" s="321"/>
    </row>
    <row r="83" spans="1:22" ht="23.25" customHeight="1">
      <c r="A83" s="326"/>
      <c r="B83" s="326"/>
      <c r="C83" s="322"/>
      <c r="D83" s="323"/>
      <c r="E83" s="360"/>
      <c r="F83" s="360"/>
      <c r="G83" s="360"/>
      <c r="H83" s="360"/>
      <c r="I83" s="360"/>
      <c r="J83" s="360"/>
      <c r="K83" s="360"/>
      <c r="L83" s="360"/>
      <c r="M83" s="392"/>
      <c r="N83" s="321"/>
      <c r="O83" s="321"/>
      <c r="P83" s="321"/>
      <c r="Q83" s="321"/>
      <c r="R83" s="321"/>
      <c r="S83" s="321"/>
      <c r="T83" s="321"/>
      <c r="U83" s="321"/>
      <c r="V83" s="321"/>
    </row>
    <row r="84" spans="1:22" ht="15.75" customHeight="1">
      <c r="A84" s="326"/>
      <c r="B84" s="321"/>
      <c r="C84" s="322"/>
      <c r="D84" s="323"/>
      <c r="E84" s="360"/>
      <c r="F84" s="360"/>
      <c r="G84" s="360"/>
      <c r="H84" s="360"/>
      <c r="I84" s="360"/>
      <c r="J84" s="360"/>
      <c r="K84" s="360"/>
      <c r="L84" s="360"/>
      <c r="M84" s="392"/>
      <c r="N84" s="321"/>
      <c r="O84" s="321"/>
      <c r="P84" s="321"/>
      <c r="Q84" s="392"/>
      <c r="R84" s="321"/>
      <c r="S84" s="321"/>
      <c r="T84" s="321"/>
      <c r="U84" s="321"/>
      <c r="V84" s="321"/>
    </row>
    <row r="85" spans="1:22" ht="15.75" customHeight="1">
      <c r="A85" s="321"/>
      <c r="B85" s="321"/>
      <c r="C85" s="322"/>
      <c r="D85" s="323"/>
      <c r="E85" s="324"/>
      <c r="F85" s="321"/>
      <c r="G85" s="325"/>
      <c r="H85" s="321"/>
      <c r="I85" s="321"/>
      <c r="J85" s="322"/>
      <c r="K85" s="321"/>
      <c r="L85" s="360"/>
      <c r="M85" s="392"/>
      <c r="N85" s="321"/>
      <c r="O85" s="321"/>
      <c r="P85" s="321"/>
      <c r="Q85" s="392"/>
      <c r="R85" s="321"/>
      <c r="S85" s="321"/>
      <c r="T85" s="321"/>
      <c r="U85" s="321"/>
      <c r="V85" s="321"/>
    </row>
    <row r="86" spans="1:22" ht="15.75" customHeight="1">
      <c r="A86" s="321"/>
      <c r="B86" s="321"/>
      <c r="C86" s="322"/>
      <c r="D86" s="323"/>
      <c r="E86" s="324"/>
      <c r="F86" s="321"/>
      <c r="G86" s="325"/>
      <c r="H86" s="321"/>
      <c r="I86" s="321"/>
      <c r="J86" s="322"/>
      <c r="K86" s="321"/>
      <c r="L86" s="360"/>
      <c r="M86" s="392"/>
      <c r="N86" s="321"/>
      <c r="O86" s="321"/>
      <c r="P86" s="321"/>
      <c r="Q86" s="392"/>
      <c r="R86" s="321"/>
      <c r="S86" s="321"/>
      <c r="T86" s="321"/>
      <c r="U86" s="321"/>
      <c r="V86" s="321"/>
    </row>
    <row r="87" spans="1:22">
      <c r="A87" s="321"/>
      <c r="B87" s="321"/>
      <c r="C87" s="322"/>
      <c r="D87" s="323"/>
      <c r="E87" s="324"/>
      <c r="F87" s="321"/>
      <c r="G87" s="325"/>
      <c r="H87" s="321"/>
      <c r="I87" s="321"/>
      <c r="J87" s="322"/>
      <c r="K87" s="321"/>
      <c r="L87" s="360"/>
      <c r="M87" s="392"/>
      <c r="N87" s="321"/>
      <c r="O87" s="321"/>
      <c r="P87" s="321"/>
      <c r="Q87" s="392"/>
      <c r="R87" s="321"/>
      <c r="S87" s="321"/>
      <c r="T87" s="321"/>
      <c r="U87" s="321"/>
      <c r="V87" s="321"/>
    </row>
    <row r="88" spans="1:22">
      <c r="A88" s="321"/>
      <c r="B88" s="321"/>
      <c r="C88" s="322"/>
      <c r="D88" s="323"/>
      <c r="E88" s="324"/>
      <c r="F88" s="321"/>
      <c r="G88" s="325"/>
      <c r="H88" s="321"/>
      <c r="I88" s="321"/>
      <c r="J88" s="322"/>
      <c r="K88" s="321"/>
      <c r="L88" s="360"/>
      <c r="M88" s="392"/>
      <c r="N88" s="321"/>
      <c r="O88" s="321"/>
      <c r="P88" s="321"/>
      <c r="Q88" s="392"/>
      <c r="R88" s="321"/>
      <c r="S88" s="321"/>
      <c r="T88" s="321"/>
      <c r="U88" s="321"/>
      <c r="V88" s="321"/>
    </row>
    <row r="89" spans="1:22">
      <c r="A89" s="321"/>
      <c r="B89" s="321"/>
      <c r="C89" s="322"/>
      <c r="D89" s="323"/>
      <c r="E89" s="324"/>
      <c r="F89" s="321"/>
      <c r="G89" s="325"/>
      <c r="H89" s="321"/>
      <c r="I89" s="321"/>
      <c r="J89" s="322"/>
      <c r="K89" s="321"/>
      <c r="L89" s="360"/>
      <c r="M89" s="392"/>
      <c r="N89" s="321"/>
      <c r="O89" s="321"/>
      <c r="P89" s="321"/>
      <c r="Q89" s="392"/>
      <c r="R89" s="321"/>
      <c r="S89" s="321"/>
      <c r="T89" s="321"/>
      <c r="U89" s="321"/>
      <c r="V89" s="321"/>
    </row>
    <row r="90" spans="1:22">
      <c r="A90" s="321"/>
      <c r="B90" s="321"/>
      <c r="C90" s="322"/>
      <c r="D90" s="323"/>
      <c r="E90" s="324"/>
      <c r="F90" s="321"/>
      <c r="G90" s="325"/>
      <c r="H90" s="321"/>
      <c r="I90" s="321"/>
      <c r="J90" s="322"/>
      <c r="K90" s="321"/>
      <c r="L90" s="360"/>
      <c r="M90" s="392"/>
      <c r="N90" s="321"/>
      <c r="O90" s="321"/>
      <c r="P90" s="321"/>
      <c r="Q90" s="392"/>
      <c r="R90" s="321"/>
      <c r="S90" s="321"/>
      <c r="T90" s="321"/>
      <c r="U90" s="321"/>
      <c r="V90" s="321"/>
    </row>
    <row r="91" spans="1:22">
      <c r="A91" s="321"/>
      <c r="B91" s="321"/>
      <c r="C91" s="322"/>
      <c r="D91" s="323"/>
      <c r="E91" s="324"/>
      <c r="F91" s="321"/>
      <c r="G91" s="325"/>
      <c r="H91" s="321"/>
      <c r="I91" s="321"/>
      <c r="J91" s="322"/>
      <c r="K91" s="321"/>
      <c r="L91" s="360"/>
      <c r="M91" s="392"/>
      <c r="N91" s="321"/>
      <c r="O91" s="321"/>
      <c r="P91" s="321"/>
      <c r="Q91" s="392"/>
      <c r="R91" s="321"/>
      <c r="S91" s="321"/>
      <c r="T91" s="321"/>
      <c r="U91" s="321"/>
      <c r="V91" s="321"/>
    </row>
    <row r="92" spans="1:22">
      <c r="A92" s="321"/>
      <c r="B92" s="321"/>
      <c r="C92" s="322"/>
      <c r="D92" s="323"/>
      <c r="E92" s="324"/>
      <c r="F92" s="321"/>
      <c r="G92" s="325"/>
      <c r="H92" s="321"/>
      <c r="I92" s="321"/>
      <c r="J92" s="322"/>
      <c r="K92" s="321"/>
      <c r="L92" s="360"/>
      <c r="M92" s="392"/>
      <c r="N92" s="321"/>
      <c r="O92" s="321"/>
      <c r="P92" s="321"/>
      <c r="Q92" s="392"/>
      <c r="R92" s="321"/>
      <c r="S92" s="321"/>
      <c r="T92" s="321"/>
      <c r="U92" s="321"/>
      <c r="V92" s="321"/>
    </row>
    <row r="93" spans="1:22" ht="15.75" customHeight="1">
      <c r="A93" s="321"/>
      <c r="B93" s="321"/>
      <c r="C93" s="322"/>
      <c r="D93" s="323"/>
      <c r="E93" s="324"/>
      <c r="F93" s="321"/>
      <c r="G93" s="325"/>
      <c r="H93" s="321"/>
      <c r="I93" s="321"/>
      <c r="J93" s="322"/>
      <c r="K93" s="321"/>
      <c r="L93" s="360"/>
      <c r="M93" s="392"/>
      <c r="N93" s="321"/>
      <c r="O93" s="321"/>
      <c r="P93" s="321"/>
      <c r="Q93" s="321"/>
      <c r="R93" s="321"/>
      <c r="S93" s="321"/>
      <c r="T93" s="321"/>
      <c r="U93" s="321"/>
      <c r="V93" s="321"/>
    </row>
    <row r="94" spans="1:22">
      <c r="A94" s="321"/>
      <c r="B94" s="321"/>
      <c r="C94" s="322"/>
      <c r="D94" s="323"/>
      <c r="E94" s="324"/>
      <c r="F94" s="321"/>
      <c r="G94" s="325"/>
      <c r="H94" s="321"/>
      <c r="I94" s="321"/>
      <c r="J94" s="322"/>
      <c r="K94" s="321"/>
      <c r="L94" s="360"/>
      <c r="M94" s="392"/>
      <c r="N94" s="321"/>
      <c r="O94" s="321"/>
      <c r="P94" s="321"/>
      <c r="Q94" s="321"/>
      <c r="R94" s="321"/>
      <c r="S94" s="321"/>
      <c r="T94" s="321"/>
      <c r="U94" s="321"/>
      <c r="V94" s="321"/>
    </row>
    <row r="95" spans="1:22">
      <c r="A95" s="321"/>
      <c r="B95" s="321"/>
      <c r="C95" s="322"/>
      <c r="D95" s="323"/>
      <c r="E95" s="324"/>
      <c r="F95" s="321"/>
      <c r="G95" s="325"/>
      <c r="H95" s="321"/>
      <c r="I95" s="321"/>
      <c r="J95" s="322"/>
      <c r="K95" s="321"/>
      <c r="L95" s="360"/>
      <c r="M95" s="392"/>
      <c r="N95" s="321"/>
      <c r="O95" s="321"/>
      <c r="P95" s="321"/>
      <c r="Q95" s="321"/>
      <c r="R95" s="321"/>
      <c r="S95" s="321"/>
      <c r="T95" s="321"/>
      <c r="U95" s="321"/>
      <c r="V95" s="321"/>
    </row>
    <row r="96" spans="1:22">
      <c r="A96" s="321"/>
      <c r="B96" s="321"/>
      <c r="C96" s="322"/>
      <c r="D96" s="323"/>
      <c r="E96" s="324"/>
      <c r="F96" s="321"/>
      <c r="G96" s="325"/>
      <c r="H96" s="321"/>
      <c r="I96" s="321"/>
      <c r="J96" s="322"/>
      <c r="K96" s="321"/>
      <c r="L96" s="360"/>
      <c r="M96" s="392"/>
      <c r="N96" s="321"/>
      <c r="O96" s="321"/>
      <c r="P96" s="321"/>
      <c r="Q96" s="321"/>
      <c r="R96" s="321"/>
      <c r="S96" s="321"/>
      <c r="T96" s="321"/>
      <c r="U96" s="321"/>
      <c r="V96" s="321"/>
    </row>
    <row r="97" spans="1:22">
      <c r="A97" s="321"/>
      <c r="B97" s="321"/>
      <c r="C97" s="322"/>
      <c r="D97" s="323"/>
      <c r="E97" s="324"/>
      <c r="F97" s="321"/>
      <c r="G97" s="325"/>
      <c r="H97" s="321"/>
      <c r="I97" s="321"/>
      <c r="J97" s="322"/>
      <c r="K97" s="321"/>
      <c r="L97" s="360"/>
      <c r="M97" s="392"/>
      <c r="N97" s="321"/>
      <c r="O97" s="321"/>
      <c r="P97" s="321"/>
      <c r="Q97" s="321"/>
      <c r="R97" s="321"/>
      <c r="S97" s="321"/>
      <c r="T97" s="321"/>
      <c r="U97" s="321"/>
      <c r="V97" s="321"/>
    </row>
    <row r="98" spans="1:22">
      <c r="A98" s="321"/>
      <c r="B98" s="321"/>
      <c r="C98" s="322"/>
      <c r="D98" s="323"/>
      <c r="E98" s="324"/>
      <c r="F98" s="321"/>
      <c r="G98" s="325"/>
      <c r="H98" s="321"/>
      <c r="I98" s="321"/>
      <c r="J98" s="322"/>
      <c r="K98" s="321"/>
      <c r="L98" s="360"/>
      <c r="M98" s="392"/>
      <c r="N98" s="321"/>
      <c r="O98" s="321"/>
      <c r="P98" s="321"/>
      <c r="Q98" s="321"/>
      <c r="R98" s="321"/>
      <c r="S98" s="321"/>
      <c r="T98" s="321"/>
      <c r="U98" s="321"/>
      <c r="V98" s="321"/>
    </row>
    <row r="99" spans="1:22">
      <c r="A99" s="321"/>
      <c r="B99" s="321"/>
      <c r="C99" s="322"/>
      <c r="D99" s="323"/>
      <c r="E99" s="324"/>
      <c r="F99" s="321"/>
      <c r="G99" s="325"/>
      <c r="H99" s="321"/>
      <c r="I99" s="321"/>
      <c r="J99" s="322"/>
      <c r="K99" s="321"/>
      <c r="L99" s="360"/>
      <c r="M99" s="392"/>
      <c r="N99" s="321"/>
      <c r="O99" s="321"/>
      <c r="P99" s="321"/>
      <c r="Q99" s="321"/>
      <c r="R99" s="321"/>
      <c r="S99" s="321"/>
      <c r="T99" s="321"/>
      <c r="U99" s="321"/>
      <c r="V99" s="321"/>
    </row>
    <row r="100" spans="1:22">
      <c r="A100" s="321"/>
      <c r="B100" s="321"/>
      <c r="C100" s="322"/>
      <c r="D100" s="323"/>
      <c r="E100" s="324"/>
      <c r="F100" s="321"/>
      <c r="G100" s="325"/>
      <c r="H100" s="321"/>
      <c r="I100" s="321"/>
      <c r="J100" s="322"/>
      <c r="K100" s="321"/>
      <c r="L100" s="360"/>
      <c r="M100" s="392"/>
      <c r="N100" s="321"/>
      <c r="O100" s="321"/>
      <c r="P100" s="321"/>
      <c r="Q100" s="321"/>
      <c r="R100" s="321"/>
      <c r="S100" s="321"/>
      <c r="T100" s="321"/>
      <c r="U100" s="321"/>
      <c r="V100" s="321"/>
    </row>
    <row r="101" spans="1:22">
      <c r="A101" s="321"/>
      <c r="B101" s="321"/>
      <c r="C101" s="322"/>
      <c r="D101" s="323"/>
      <c r="E101" s="324"/>
      <c r="F101" s="321"/>
      <c r="G101" s="325"/>
      <c r="H101" s="321"/>
      <c r="I101" s="321"/>
      <c r="J101" s="322"/>
      <c r="K101" s="321"/>
      <c r="L101" s="360"/>
      <c r="M101" s="392"/>
      <c r="N101" s="321"/>
      <c r="O101" s="321"/>
      <c r="P101" s="321"/>
      <c r="Q101" s="368"/>
      <c r="R101" s="321"/>
      <c r="S101" s="321"/>
      <c r="T101" s="321"/>
      <c r="U101" s="321"/>
      <c r="V101" s="321"/>
    </row>
    <row r="102" spans="1:22">
      <c r="A102" s="321"/>
      <c r="B102" s="321"/>
      <c r="C102" s="322"/>
      <c r="D102" s="323"/>
      <c r="E102" s="324"/>
      <c r="F102" s="321"/>
      <c r="G102" s="325"/>
      <c r="H102" s="321"/>
      <c r="I102" s="321"/>
      <c r="J102" s="322"/>
      <c r="K102" s="321"/>
      <c r="L102" s="360"/>
      <c r="M102" s="392"/>
      <c r="N102" s="321"/>
      <c r="O102" s="321"/>
      <c r="P102" s="321"/>
      <c r="Q102" s="321"/>
      <c r="R102" s="321"/>
      <c r="S102" s="321"/>
      <c r="T102" s="321"/>
      <c r="U102" s="321"/>
      <c r="V102" s="321"/>
    </row>
    <row r="103" spans="1:22">
      <c r="A103" s="321"/>
      <c r="B103" s="321"/>
      <c r="C103" s="322"/>
      <c r="D103" s="323"/>
      <c r="E103" s="324"/>
      <c r="F103" s="321"/>
      <c r="G103" s="325"/>
      <c r="H103" s="321"/>
      <c r="I103" s="321"/>
      <c r="J103" s="322"/>
      <c r="K103" s="321"/>
      <c r="L103" s="360"/>
      <c r="M103" s="392"/>
      <c r="N103" s="321"/>
      <c r="O103" s="321"/>
      <c r="P103" s="321"/>
      <c r="Q103" s="321"/>
      <c r="R103" s="321"/>
      <c r="S103" s="321"/>
      <c r="T103" s="321"/>
      <c r="U103" s="321"/>
      <c r="V103" s="321"/>
    </row>
    <row r="104" spans="1:22">
      <c r="A104" s="321"/>
      <c r="B104" s="321"/>
      <c r="C104" s="322"/>
      <c r="D104" s="323"/>
      <c r="E104" s="324"/>
      <c r="F104" s="321"/>
      <c r="G104" s="325"/>
      <c r="H104" s="321"/>
      <c r="I104" s="321"/>
      <c r="J104" s="322"/>
      <c r="K104" s="321"/>
      <c r="L104" s="360"/>
      <c r="M104" s="392"/>
      <c r="N104" s="321"/>
      <c r="O104" s="321"/>
      <c r="P104" s="321"/>
      <c r="Q104" s="321"/>
      <c r="R104" s="321"/>
      <c r="S104" s="321"/>
      <c r="T104" s="321"/>
      <c r="U104" s="321"/>
      <c r="V104" s="321"/>
    </row>
    <row r="105" spans="1:22">
      <c r="A105" s="321"/>
      <c r="B105" s="321"/>
      <c r="C105" s="322"/>
      <c r="D105" s="323"/>
      <c r="E105" s="324"/>
      <c r="F105" s="321"/>
      <c r="G105" s="325"/>
      <c r="H105" s="321"/>
      <c r="I105" s="321"/>
      <c r="J105" s="322"/>
      <c r="K105" s="321"/>
      <c r="L105" s="360"/>
      <c r="M105" s="392"/>
      <c r="N105" s="321"/>
      <c r="O105" s="321"/>
      <c r="P105" s="321"/>
      <c r="Q105" s="321"/>
      <c r="R105" s="321"/>
      <c r="S105" s="321"/>
      <c r="T105" s="321"/>
      <c r="U105" s="321"/>
      <c r="V105" s="321"/>
    </row>
    <row r="106" spans="1:22">
      <c r="A106" s="321"/>
      <c r="B106" s="321"/>
      <c r="C106" s="322"/>
      <c r="D106" s="323"/>
      <c r="E106" s="324"/>
      <c r="F106" s="321"/>
      <c r="G106" s="325"/>
      <c r="H106" s="321"/>
      <c r="I106" s="321"/>
      <c r="J106" s="322"/>
      <c r="K106" s="321"/>
      <c r="L106" s="360"/>
      <c r="M106" s="392"/>
      <c r="N106" s="321"/>
      <c r="O106" s="321"/>
      <c r="P106" s="321"/>
      <c r="Q106" s="321"/>
      <c r="R106" s="321"/>
      <c r="S106" s="321"/>
      <c r="T106" s="321"/>
      <c r="U106" s="321"/>
      <c r="V106" s="321"/>
    </row>
    <row r="107" spans="1:22">
      <c r="A107" s="321"/>
      <c r="B107" s="321"/>
      <c r="C107" s="322"/>
      <c r="D107" s="323"/>
      <c r="E107" s="324"/>
      <c r="F107" s="321"/>
      <c r="G107" s="325"/>
      <c r="H107" s="321"/>
      <c r="I107" s="321"/>
      <c r="J107" s="322"/>
      <c r="K107" s="321"/>
      <c r="L107" s="360"/>
      <c r="M107" s="392"/>
      <c r="N107" s="321"/>
      <c r="O107" s="321"/>
      <c r="P107" s="321"/>
      <c r="Q107" s="321"/>
      <c r="R107" s="321"/>
      <c r="S107" s="321"/>
      <c r="T107" s="321"/>
      <c r="U107" s="321"/>
      <c r="V107" s="321"/>
    </row>
    <row r="108" spans="1:22">
      <c r="A108" s="321"/>
      <c r="B108" s="321"/>
      <c r="C108" s="322"/>
      <c r="D108" s="323"/>
      <c r="E108" s="324"/>
      <c r="F108" s="321"/>
      <c r="G108" s="325"/>
      <c r="H108" s="321"/>
      <c r="I108" s="321"/>
      <c r="J108" s="322"/>
      <c r="K108" s="321"/>
      <c r="L108" s="360"/>
      <c r="M108" s="392"/>
      <c r="N108" s="321"/>
      <c r="O108" s="321"/>
      <c r="P108" s="321"/>
      <c r="Q108" s="321"/>
      <c r="R108" s="321"/>
      <c r="S108" s="321"/>
      <c r="T108" s="321"/>
      <c r="U108" s="321"/>
      <c r="V108" s="321"/>
    </row>
    <row r="109" spans="1:22">
      <c r="A109" s="321"/>
      <c r="B109" s="321"/>
      <c r="C109" s="322"/>
      <c r="D109" s="323"/>
      <c r="E109" s="324"/>
      <c r="F109" s="321"/>
      <c r="G109" s="325"/>
      <c r="H109" s="321"/>
      <c r="I109" s="321"/>
      <c r="J109" s="322"/>
      <c r="K109" s="321"/>
      <c r="L109" s="360"/>
      <c r="M109" s="392"/>
      <c r="N109" s="321"/>
      <c r="O109" s="321"/>
      <c r="P109" s="321"/>
      <c r="Q109" s="321"/>
      <c r="R109" s="321"/>
      <c r="S109" s="321"/>
      <c r="T109" s="321"/>
      <c r="U109" s="321"/>
      <c r="V109" s="321"/>
    </row>
    <row r="110" spans="1:22">
      <c r="A110" s="321"/>
      <c r="B110" s="321"/>
      <c r="C110" s="322"/>
      <c r="D110" s="323"/>
      <c r="E110" s="324"/>
      <c r="F110" s="321"/>
      <c r="G110" s="325"/>
      <c r="H110" s="321"/>
      <c r="I110" s="321"/>
      <c r="J110" s="322"/>
      <c r="K110" s="321"/>
      <c r="L110" s="360"/>
      <c r="M110" s="392"/>
      <c r="N110" s="321"/>
      <c r="O110" s="321"/>
      <c r="P110" s="321"/>
      <c r="Q110" s="321"/>
      <c r="R110" s="321"/>
      <c r="S110" s="321"/>
      <c r="T110" s="321"/>
      <c r="U110" s="321"/>
      <c r="V110" s="321"/>
    </row>
    <row r="111" spans="1:22">
      <c r="A111" s="321"/>
      <c r="B111" s="321"/>
      <c r="C111" s="322"/>
      <c r="D111" s="323"/>
      <c r="E111" s="324"/>
      <c r="F111" s="321"/>
      <c r="G111" s="325"/>
      <c r="H111" s="321"/>
      <c r="I111" s="321"/>
      <c r="J111" s="322"/>
      <c r="K111" s="321"/>
      <c r="L111" s="360"/>
      <c r="M111" s="392"/>
      <c r="N111" s="321"/>
      <c r="O111" s="321"/>
      <c r="P111" s="321"/>
      <c r="Q111" s="321"/>
      <c r="R111" s="321"/>
      <c r="S111" s="321"/>
      <c r="T111" s="321"/>
      <c r="U111" s="321"/>
      <c r="V111" s="321"/>
    </row>
    <row r="112" spans="1:22">
      <c r="A112" s="321"/>
      <c r="B112" s="321"/>
      <c r="C112" s="322"/>
      <c r="D112" s="323"/>
      <c r="E112" s="324"/>
      <c r="F112" s="321"/>
      <c r="G112" s="325"/>
      <c r="H112" s="321"/>
      <c r="I112" s="321"/>
      <c r="J112" s="322"/>
      <c r="K112" s="321"/>
      <c r="L112" s="360"/>
      <c r="M112" s="392"/>
      <c r="N112" s="321"/>
      <c r="O112" s="321"/>
      <c r="P112" s="321"/>
      <c r="Q112" s="321"/>
      <c r="R112" s="321"/>
      <c r="S112" s="321"/>
      <c r="T112" s="321"/>
      <c r="U112" s="321"/>
      <c r="V112" s="321"/>
    </row>
    <row r="113" spans="1:22">
      <c r="A113" s="321"/>
      <c r="B113" s="321"/>
      <c r="C113" s="322"/>
      <c r="D113" s="323"/>
      <c r="E113" s="324"/>
      <c r="F113" s="321"/>
      <c r="G113" s="325"/>
      <c r="H113" s="321"/>
      <c r="I113" s="321"/>
      <c r="J113" s="322"/>
      <c r="K113" s="321"/>
      <c r="L113" s="360"/>
      <c r="M113" s="392"/>
      <c r="N113" s="321"/>
      <c r="O113" s="321"/>
      <c r="P113" s="321"/>
      <c r="Q113" s="321"/>
      <c r="R113" s="321"/>
      <c r="S113" s="321"/>
      <c r="T113" s="321"/>
      <c r="U113" s="321"/>
      <c r="V113" s="321"/>
    </row>
    <row r="114" spans="1:22">
      <c r="A114" s="321"/>
      <c r="B114" s="321"/>
      <c r="C114" s="322"/>
      <c r="D114" s="323"/>
      <c r="E114" s="324"/>
      <c r="F114" s="321"/>
      <c r="G114" s="325"/>
      <c r="H114" s="321"/>
      <c r="I114" s="321"/>
      <c r="J114" s="322"/>
      <c r="K114" s="321"/>
      <c r="L114" s="360"/>
      <c r="M114" s="392"/>
      <c r="N114" s="321"/>
      <c r="O114" s="321"/>
      <c r="P114" s="321"/>
      <c r="Q114" s="321"/>
      <c r="R114" s="321"/>
      <c r="S114" s="321"/>
      <c r="T114" s="321"/>
      <c r="U114" s="321"/>
      <c r="V114" s="321"/>
    </row>
    <row r="115" spans="1:22">
      <c r="A115" s="321"/>
      <c r="B115" s="321"/>
      <c r="C115" s="322"/>
      <c r="D115" s="323"/>
      <c r="E115" s="324"/>
      <c r="F115" s="321"/>
      <c r="G115" s="325"/>
      <c r="H115" s="321"/>
      <c r="I115" s="321"/>
      <c r="J115" s="322"/>
      <c r="K115" s="321"/>
      <c r="L115" s="360"/>
      <c r="M115" s="392"/>
      <c r="N115" s="321"/>
      <c r="O115" s="321"/>
      <c r="P115" s="321"/>
      <c r="Q115" s="321"/>
      <c r="R115" s="321"/>
      <c r="S115" s="321"/>
      <c r="T115" s="321"/>
      <c r="U115" s="321"/>
      <c r="V115" s="321"/>
    </row>
    <row r="116" spans="1:22">
      <c r="A116" s="321"/>
      <c r="B116" s="321"/>
      <c r="C116" s="322"/>
      <c r="D116" s="323"/>
      <c r="E116" s="324"/>
      <c r="F116" s="321"/>
      <c r="G116" s="325"/>
      <c r="H116" s="321"/>
      <c r="I116" s="321"/>
      <c r="J116" s="322"/>
      <c r="K116" s="321"/>
      <c r="L116" s="360"/>
      <c r="M116" s="392"/>
      <c r="N116" s="321"/>
      <c r="O116" s="321"/>
      <c r="P116" s="321"/>
      <c r="Q116" s="321"/>
      <c r="R116" s="321"/>
      <c r="S116" s="321"/>
      <c r="T116" s="321"/>
      <c r="U116" s="321"/>
      <c r="V116" s="321"/>
    </row>
    <row r="117" spans="1:22">
      <c r="A117" s="321"/>
      <c r="B117" s="321"/>
      <c r="C117" s="322"/>
      <c r="D117" s="323"/>
      <c r="E117" s="324"/>
      <c r="F117" s="321"/>
      <c r="G117" s="325"/>
      <c r="H117" s="321"/>
      <c r="I117" s="321"/>
      <c r="J117" s="322"/>
      <c r="K117" s="321"/>
      <c r="L117" s="360"/>
      <c r="M117" s="392"/>
      <c r="N117" s="321"/>
      <c r="O117" s="321"/>
      <c r="P117" s="321"/>
      <c r="Q117" s="321"/>
      <c r="R117" s="321"/>
      <c r="S117" s="321"/>
      <c r="T117" s="321"/>
      <c r="U117" s="321"/>
      <c r="V117" s="321"/>
    </row>
    <row r="118" spans="1:22">
      <c r="A118" s="321"/>
      <c r="B118" s="321"/>
      <c r="C118" s="322"/>
      <c r="D118" s="323"/>
      <c r="E118" s="324"/>
      <c r="F118" s="321"/>
      <c r="G118" s="325"/>
      <c r="H118" s="321"/>
      <c r="I118" s="321"/>
      <c r="J118" s="322"/>
      <c r="K118" s="321"/>
      <c r="L118" s="360"/>
      <c r="M118" s="392"/>
      <c r="N118" s="321"/>
      <c r="O118" s="321"/>
      <c r="P118" s="321"/>
      <c r="Q118" s="321"/>
      <c r="R118" s="321"/>
      <c r="S118" s="321"/>
      <c r="T118" s="321"/>
      <c r="U118" s="321"/>
      <c r="V118" s="321"/>
    </row>
    <row r="119" spans="1:22">
      <c r="A119" s="321"/>
      <c r="B119" s="321"/>
      <c r="C119" s="322"/>
      <c r="D119" s="323"/>
      <c r="E119" s="324"/>
      <c r="F119" s="321"/>
      <c r="G119" s="325"/>
      <c r="H119" s="321"/>
      <c r="I119" s="321"/>
      <c r="J119" s="322"/>
      <c r="K119" s="321"/>
      <c r="L119" s="360"/>
      <c r="M119" s="392"/>
      <c r="N119" s="321"/>
      <c r="O119" s="321"/>
      <c r="P119" s="321"/>
      <c r="Q119" s="321"/>
      <c r="R119" s="321"/>
      <c r="S119" s="321"/>
      <c r="T119" s="321"/>
      <c r="U119" s="321"/>
      <c r="V119" s="321"/>
    </row>
    <row r="120" spans="1:22">
      <c r="A120" s="321"/>
      <c r="B120" s="321"/>
      <c r="C120" s="322"/>
      <c r="D120" s="323"/>
      <c r="E120" s="324"/>
      <c r="F120" s="321"/>
      <c r="G120" s="325"/>
      <c r="H120" s="321"/>
      <c r="I120" s="321"/>
      <c r="J120" s="322"/>
      <c r="K120" s="321"/>
      <c r="L120" s="360"/>
      <c r="M120" s="392"/>
      <c r="N120" s="321"/>
      <c r="O120" s="321"/>
      <c r="P120" s="321"/>
      <c r="Q120" s="321"/>
      <c r="R120" s="321"/>
      <c r="S120" s="321"/>
      <c r="T120" s="321"/>
      <c r="U120" s="321"/>
      <c r="V120" s="321"/>
    </row>
    <row r="121" spans="1:22">
      <c r="A121" s="321"/>
      <c r="B121" s="321"/>
      <c r="C121" s="322"/>
      <c r="D121" s="323"/>
      <c r="E121" s="324"/>
      <c r="F121" s="321"/>
      <c r="G121" s="325"/>
      <c r="H121" s="321"/>
      <c r="I121" s="321"/>
      <c r="J121" s="322"/>
      <c r="K121" s="321"/>
      <c r="L121" s="360"/>
      <c r="M121" s="392"/>
      <c r="N121" s="321"/>
      <c r="O121" s="321"/>
      <c r="P121" s="321"/>
      <c r="Q121" s="321"/>
      <c r="R121" s="321"/>
      <c r="S121" s="321"/>
      <c r="T121" s="321"/>
      <c r="U121" s="321"/>
      <c r="V121" s="321"/>
    </row>
    <row r="122" spans="1:22">
      <c r="A122" s="321"/>
      <c r="B122" s="321"/>
      <c r="C122" s="322"/>
      <c r="D122" s="323"/>
      <c r="E122" s="324"/>
      <c r="F122" s="321"/>
      <c r="G122" s="325"/>
      <c r="H122" s="321"/>
      <c r="I122" s="321"/>
      <c r="J122" s="322"/>
      <c r="K122" s="321"/>
      <c r="L122" s="360"/>
      <c r="M122" s="392"/>
      <c r="N122" s="321"/>
      <c r="O122" s="321"/>
      <c r="P122" s="321"/>
      <c r="Q122" s="321"/>
      <c r="R122" s="321"/>
      <c r="S122" s="321"/>
      <c r="T122" s="321"/>
      <c r="U122" s="321"/>
      <c r="V122" s="321"/>
    </row>
    <row r="123" spans="1:22">
      <c r="A123" s="321"/>
      <c r="B123" s="321"/>
      <c r="C123" s="322"/>
      <c r="D123" s="323"/>
      <c r="E123" s="324"/>
      <c r="F123" s="321"/>
      <c r="G123" s="325"/>
      <c r="H123" s="321"/>
      <c r="I123" s="321"/>
      <c r="J123" s="322"/>
      <c r="K123" s="321"/>
      <c r="L123" s="360"/>
      <c r="M123" s="392"/>
      <c r="N123" s="321"/>
      <c r="O123" s="321"/>
      <c r="P123" s="321"/>
      <c r="Q123" s="321"/>
      <c r="R123" s="321"/>
      <c r="S123" s="321"/>
      <c r="T123" s="321"/>
      <c r="U123" s="321"/>
      <c r="V123" s="321"/>
    </row>
    <row r="124" spans="1:22">
      <c r="A124" s="321"/>
      <c r="B124" s="321"/>
      <c r="C124" s="322"/>
      <c r="D124" s="323"/>
      <c r="E124" s="324"/>
      <c r="F124" s="321"/>
      <c r="G124" s="325"/>
      <c r="H124" s="321"/>
      <c r="I124" s="321"/>
      <c r="J124" s="322"/>
      <c r="K124" s="321"/>
      <c r="L124" s="360"/>
      <c r="M124" s="392"/>
      <c r="N124" s="321"/>
      <c r="O124" s="321"/>
      <c r="P124" s="321"/>
      <c r="Q124" s="321"/>
      <c r="R124" s="321"/>
      <c r="S124" s="321"/>
      <c r="T124" s="321"/>
      <c r="U124" s="321"/>
      <c r="V124" s="321"/>
    </row>
    <row r="125" spans="1:22">
      <c r="A125" s="321"/>
      <c r="B125" s="321"/>
      <c r="C125" s="322"/>
      <c r="D125" s="323"/>
      <c r="E125" s="324"/>
      <c r="F125" s="321"/>
      <c r="G125" s="325"/>
      <c r="H125" s="321"/>
      <c r="I125" s="321"/>
      <c r="J125" s="322"/>
      <c r="K125" s="321"/>
      <c r="L125" s="360"/>
      <c r="M125" s="392"/>
      <c r="N125" s="321"/>
      <c r="O125" s="321"/>
      <c r="P125" s="321"/>
      <c r="Q125" s="321"/>
      <c r="R125" s="321"/>
      <c r="S125" s="321"/>
      <c r="T125" s="321"/>
      <c r="U125" s="321"/>
      <c r="V125" s="321"/>
    </row>
    <row r="126" spans="1:22">
      <c r="A126" s="321"/>
      <c r="B126" s="321"/>
      <c r="C126" s="322"/>
      <c r="D126" s="323"/>
      <c r="E126" s="324"/>
      <c r="F126" s="321"/>
      <c r="G126" s="325"/>
      <c r="H126" s="321"/>
      <c r="I126" s="321"/>
      <c r="J126" s="322"/>
      <c r="K126" s="321"/>
      <c r="L126" s="360"/>
      <c r="M126" s="392"/>
      <c r="N126" s="321"/>
      <c r="O126" s="321"/>
      <c r="P126" s="321"/>
      <c r="Q126" s="321"/>
      <c r="R126" s="321"/>
      <c r="S126" s="321"/>
      <c r="T126" s="321"/>
      <c r="U126" s="321"/>
      <c r="V126" s="321"/>
    </row>
    <row r="127" spans="1:22">
      <c r="A127" s="321"/>
      <c r="B127" s="321"/>
      <c r="C127" s="322"/>
      <c r="D127" s="323"/>
      <c r="E127" s="324"/>
      <c r="F127" s="321"/>
      <c r="G127" s="325"/>
      <c r="H127" s="321"/>
      <c r="I127" s="321"/>
      <c r="J127" s="322"/>
      <c r="K127" s="321"/>
      <c r="L127" s="360"/>
      <c r="M127" s="392"/>
      <c r="N127" s="321"/>
      <c r="O127" s="321"/>
      <c r="P127" s="321"/>
      <c r="Q127" s="321"/>
      <c r="R127" s="321"/>
      <c r="S127" s="321"/>
      <c r="T127" s="321"/>
      <c r="U127" s="321"/>
      <c r="V127" s="321"/>
    </row>
    <row r="128" spans="1:22" ht="54" customHeight="1" thickBot="1">
      <c r="A128" s="321"/>
      <c r="B128" s="321"/>
      <c r="C128" s="1633" t="s">
        <v>136</v>
      </c>
      <c r="D128" s="1633"/>
      <c r="E128" s="1633"/>
      <c r="F128" s="1633"/>
      <c r="G128" s="1633"/>
      <c r="H128" s="1633"/>
      <c r="I128" s="1633"/>
      <c r="J128" s="1633"/>
      <c r="K128" s="1633"/>
      <c r="L128" s="1633"/>
      <c r="M128" s="1633"/>
      <c r="N128" s="446"/>
      <c r="O128" s="321"/>
      <c r="P128" s="321"/>
      <c r="Q128" s="321"/>
      <c r="R128" s="321"/>
      <c r="S128" s="321"/>
      <c r="T128" s="321"/>
      <c r="U128" s="321"/>
      <c r="V128" s="321"/>
    </row>
    <row r="129" spans="1:22" ht="16.5" customHeight="1" thickBot="1">
      <c r="A129" s="321"/>
      <c r="B129" s="321"/>
      <c r="C129" s="1608" t="s">
        <v>138</v>
      </c>
      <c r="D129" s="406"/>
      <c r="E129" s="407"/>
      <c r="F129" s="408"/>
      <c r="G129" s="409"/>
      <c r="H129" s="410"/>
      <c r="I129" s="408"/>
      <c r="J129" s="411"/>
      <c r="K129" s="406"/>
      <c r="L129" s="216"/>
      <c r="M129" s="217"/>
      <c r="N129" s="446"/>
      <c r="O129" s="321"/>
      <c r="P129" s="321"/>
      <c r="Q129" s="321"/>
      <c r="R129" s="321"/>
      <c r="S129" s="321"/>
      <c r="T129" s="321"/>
      <c r="U129" s="321"/>
      <c r="V129" s="321"/>
    </row>
    <row r="130" spans="1:22">
      <c r="A130" s="321"/>
      <c r="B130" s="321"/>
      <c r="C130" s="1609"/>
      <c r="D130" s="412"/>
      <c r="E130" s="1152" t="s">
        <v>139</v>
      </c>
      <c r="F130" s="413" t="s">
        <v>140</v>
      </c>
      <c r="G130" s="414" t="s">
        <v>141</v>
      </c>
      <c r="H130" s="415"/>
      <c r="I130" s="1036" t="s">
        <v>142</v>
      </c>
      <c r="J130" s="416" t="s">
        <v>143</v>
      </c>
      <c r="K130" s="413" t="s">
        <v>132</v>
      </c>
      <c r="L130" s="246" t="s">
        <v>134</v>
      </c>
      <c r="M130" s="1146"/>
      <c r="N130" s="446"/>
      <c r="O130" s="321"/>
      <c r="P130" s="321"/>
      <c r="Q130" s="321"/>
      <c r="R130" s="321"/>
      <c r="S130" s="321"/>
      <c r="T130" s="321"/>
      <c r="U130" s="321"/>
      <c r="V130" s="321"/>
    </row>
    <row r="131" spans="1:22">
      <c r="A131" s="321"/>
      <c r="B131" s="321"/>
      <c r="C131" s="1609"/>
      <c r="D131" s="412"/>
      <c r="E131" s="417" t="s">
        <v>144</v>
      </c>
      <c r="F131" s="418">
        <f>COUNTIF(J$1:J$128,"Positif")</f>
        <v>23</v>
      </c>
      <c r="G131" s="419">
        <f>COUNTIF(J$1:J$128,"Negatif")</f>
        <v>1</v>
      </c>
      <c r="H131" s="415"/>
      <c r="I131" s="420" t="s">
        <v>145</v>
      </c>
      <c r="J131" s="418">
        <f>COUNTIFS(F$1:F$128,"PQR",G$1:G$128, 40)</f>
        <v>3</v>
      </c>
      <c r="K131" s="421">
        <f>COUNTIFS(F$1:F$128,"PQR",G$1:G$128, 65)</f>
        <v>1</v>
      </c>
      <c r="L131" s="422">
        <f>COUNTIFS(F$1:F$128,"PQR",G$1:G$128,64)</f>
        <v>6</v>
      </c>
      <c r="M131" s="1146"/>
      <c r="N131" s="446"/>
      <c r="O131" s="321"/>
      <c r="P131" s="321"/>
      <c r="Q131" s="321"/>
      <c r="R131" s="321"/>
      <c r="S131" s="321"/>
      <c r="T131" s="321"/>
      <c r="U131" s="321"/>
      <c r="V131" s="321"/>
    </row>
    <row r="132" spans="1:22">
      <c r="A132" s="321"/>
      <c r="B132" s="321"/>
      <c r="C132" s="1609"/>
      <c r="D132" s="412"/>
      <c r="E132" s="423" t="s">
        <v>143</v>
      </c>
      <c r="F132" s="424">
        <f>COUNTIFS(G$1:G$128,40,J$1:J$128, "Positif")</f>
        <v>10</v>
      </c>
      <c r="G132" s="419">
        <f>COUNTIFS(G$1:G$128,40,J$1:J$128, "Negatif")+COUNTIFS(G$1:G$128,40,J$1:J$128, "Negative")+COUNTIFS(G$1:G$128,40,J$1:J$128, "négatif")+COUNTIFS(G$1:G$128,40,J$1:J$128, "négative")</f>
        <v>0</v>
      </c>
      <c r="H132" s="415"/>
      <c r="I132" s="425" t="s">
        <v>146</v>
      </c>
      <c r="J132" s="418">
        <f>COUNTIFS(F$1:F$128,"web",G$1:G$128, 40)</f>
        <v>3</v>
      </c>
      <c r="K132" s="418">
        <f>COUNTIFS(F$1:F$128,"web",G$1:G$128, 65)</f>
        <v>0</v>
      </c>
      <c r="L132" s="419">
        <f>COUNTIFS(F$1:F$128,"web",G$1:G$128, 64)</f>
        <v>2</v>
      </c>
      <c r="M132" s="1146"/>
      <c r="N132" s="446"/>
      <c r="O132" s="321"/>
      <c r="P132" s="321"/>
      <c r="Q132" s="321"/>
      <c r="R132" s="321"/>
      <c r="S132" s="321"/>
      <c r="T132" s="321"/>
      <c r="U132" s="321"/>
      <c r="V132" s="321"/>
    </row>
    <row r="133" spans="1:22">
      <c r="A133" s="321"/>
      <c r="B133" s="321"/>
      <c r="C133" s="1609"/>
      <c r="D133" s="412"/>
      <c r="E133" s="423" t="s">
        <v>132</v>
      </c>
      <c r="F133" s="424">
        <f>COUNTIFS(G$1:G$128,65,J$1:J$128, "Positif")+COUNTIFS(G$1:G$128,65,J$1:J$128,"Positive")</f>
        <v>1</v>
      </c>
      <c r="G133" s="419">
        <f>COUNTIFS(G$1:G$128,65,J$1:J$128, "Negatif")+COUNTIFS(G$1:G$128,65,J$1:J$128, "Negative")+COUNTIFS(G$1:G$128,65,J$1:J$128, "négatif")+COUNTIFS(G$1:G$128,65,J$1:J$128, "négative")</f>
        <v>0</v>
      </c>
      <c r="H133" s="415"/>
      <c r="I133" s="425" t="s">
        <v>147</v>
      </c>
      <c r="J133" s="418">
        <f>COUNTIFS(F$1:F$128,"radio",G$1:G$128, 40)</f>
        <v>4</v>
      </c>
      <c r="K133" s="418">
        <f>COUNTIFS(F$1:F$128,"radio",G$1:G$128, 65)</f>
        <v>0</v>
      </c>
      <c r="L133" s="419">
        <f>COUNTIFS(F$1:F$128,"radio",G$1:G$128, 64)</f>
        <v>5</v>
      </c>
      <c r="M133" s="1146"/>
      <c r="N133" s="446"/>
      <c r="O133" s="321"/>
      <c r="P133" s="321"/>
      <c r="Q133" s="321"/>
      <c r="R133" s="321"/>
      <c r="S133" s="321"/>
      <c r="T133" s="321"/>
      <c r="U133" s="321"/>
      <c r="V133" s="321"/>
    </row>
    <row r="134" spans="1:22" ht="16.5" thickBot="1">
      <c r="A134" s="321"/>
      <c r="B134" s="321"/>
      <c r="C134" s="1609"/>
      <c r="D134" s="412"/>
      <c r="E134" s="426" t="s">
        <v>134</v>
      </c>
      <c r="F134" s="427">
        <f>COUNTIFS(G$1:G$128,64,J$1:J$128, "Positif")+COUNTIFS(G$1:G$128,64,J$1:J$128,"Positive")</f>
        <v>12</v>
      </c>
      <c r="G134" s="428">
        <f>COUNTIFS(G$7:G$128,64,J$7:J$128, "Negatif")+COUNTIFS(G$7:G$128,64,J$7:J$128, "Negative")+COUNTIFS(G$7:G$128,64,J$7:J$128, "négatif")+COUNTIFS(G$7:G$128,64,J$7:J$128, "négative")</f>
        <v>1</v>
      </c>
      <c r="H134" s="415"/>
      <c r="I134" s="429" t="s">
        <v>148</v>
      </c>
      <c r="J134" s="430">
        <f>COUNTIFS(F$1:F$128,"TV",G$1:G$128, 40)</f>
        <v>0</v>
      </c>
      <c r="K134" s="430">
        <f>COUNTIFS(F$1:F$128,"TV",G$1:G$128, 65)</f>
        <v>0</v>
      </c>
      <c r="L134" s="431">
        <f>COUNTIFS(F$1:F$128,"TV",G$1:G$128, 64)</f>
        <v>0</v>
      </c>
      <c r="M134" s="1146"/>
      <c r="N134" s="446"/>
      <c r="O134" s="321"/>
      <c r="P134" s="321"/>
      <c r="Q134" s="321"/>
      <c r="R134" s="321"/>
      <c r="S134" s="321"/>
      <c r="T134" s="321"/>
      <c r="U134" s="321"/>
      <c r="V134" s="321"/>
    </row>
    <row r="135" spans="1:22">
      <c r="A135" s="321"/>
      <c r="B135" s="321"/>
      <c r="C135" s="1609"/>
      <c r="D135" s="412"/>
      <c r="E135" s="432"/>
      <c r="F135" s="433"/>
      <c r="G135" s="433"/>
      <c r="H135" s="415"/>
      <c r="I135" s="434"/>
      <c r="J135" s="435"/>
      <c r="K135" s="436"/>
      <c r="L135" s="434"/>
      <c r="M135" s="437"/>
      <c r="N135" s="446"/>
      <c r="O135" s="321"/>
      <c r="P135" s="321"/>
      <c r="Q135" s="321"/>
      <c r="R135" s="321"/>
      <c r="S135" s="321"/>
      <c r="T135" s="321"/>
      <c r="U135" s="321"/>
      <c r="V135" s="321"/>
    </row>
    <row r="136" spans="1:22" ht="16.5" thickBot="1">
      <c r="A136" s="321"/>
      <c r="B136" s="321"/>
      <c r="C136" s="1610"/>
      <c r="D136" s="438"/>
      <c r="E136" s="439"/>
      <c r="F136" s="440"/>
      <c r="G136" s="441"/>
      <c r="H136" s="442"/>
      <c r="I136" s="443"/>
      <c r="J136" s="441"/>
      <c r="K136" s="444"/>
      <c r="L136" s="443"/>
      <c r="M136" s="445"/>
      <c r="N136" s="446"/>
      <c r="O136" s="321"/>
      <c r="P136" s="321"/>
      <c r="Q136" s="321"/>
      <c r="R136" s="321"/>
      <c r="S136" s="321"/>
      <c r="T136" s="321"/>
      <c r="U136" s="321"/>
      <c r="V136" s="321"/>
    </row>
    <row r="137" spans="1:22" ht="16.5" thickBot="1">
      <c r="A137" s="321"/>
      <c r="B137" s="321"/>
      <c r="C137" s="446"/>
      <c r="D137" s="446"/>
      <c r="E137" s="446"/>
      <c r="F137" s="446"/>
      <c r="G137" s="446"/>
      <c r="H137" s="446"/>
      <c r="I137" s="446"/>
      <c r="J137" s="446"/>
      <c r="K137" s="446"/>
      <c r="L137" s="446"/>
      <c r="M137" s="446"/>
      <c r="N137" s="446"/>
      <c r="O137" s="321"/>
      <c r="P137" s="321"/>
      <c r="Q137" s="321"/>
      <c r="R137" s="321"/>
      <c r="S137" s="321"/>
      <c r="T137" s="321"/>
      <c r="U137" s="321"/>
      <c r="V137" s="321"/>
    </row>
    <row r="138" spans="1:22" ht="16.5" customHeight="1" thickBot="1">
      <c r="A138" s="321"/>
      <c r="B138" s="351"/>
      <c r="C138" s="1608" t="s">
        <v>138</v>
      </c>
      <c r="D138" s="1147"/>
      <c r="E138" s="447"/>
      <c r="F138" s="1148"/>
      <c r="G138" s="1149"/>
      <c r="H138" s="1148"/>
      <c r="I138" s="411"/>
      <c r="J138" s="1150"/>
      <c r="K138" s="446"/>
      <c r="L138" s="446"/>
      <c r="M138" s="446"/>
      <c r="N138" s="538"/>
      <c r="O138" s="321"/>
      <c r="P138" s="321"/>
      <c r="Q138" s="321"/>
      <c r="R138" s="321"/>
      <c r="S138" s="321"/>
      <c r="T138" s="321"/>
      <c r="U138" s="321"/>
      <c r="V138" s="321"/>
    </row>
    <row r="139" spans="1:22">
      <c r="A139" s="321"/>
      <c r="B139" s="351"/>
      <c r="C139" s="1609"/>
      <c r="D139" s="1151"/>
      <c r="E139" s="1611" t="s">
        <v>149</v>
      </c>
      <c r="F139" s="1612"/>
      <c r="G139" s="1153"/>
      <c r="H139" s="1611" t="s">
        <v>236</v>
      </c>
      <c r="I139" s="1612"/>
      <c r="J139" s="1146"/>
      <c r="K139" s="446"/>
      <c r="L139" s="446"/>
      <c r="M139" s="446"/>
      <c r="N139" s="538"/>
      <c r="O139" s="321"/>
      <c r="P139" s="321"/>
      <c r="Q139" s="321"/>
      <c r="R139" s="321"/>
      <c r="S139" s="321"/>
      <c r="T139" s="321"/>
      <c r="U139" s="321"/>
      <c r="V139" s="321"/>
    </row>
    <row r="140" spans="1:22">
      <c r="A140" s="321"/>
      <c r="B140" s="321"/>
      <c r="C140" s="1609"/>
      <c r="D140" s="1151"/>
      <c r="E140" s="1613"/>
      <c r="F140" s="1614"/>
      <c r="G140" s="1153"/>
      <c r="H140" s="1615"/>
      <c r="I140" s="1616"/>
      <c r="J140" s="1146"/>
      <c r="K140" s="446"/>
      <c r="L140" s="446"/>
      <c r="M140" s="446"/>
      <c r="N140" s="446"/>
      <c r="O140" s="321"/>
      <c r="P140" s="321"/>
      <c r="Q140" s="321"/>
      <c r="R140" s="321"/>
      <c r="S140" s="321"/>
      <c r="T140" s="321"/>
      <c r="U140" s="321"/>
      <c r="V140" s="321"/>
    </row>
    <row r="141" spans="1:22">
      <c r="A141" s="321"/>
      <c r="B141" s="360"/>
      <c r="C141" s="1609"/>
      <c r="D141" s="1151"/>
      <c r="E141" s="1613"/>
      <c r="F141" s="1614"/>
      <c r="G141" s="1153"/>
      <c r="H141" s="449" t="s">
        <v>151</v>
      </c>
      <c r="I141" s="450">
        <f>SUM(T:T)</f>
        <v>7</v>
      </c>
      <c r="J141" s="1146"/>
      <c r="K141" s="446"/>
      <c r="L141" s="446"/>
      <c r="M141" s="446"/>
      <c r="N141" s="488"/>
      <c r="O141" s="321"/>
      <c r="P141" s="321"/>
      <c r="Q141" s="321"/>
      <c r="R141" s="321"/>
      <c r="S141" s="321"/>
      <c r="T141" s="321"/>
      <c r="U141" s="321"/>
      <c r="V141" s="321"/>
    </row>
    <row r="142" spans="1:22">
      <c r="A142" s="321"/>
      <c r="B142" s="360"/>
      <c r="C142" s="1609"/>
      <c r="D142" s="1151"/>
      <c r="E142" s="452" t="s">
        <v>152</v>
      </c>
      <c r="F142" s="450">
        <f>COUNTIF(Q:Q,40)</f>
        <v>2</v>
      </c>
      <c r="G142" s="1153"/>
      <c r="H142" s="453" t="s">
        <v>153</v>
      </c>
      <c r="I142" s="450">
        <f>SUMIFS(T:T,Q:Q, 40)</f>
        <v>7</v>
      </c>
      <c r="J142" s="1146"/>
      <c r="K142" s="446"/>
      <c r="L142" s="446"/>
      <c r="M142" s="446"/>
      <c r="N142" s="488"/>
      <c r="O142" s="321"/>
      <c r="P142" s="321"/>
      <c r="Q142" s="321"/>
      <c r="R142" s="321"/>
      <c r="S142" s="321"/>
      <c r="T142" s="321"/>
      <c r="U142" s="321"/>
      <c r="V142" s="321"/>
    </row>
    <row r="143" spans="1:22">
      <c r="A143" s="321"/>
      <c r="B143" s="360"/>
      <c r="C143" s="1609"/>
      <c r="D143" s="1154"/>
      <c r="E143" s="453" t="s">
        <v>154</v>
      </c>
      <c r="F143" s="450">
        <f>COUNTIF(Q:Q,65)</f>
        <v>0</v>
      </c>
      <c r="G143" s="1154"/>
      <c r="H143" s="453" t="s">
        <v>155</v>
      </c>
      <c r="I143" s="450">
        <f>SUMIFS(T:T,Q:Q, 65)</f>
        <v>0</v>
      </c>
      <c r="J143" s="1155"/>
      <c r="K143" s="454"/>
      <c r="L143" s="446"/>
      <c r="M143" s="446"/>
      <c r="N143" s="488"/>
      <c r="O143" s="321"/>
      <c r="P143" s="321"/>
      <c r="Q143" s="321"/>
      <c r="R143" s="321"/>
      <c r="S143" s="321"/>
      <c r="T143" s="321"/>
      <c r="U143" s="321"/>
      <c r="V143" s="321"/>
    </row>
    <row r="144" spans="1:22" ht="16.5" thickBot="1">
      <c r="A144" s="321"/>
      <c r="B144" s="363"/>
      <c r="C144" s="1609"/>
      <c r="D144" s="1154"/>
      <c r="E144" s="455" t="s">
        <v>156</v>
      </c>
      <c r="F144" s="456">
        <f>COUNTIF(Q:Q,64)</f>
        <v>0</v>
      </c>
      <c r="G144" s="1154"/>
      <c r="H144" s="455" t="s">
        <v>157</v>
      </c>
      <c r="I144" s="456">
        <f>SUMIFS(T:T,Q:Q, 64)</f>
        <v>0</v>
      </c>
      <c r="J144" s="1155"/>
      <c r="K144" s="454"/>
      <c r="L144" s="446"/>
      <c r="M144" s="446"/>
      <c r="N144" s="539"/>
      <c r="O144" s="321"/>
      <c r="P144" s="321"/>
      <c r="Q144" s="321"/>
      <c r="R144" s="321"/>
      <c r="S144" s="321"/>
      <c r="T144" s="321"/>
      <c r="U144" s="321"/>
      <c r="V144" s="321"/>
    </row>
    <row r="145" spans="1:22" ht="16.5" thickBot="1">
      <c r="A145" s="321"/>
      <c r="B145" s="360"/>
      <c r="C145" s="1610"/>
      <c r="D145" s="1156"/>
      <c r="E145" s="1156"/>
      <c r="F145" s="1156"/>
      <c r="G145" s="1156"/>
      <c r="H145" s="1156"/>
      <c r="I145" s="1156"/>
      <c r="J145" s="1157"/>
      <c r="K145" s="458"/>
      <c r="L145" s="446"/>
      <c r="M145" s="446"/>
      <c r="N145" s="488"/>
      <c r="O145" s="321"/>
      <c r="P145" s="321"/>
      <c r="Q145" s="321"/>
      <c r="R145" s="321"/>
      <c r="S145" s="321"/>
      <c r="T145" s="321"/>
      <c r="U145" s="321"/>
      <c r="V145" s="321"/>
    </row>
    <row r="146" spans="1:22" ht="16.5" thickBot="1">
      <c r="A146" s="321"/>
      <c r="B146" s="321"/>
      <c r="C146" s="459"/>
      <c r="D146" s="460"/>
      <c r="E146" s="446"/>
      <c r="F146" s="461"/>
      <c r="G146" s="458"/>
      <c r="H146" s="462"/>
      <c r="I146" s="463"/>
      <c r="J146" s="463"/>
      <c r="K146" s="454"/>
      <c r="L146" s="446"/>
      <c r="M146" s="446"/>
      <c r="N146" s="446"/>
      <c r="O146" s="321"/>
      <c r="P146" s="321"/>
      <c r="Q146" s="321"/>
      <c r="R146" s="321"/>
      <c r="S146" s="321"/>
      <c r="T146" s="321"/>
      <c r="U146" s="321"/>
      <c r="V146" s="321"/>
    </row>
    <row r="147" spans="1:22" ht="16.5" customHeight="1" thickBot="1">
      <c r="A147" s="321"/>
      <c r="B147" s="363"/>
      <c r="C147" s="1608" t="s">
        <v>138</v>
      </c>
      <c r="D147" s="1158"/>
      <c r="E147" s="1158"/>
      <c r="F147" s="1158"/>
      <c r="G147" s="1158"/>
      <c r="H147" s="1158"/>
      <c r="I147" s="1158"/>
      <c r="J147" s="1159"/>
      <c r="K147" s="446"/>
      <c r="L147" s="446"/>
      <c r="M147" s="446"/>
      <c r="N147" s="539"/>
      <c r="O147" s="321"/>
      <c r="P147" s="321"/>
      <c r="Q147" s="321"/>
      <c r="R147" s="321"/>
      <c r="S147" s="321"/>
      <c r="T147" s="321"/>
      <c r="U147" s="321"/>
      <c r="V147" s="321"/>
    </row>
    <row r="148" spans="1:22">
      <c r="A148" s="321"/>
      <c r="B148" s="360"/>
      <c r="C148" s="1609"/>
      <c r="D148" s="1154"/>
      <c r="E148" s="1617" t="s">
        <v>237</v>
      </c>
      <c r="F148" s="1618"/>
      <c r="G148" s="1618"/>
      <c r="H148" s="1618"/>
      <c r="I148" s="1619"/>
      <c r="J148" s="1155"/>
      <c r="K148" s="446"/>
      <c r="L148" s="446"/>
      <c r="M148" s="446"/>
      <c r="N148" s="488"/>
      <c r="O148" s="321"/>
      <c r="P148" s="321"/>
      <c r="Q148" s="321"/>
      <c r="R148" s="321"/>
      <c r="S148" s="321"/>
      <c r="T148" s="321"/>
      <c r="U148" s="321"/>
      <c r="V148" s="321"/>
    </row>
    <row r="149" spans="1:22">
      <c r="A149" s="321"/>
      <c r="B149" s="360"/>
      <c r="C149" s="1609"/>
      <c r="D149" s="1154"/>
      <c r="E149" s="464" t="s">
        <v>72</v>
      </c>
      <c r="F149" s="465" t="s">
        <v>159</v>
      </c>
      <c r="G149" s="466" t="s">
        <v>143</v>
      </c>
      <c r="H149" s="466" t="s">
        <v>132</v>
      </c>
      <c r="I149" s="467" t="s">
        <v>134</v>
      </c>
      <c r="J149" s="1155"/>
      <c r="K149" s="446"/>
      <c r="L149" s="446"/>
      <c r="M149" s="446"/>
      <c r="N149" s="488"/>
      <c r="O149" s="321"/>
      <c r="P149" s="321"/>
      <c r="Q149" s="321"/>
      <c r="R149" s="321"/>
      <c r="S149" s="321"/>
      <c r="T149" s="321"/>
      <c r="U149" s="321"/>
      <c r="V149" s="321"/>
    </row>
    <row r="150" spans="1:22">
      <c r="A150" s="321"/>
      <c r="B150" s="321"/>
      <c r="C150" s="1609"/>
      <c r="D150" s="1154"/>
      <c r="E150" s="468" t="s">
        <v>47</v>
      </c>
      <c r="F150" s="1160">
        <f t="shared" ref="F150:F157" si="0">COUNTIFS(I$11:I$128, E150)</f>
        <v>1</v>
      </c>
      <c r="G150" s="1161">
        <f t="shared" ref="G150:G157" si="1">COUNTIFS(G$11:G$128,40,I$11:I$128, E150)</f>
        <v>1</v>
      </c>
      <c r="H150" s="1162">
        <f t="shared" ref="H150:H157" si="2">COUNTIFS(G$11:G$128,65,I$11:I$128, E150)</f>
        <v>0</v>
      </c>
      <c r="I150" s="1163">
        <f t="shared" ref="I150:I157" si="3">COUNTIFS(G$11:G$128,64,I$11:I$128, E150)</f>
        <v>0</v>
      </c>
      <c r="J150" s="1155"/>
      <c r="K150" s="446"/>
      <c r="L150" s="446"/>
      <c r="M150" s="446"/>
      <c r="N150" s="446"/>
      <c r="O150" s="321"/>
      <c r="P150" s="321"/>
      <c r="Q150" s="321"/>
      <c r="R150" s="321"/>
      <c r="S150" s="321"/>
      <c r="T150" s="321"/>
      <c r="U150" s="321"/>
      <c r="V150" s="321"/>
    </row>
    <row r="151" spans="1:22">
      <c r="A151" s="321"/>
      <c r="B151" s="321"/>
      <c r="C151" s="1609"/>
      <c r="D151" s="1154"/>
      <c r="E151" s="469" t="s">
        <v>48</v>
      </c>
      <c r="F151" s="1160">
        <f t="shared" si="0"/>
        <v>0</v>
      </c>
      <c r="G151" s="1161">
        <f t="shared" si="1"/>
        <v>0</v>
      </c>
      <c r="H151" s="1162">
        <f t="shared" si="2"/>
        <v>0</v>
      </c>
      <c r="I151" s="1163">
        <f t="shared" si="3"/>
        <v>0</v>
      </c>
      <c r="J151" s="1155"/>
      <c r="K151" s="446"/>
      <c r="L151" s="446"/>
      <c r="M151" s="446"/>
      <c r="N151" s="446"/>
      <c r="O151" s="321"/>
      <c r="P151" s="321"/>
      <c r="Q151" s="321"/>
      <c r="R151" s="321"/>
      <c r="S151" s="321"/>
      <c r="T151" s="321"/>
      <c r="U151" s="321"/>
      <c r="V151" s="321"/>
    </row>
    <row r="152" spans="1:22">
      <c r="A152" s="321"/>
      <c r="B152" s="321"/>
      <c r="C152" s="1609"/>
      <c r="D152" s="1154"/>
      <c r="E152" s="469" t="s">
        <v>49</v>
      </c>
      <c r="F152" s="1160">
        <f t="shared" si="0"/>
        <v>1</v>
      </c>
      <c r="G152" s="1161">
        <f t="shared" si="1"/>
        <v>1</v>
      </c>
      <c r="H152" s="1162">
        <f t="shared" si="2"/>
        <v>0</v>
      </c>
      <c r="I152" s="1163">
        <f t="shared" si="3"/>
        <v>0</v>
      </c>
      <c r="J152" s="1155"/>
      <c r="K152" s="446"/>
      <c r="L152" s="446"/>
      <c r="M152" s="446"/>
      <c r="N152" s="446"/>
      <c r="O152" s="321"/>
      <c r="P152" s="321"/>
      <c r="Q152" s="321"/>
      <c r="R152" s="321"/>
      <c r="S152" s="321"/>
      <c r="T152" s="321"/>
      <c r="U152" s="321"/>
      <c r="V152" s="321"/>
    </row>
    <row r="153" spans="1:22">
      <c r="A153" s="321"/>
      <c r="B153" s="360"/>
      <c r="C153" s="1609"/>
      <c r="D153" s="1154"/>
      <c r="E153" s="469" t="s">
        <v>50</v>
      </c>
      <c r="F153" s="1160">
        <f t="shared" si="0"/>
        <v>0</v>
      </c>
      <c r="G153" s="1161">
        <f t="shared" si="1"/>
        <v>0</v>
      </c>
      <c r="H153" s="1162">
        <f t="shared" si="2"/>
        <v>0</v>
      </c>
      <c r="I153" s="1163">
        <f t="shared" si="3"/>
        <v>0</v>
      </c>
      <c r="J153" s="1155"/>
      <c r="K153" s="446"/>
      <c r="L153" s="446"/>
      <c r="M153" s="446"/>
      <c r="N153" s="488"/>
      <c r="O153" s="321"/>
      <c r="P153" s="321"/>
      <c r="Q153" s="321"/>
      <c r="R153" s="321"/>
      <c r="S153" s="321"/>
      <c r="T153" s="321"/>
      <c r="U153" s="321"/>
      <c r="V153" s="321"/>
    </row>
    <row r="154" spans="1:22">
      <c r="A154" s="321"/>
      <c r="B154" s="360"/>
      <c r="C154" s="1609"/>
      <c r="D154" s="1154"/>
      <c r="E154" s="469" t="s">
        <v>51</v>
      </c>
      <c r="F154" s="1160">
        <f t="shared" si="0"/>
        <v>17</v>
      </c>
      <c r="G154" s="1161">
        <f t="shared" si="1"/>
        <v>6</v>
      </c>
      <c r="H154" s="1162">
        <f t="shared" si="2"/>
        <v>0</v>
      </c>
      <c r="I154" s="1163">
        <f t="shared" si="3"/>
        <v>11</v>
      </c>
      <c r="J154" s="1155"/>
      <c r="K154" s="446"/>
      <c r="L154" s="446"/>
      <c r="M154" s="446"/>
      <c r="N154" s="488"/>
      <c r="O154" s="321"/>
      <c r="P154" s="321"/>
      <c r="Q154" s="321"/>
      <c r="R154" s="321"/>
      <c r="S154" s="321"/>
      <c r="T154" s="321"/>
      <c r="U154" s="321"/>
      <c r="V154" s="321"/>
    </row>
    <row r="155" spans="1:22">
      <c r="A155" s="321"/>
      <c r="B155" s="360"/>
      <c r="C155" s="1609"/>
      <c r="D155" s="1154"/>
      <c r="E155" s="469" t="s">
        <v>52</v>
      </c>
      <c r="F155" s="1160">
        <f t="shared" si="0"/>
        <v>2</v>
      </c>
      <c r="G155" s="1161">
        <f t="shared" si="1"/>
        <v>1</v>
      </c>
      <c r="H155" s="1162">
        <f t="shared" si="2"/>
        <v>1</v>
      </c>
      <c r="I155" s="1163">
        <f t="shared" si="3"/>
        <v>0</v>
      </c>
      <c r="J155" s="1155"/>
      <c r="K155" s="446"/>
      <c r="L155" s="446"/>
      <c r="M155" s="446"/>
      <c r="N155" s="488"/>
      <c r="O155" s="321"/>
      <c r="P155" s="321"/>
      <c r="Q155" s="321"/>
      <c r="R155" s="321"/>
      <c r="S155" s="321"/>
      <c r="T155" s="321"/>
      <c r="U155" s="321"/>
      <c r="V155" s="321"/>
    </row>
    <row r="156" spans="1:22">
      <c r="A156" s="321"/>
      <c r="B156" s="321"/>
      <c r="C156" s="1609"/>
      <c r="D156" s="1154"/>
      <c r="E156" s="469" t="s">
        <v>53</v>
      </c>
      <c r="F156" s="1160">
        <f t="shared" si="0"/>
        <v>3</v>
      </c>
      <c r="G156" s="1161">
        <f t="shared" si="1"/>
        <v>1</v>
      </c>
      <c r="H156" s="1162">
        <f t="shared" si="2"/>
        <v>0</v>
      </c>
      <c r="I156" s="1163">
        <f t="shared" si="3"/>
        <v>2</v>
      </c>
      <c r="J156" s="1155"/>
      <c r="K156" s="446"/>
      <c r="L156" s="446"/>
      <c r="M156" s="446"/>
      <c r="N156" s="446"/>
      <c r="O156" s="321"/>
      <c r="P156" s="321"/>
      <c r="Q156" s="321"/>
      <c r="R156" s="321"/>
      <c r="S156" s="321"/>
      <c r="T156" s="321"/>
      <c r="U156" s="321"/>
      <c r="V156" s="321"/>
    </row>
    <row r="157" spans="1:22" ht="16.5" thickBot="1">
      <c r="A157" s="321"/>
      <c r="B157" s="360"/>
      <c r="C157" s="1609"/>
      <c r="D157" s="1154"/>
      <c r="E157" s="470" t="s">
        <v>54</v>
      </c>
      <c r="F157" s="1164">
        <f t="shared" si="0"/>
        <v>0</v>
      </c>
      <c r="G157" s="1165">
        <f t="shared" si="1"/>
        <v>0</v>
      </c>
      <c r="H157" s="1166">
        <f t="shared" si="2"/>
        <v>0</v>
      </c>
      <c r="I157" s="1167">
        <f t="shared" si="3"/>
        <v>0</v>
      </c>
      <c r="J157" s="1155"/>
      <c r="K157" s="446"/>
      <c r="L157" s="446"/>
      <c r="M157" s="446"/>
      <c r="N157" s="488"/>
      <c r="O157" s="321"/>
      <c r="P157" s="321"/>
      <c r="Q157" s="321"/>
      <c r="R157" s="321"/>
      <c r="S157" s="321"/>
      <c r="T157" s="321"/>
      <c r="U157" s="321"/>
      <c r="V157" s="321"/>
    </row>
    <row r="158" spans="1:22">
      <c r="A158" s="321"/>
      <c r="B158" s="321"/>
      <c r="C158" s="1609"/>
      <c r="D158" s="1154"/>
      <c r="E158" s="1154"/>
      <c r="F158" s="1154"/>
      <c r="G158" s="1154"/>
      <c r="H158" s="1154"/>
      <c r="I158" s="1154"/>
      <c r="J158" s="1155"/>
      <c r="K158" s="446"/>
      <c r="L158" s="446"/>
      <c r="M158" s="446"/>
      <c r="N158" s="446"/>
      <c r="O158" s="321"/>
      <c r="P158" s="321"/>
      <c r="Q158" s="321"/>
      <c r="R158" s="321"/>
      <c r="S158" s="321"/>
      <c r="T158" s="321"/>
      <c r="U158" s="321"/>
      <c r="V158" s="321"/>
    </row>
    <row r="159" spans="1:22" ht="16.5" thickBot="1">
      <c r="A159" s="321"/>
      <c r="B159" s="360"/>
      <c r="C159" s="1610"/>
      <c r="D159" s="1156"/>
      <c r="E159" s="1156"/>
      <c r="F159" s="1156"/>
      <c r="G159" s="1156"/>
      <c r="H159" s="1156"/>
      <c r="I159" s="1156"/>
      <c r="J159" s="1157"/>
      <c r="K159" s="446"/>
      <c r="L159" s="446"/>
      <c r="M159" s="446"/>
      <c r="N159" s="488"/>
      <c r="O159" s="321"/>
      <c r="P159" s="321"/>
      <c r="Q159" s="321"/>
      <c r="R159" s="321"/>
      <c r="S159" s="321"/>
      <c r="T159" s="321"/>
      <c r="U159" s="321"/>
      <c r="V159" s="321"/>
    </row>
    <row r="160" spans="1:22">
      <c r="A160" s="321"/>
      <c r="B160" s="360"/>
      <c r="C160" s="446"/>
      <c r="D160" s="446"/>
      <c r="E160" s="446"/>
      <c r="F160" s="446"/>
      <c r="G160" s="446"/>
      <c r="H160" s="446"/>
      <c r="I160" s="446"/>
      <c r="J160" s="446"/>
      <c r="K160" s="446"/>
      <c r="L160" s="446"/>
      <c r="M160" s="446"/>
      <c r="N160" s="488"/>
      <c r="O160" s="321"/>
      <c r="P160" s="321"/>
      <c r="Q160" s="321"/>
      <c r="R160" s="321"/>
      <c r="S160" s="321"/>
      <c r="T160" s="321"/>
      <c r="U160" s="321"/>
      <c r="V160" s="321"/>
    </row>
    <row r="161" spans="1:22" ht="16.5" thickBot="1">
      <c r="A161" s="321"/>
      <c r="B161" s="360"/>
      <c r="C161" s="446"/>
      <c r="D161" s="446"/>
      <c r="E161" s="446"/>
      <c r="F161" s="446"/>
      <c r="G161" s="446"/>
      <c r="H161" s="446"/>
      <c r="I161" s="446"/>
      <c r="J161" s="446"/>
      <c r="K161" s="446"/>
      <c r="L161" s="446"/>
      <c r="M161" s="446"/>
      <c r="N161" s="488"/>
      <c r="O161" s="321"/>
      <c r="P161" s="321"/>
      <c r="Q161" s="321"/>
      <c r="R161" s="321"/>
      <c r="S161" s="321"/>
      <c r="T161" s="321"/>
      <c r="U161" s="321"/>
      <c r="V161" s="321"/>
    </row>
    <row r="162" spans="1:22" ht="16.5" customHeight="1" thickBot="1">
      <c r="A162" s="321"/>
      <c r="B162" s="360"/>
      <c r="C162" s="1600" t="s">
        <v>138</v>
      </c>
      <c r="D162" s="471"/>
      <c r="E162" s="472"/>
      <c r="F162" s="472"/>
      <c r="G162" s="472"/>
      <c r="H162" s="472"/>
      <c r="I162" s="472"/>
      <c r="J162" s="472"/>
      <c r="K162" s="472"/>
      <c r="L162" s="472"/>
      <c r="M162" s="472"/>
      <c r="N162" s="473"/>
      <c r="O162" s="321"/>
      <c r="P162" s="321"/>
      <c r="Q162" s="321"/>
      <c r="R162" s="321"/>
      <c r="S162" s="321"/>
      <c r="T162" s="321"/>
      <c r="U162" s="321"/>
      <c r="V162" s="321"/>
    </row>
    <row r="163" spans="1:22">
      <c r="A163" s="321"/>
      <c r="B163" s="360"/>
      <c r="C163" s="1601"/>
      <c r="D163" s="474"/>
      <c r="E163" s="1634" t="s">
        <v>160</v>
      </c>
      <c r="F163" s="1635"/>
      <c r="G163" s="1635"/>
      <c r="H163" s="1635"/>
      <c r="I163" s="1635"/>
      <c r="J163" s="1635"/>
      <c r="K163" s="1635"/>
      <c r="L163" s="1635"/>
      <c r="M163" s="1636"/>
      <c r="N163" s="1168"/>
      <c r="O163" s="321"/>
      <c r="P163" s="321"/>
      <c r="Q163" s="321"/>
      <c r="R163" s="321"/>
      <c r="S163" s="321"/>
      <c r="T163" s="321"/>
      <c r="U163" s="321"/>
      <c r="V163" s="321"/>
    </row>
    <row r="164" spans="1:22">
      <c r="A164" s="321"/>
      <c r="B164" s="360"/>
      <c r="C164" s="1601"/>
      <c r="D164" s="474"/>
      <c r="E164" s="1637"/>
      <c r="F164" s="1638"/>
      <c r="G164" s="1638"/>
      <c r="H164" s="1638"/>
      <c r="I164" s="1638"/>
      <c r="J164" s="1638"/>
      <c r="K164" s="1638"/>
      <c r="L164" s="1638"/>
      <c r="M164" s="1639"/>
      <c r="N164" s="475"/>
      <c r="O164" s="321"/>
      <c r="P164" s="321"/>
      <c r="Q164" s="321"/>
      <c r="R164" s="321"/>
      <c r="S164" s="321"/>
      <c r="T164" s="321"/>
      <c r="U164" s="321"/>
      <c r="V164" s="321"/>
    </row>
    <row r="165" spans="1:22">
      <c r="A165" s="321"/>
      <c r="B165" s="360"/>
      <c r="C165" s="1601"/>
      <c r="D165" s="474"/>
      <c r="E165" s="464" t="s">
        <v>161</v>
      </c>
      <c r="F165" s="1603" t="s">
        <v>159</v>
      </c>
      <c r="G165" s="1604"/>
      <c r="H165" s="1605" t="s">
        <v>143</v>
      </c>
      <c r="I165" s="1606"/>
      <c r="J165" s="1605" t="s">
        <v>162</v>
      </c>
      <c r="K165" s="1606"/>
      <c r="L165" s="1605" t="s">
        <v>163</v>
      </c>
      <c r="M165" s="1607"/>
      <c r="N165" s="475"/>
      <c r="O165" s="321"/>
      <c r="P165" s="321"/>
      <c r="Q165" s="321"/>
      <c r="R165" s="321"/>
      <c r="S165" s="321"/>
      <c r="T165" s="321"/>
      <c r="U165" s="321"/>
      <c r="V165" s="321"/>
    </row>
    <row r="166" spans="1:22">
      <c r="A166" s="321"/>
      <c r="B166" s="321"/>
      <c r="C166" s="1601"/>
      <c r="D166" s="474"/>
      <c r="E166" s="476" t="s">
        <v>47</v>
      </c>
      <c r="F166" s="1169">
        <f>SUM(H166,J166,L166)</f>
        <v>1</v>
      </c>
      <c r="G166" s="1170">
        <f>SUM(I166,K166,M166)</f>
        <v>0</v>
      </c>
      <c r="H166" s="1169">
        <f t="shared" ref="H166:H173" si="4">COUNTIFS(I$1:I$128, E166,J$1:J$128, "Positif",G$1:G$128, 40)</f>
        <v>1</v>
      </c>
      <c r="I166" s="1170">
        <f t="shared" ref="I166:I173" si="5">COUNTIFS(I$1:I$128,E166,J$1:J$128,"Negatif",G$1:G$128,40)+COUNTIFS(I$1:I$128,E166,J$1:J$128,"Négatif",G$1:G$128,40)</f>
        <v>0</v>
      </c>
      <c r="J166" s="1169">
        <f t="shared" ref="J166:J173" si="6">COUNTIFS(I$1:I$128, E166,J$1:J$128, "Positif",G$1:G$128, 65)</f>
        <v>0</v>
      </c>
      <c r="K166" s="1170">
        <f t="shared" ref="K166:K173" si="7">COUNTIFS(I$1:I$128,E166,J$1:J$128,"Negatif",G$1:G$128,65)+COUNTIFS(I$1:I$128,E166,J$1:J$128,"Négatif",G$1:G$128,65)</f>
        <v>0</v>
      </c>
      <c r="L166" s="1169">
        <f t="shared" ref="L166:L173" si="8">COUNTIFS(I$1:I$128, E166,J$1:J$128, "Positif",G$1:G$128,64)</f>
        <v>0</v>
      </c>
      <c r="M166" s="1171">
        <f t="shared" ref="M166:M173" si="9">COUNTIFS(I$1:I$128,E166,J$1:J$128,"Negatif",G$1:G$128,64)+COUNTIFS(I$1:I$128,E166,J$1:J$128,"Négatif",G$1:G$128,64)</f>
        <v>0</v>
      </c>
      <c r="N166" s="475"/>
      <c r="O166" s="321"/>
      <c r="P166" s="321"/>
      <c r="Q166" s="321"/>
      <c r="R166" s="321"/>
      <c r="S166" s="321"/>
      <c r="T166" s="321"/>
      <c r="U166" s="321"/>
      <c r="V166" s="321"/>
    </row>
    <row r="167" spans="1:22">
      <c r="A167" s="321"/>
      <c r="B167" s="321"/>
      <c r="C167" s="1601"/>
      <c r="D167" s="474"/>
      <c r="E167" s="476" t="s">
        <v>48</v>
      </c>
      <c r="F167" s="1169">
        <f t="shared" ref="F167:G173" si="10">SUM(H167,J167,L167)</f>
        <v>0</v>
      </c>
      <c r="G167" s="1170">
        <f t="shared" si="10"/>
        <v>0</v>
      </c>
      <c r="H167" s="1169">
        <f t="shared" si="4"/>
        <v>0</v>
      </c>
      <c r="I167" s="1170">
        <f t="shared" si="5"/>
        <v>0</v>
      </c>
      <c r="J167" s="1169">
        <f t="shared" si="6"/>
        <v>0</v>
      </c>
      <c r="K167" s="1170">
        <f t="shared" si="7"/>
        <v>0</v>
      </c>
      <c r="L167" s="1169">
        <f t="shared" si="8"/>
        <v>0</v>
      </c>
      <c r="M167" s="1171">
        <f t="shared" si="9"/>
        <v>0</v>
      </c>
      <c r="N167" s="475"/>
      <c r="O167" s="321"/>
      <c r="P167" s="321"/>
      <c r="Q167" s="321"/>
      <c r="R167" s="321"/>
      <c r="S167" s="321"/>
      <c r="T167" s="321"/>
      <c r="U167" s="321"/>
      <c r="V167" s="321"/>
    </row>
    <row r="168" spans="1:22">
      <c r="A168" s="321"/>
      <c r="B168" s="321"/>
      <c r="C168" s="1601"/>
      <c r="D168" s="474"/>
      <c r="E168" s="476" t="s">
        <v>49</v>
      </c>
      <c r="F168" s="1169">
        <f t="shared" si="10"/>
        <v>1</v>
      </c>
      <c r="G168" s="1170">
        <f t="shared" si="10"/>
        <v>0</v>
      </c>
      <c r="H168" s="1169">
        <f t="shared" si="4"/>
        <v>1</v>
      </c>
      <c r="I168" s="1170">
        <f t="shared" si="5"/>
        <v>0</v>
      </c>
      <c r="J168" s="1169">
        <f t="shared" si="6"/>
        <v>0</v>
      </c>
      <c r="K168" s="1170">
        <f t="shared" si="7"/>
        <v>0</v>
      </c>
      <c r="L168" s="1169">
        <f t="shared" si="8"/>
        <v>0</v>
      </c>
      <c r="M168" s="1171">
        <f t="shared" si="9"/>
        <v>0</v>
      </c>
      <c r="N168" s="475"/>
      <c r="O168" s="321"/>
      <c r="P168" s="321"/>
      <c r="Q168" s="321"/>
      <c r="R168" s="321"/>
      <c r="S168" s="321"/>
      <c r="T168" s="321"/>
      <c r="U168" s="321"/>
      <c r="V168" s="321"/>
    </row>
    <row r="169" spans="1:22">
      <c r="A169" s="321"/>
      <c r="B169" s="321"/>
      <c r="C169" s="1601"/>
      <c r="D169" s="474"/>
      <c r="E169" s="476" t="s">
        <v>50</v>
      </c>
      <c r="F169" s="1169">
        <f t="shared" si="10"/>
        <v>0</v>
      </c>
      <c r="G169" s="1170">
        <f t="shared" si="10"/>
        <v>0</v>
      </c>
      <c r="H169" s="1169">
        <f t="shared" si="4"/>
        <v>0</v>
      </c>
      <c r="I169" s="1170">
        <f t="shared" si="5"/>
        <v>0</v>
      </c>
      <c r="J169" s="1169">
        <f t="shared" si="6"/>
        <v>0</v>
      </c>
      <c r="K169" s="1170">
        <f t="shared" si="7"/>
        <v>0</v>
      </c>
      <c r="L169" s="1169">
        <f t="shared" si="8"/>
        <v>0</v>
      </c>
      <c r="M169" s="1171">
        <f t="shared" si="9"/>
        <v>0</v>
      </c>
      <c r="N169" s="475"/>
      <c r="O169" s="321"/>
      <c r="P169" s="321"/>
      <c r="Q169" s="321"/>
      <c r="R169" s="321"/>
      <c r="S169" s="321"/>
      <c r="T169" s="321"/>
      <c r="U169" s="321"/>
      <c r="V169" s="321"/>
    </row>
    <row r="170" spans="1:22">
      <c r="A170" s="321"/>
      <c r="B170" s="360"/>
      <c r="C170" s="1601"/>
      <c r="D170" s="474"/>
      <c r="E170" s="476" t="s">
        <v>51</v>
      </c>
      <c r="F170" s="1169">
        <f t="shared" si="10"/>
        <v>16</v>
      </c>
      <c r="G170" s="1170">
        <f t="shared" si="10"/>
        <v>1</v>
      </c>
      <c r="H170" s="1169">
        <f t="shared" si="4"/>
        <v>6</v>
      </c>
      <c r="I170" s="1170">
        <f t="shared" si="5"/>
        <v>0</v>
      </c>
      <c r="J170" s="1169">
        <f t="shared" si="6"/>
        <v>0</v>
      </c>
      <c r="K170" s="1170">
        <f t="shared" si="7"/>
        <v>0</v>
      </c>
      <c r="L170" s="1169">
        <f t="shared" si="8"/>
        <v>10</v>
      </c>
      <c r="M170" s="1171">
        <f t="shared" si="9"/>
        <v>1</v>
      </c>
      <c r="N170" s="475"/>
      <c r="O170" s="321"/>
      <c r="P170" s="321"/>
      <c r="Q170" s="321"/>
      <c r="R170" s="321"/>
      <c r="S170" s="321"/>
      <c r="T170" s="321"/>
      <c r="U170" s="321"/>
      <c r="V170" s="321"/>
    </row>
    <row r="171" spans="1:22">
      <c r="A171" s="321"/>
      <c r="B171" s="360"/>
      <c r="C171" s="1601"/>
      <c r="D171" s="474"/>
      <c r="E171" s="476" t="s">
        <v>52</v>
      </c>
      <c r="F171" s="1169">
        <f t="shared" si="10"/>
        <v>2</v>
      </c>
      <c r="G171" s="1170">
        <f t="shared" si="10"/>
        <v>0</v>
      </c>
      <c r="H171" s="1169">
        <f t="shared" si="4"/>
        <v>1</v>
      </c>
      <c r="I171" s="1170">
        <f t="shared" si="5"/>
        <v>0</v>
      </c>
      <c r="J171" s="1169">
        <f t="shared" si="6"/>
        <v>1</v>
      </c>
      <c r="K171" s="1170">
        <f t="shared" si="7"/>
        <v>0</v>
      </c>
      <c r="L171" s="1169">
        <f t="shared" si="8"/>
        <v>0</v>
      </c>
      <c r="M171" s="1171">
        <f t="shared" si="9"/>
        <v>0</v>
      </c>
      <c r="N171" s="475"/>
      <c r="O171" s="321"/>
      <c r="P171" s="321"/>
      <c r="Q171" s="321"/>
      <c r="R171" s="321"/>
      <c r="S171" s="321"/>
      <c r="T171" s="321"/>
      <c r="U171" s="321"/>
      <c r="V171" s="321"/>
    </row>
    <row r="172" spans="1:22">
      <c r="A172" s="321"/>
      <c r="B172" s="360"/>
      <c r="C172" s="1601"/>
      <c r="D172" s="474"/>
      <c r="E172" s="476" t="s">
        <v>53</v>
      </c>
      <c r="F172" s="1169">
        <f t="shared" si="10"/>
        <v>3</v>
      </c>
      <c r="G172" s="1170">
        <f t="shared" si="10"/>
        <v>0</v>
      </c>
      <c r="H172" s="1169">
        <f t="shared" si="4"/>
        <v>1</v>
      </c>
      <c r="I172" s="1170">
        <f t="shared" si="5"/>
        <v>0</v>
      </c>
      <c r="J172" s="1169">
        <f t="shared" si="6"/>
        <v>0</v>
      </c>
      <c r="K172" s="1170">
        <f t="shared" si="7"/>
        <v>0</v>
      </c>
      <c r="L172" s="1169">
        <f t="shared" si="8"/>
        <v>2</v>
      </c>
      <c r="M172" s="1171">
        <f t="shared" si="9"/>
        <v>0</v>
      </c>
      <c r="N172" s="475"/>
      <c r="O172" s="321"/>
      <c r="P172" s="321"/>
      <c r="Q172" s="321"/>
      <c r="R172" s="321"/>
      <c r="S172" s="321"/>
      <c r="T172" s="321"/>
      <c r="U172" s="321"/>
      <c r="V172" s="321"/>
    </row>
    <row r="173" spans="1:22" ht="16.5" thickBot="1">
      <c r="A173" s="321"/>
      <c r="B173" s="360"/>
      <c r="C173" s="1601"/>
      <c r="D173" s="474"/>
      <c r="E173" s="477" t="s">
        <v>54</v>
      </c>
      <c r="F173" s="1172">
        <f t="shared" si="10"/>
        <v>0</v>
      </c>
      <c r="G173" s="1173">
        <f>SUM(I173,K173,M173)</f>
        <v>0</v>
      </c>
      <c r="H173" s="1172">
        <f t="shared" si="4"/>
        <v>0</v>
      </c>
      <c r="I173" s="1173">
        <f t="shared" si="5"/>
        <v>0</v>
      </c>
      <c r="J173" s="1172">
        <f t="shared" si="6"/>
        <v>0</v>
      </c>
      <c r="K173" s="1173">
        <f t="shared" si="7"/>
        <v>0</v>
      </c>
      <c r="L173" s="1172">
        <f t="shared" si="8"/>
        <v>0</v>
      </c>
      <c r="M173" s="1174">
        <f t="shared" si="9"/>
        <v>0</v>
      </c>
      <c r="N173" s="475"/>
      <c r="O173" s="321"/>
      <c r="P173" s="321"/>
      <c r="Q173" s="321"/>
      <c r="R173" s="321"/>
      <c r="S173" s="321"/>
      <c r="T173" s="321"/>
      <c r="U173" s="321"/>
      <c r="V173" s="321"/>
    </row>
    <row r="174" spans="1:22">
      <c r="A174" s="321"/>
      <c r="B174" s="360"/>
      <c r="C174" s="1601"/>
      <c r="D174" s="474"/>
      <c r="E174" s="478"/>
      <c r="F174" s="479"/>
      <c r="G174" s="479"/>
      <c r="H174" s="479"/>
      <c r="I174" s="479"/>
      <c r="J174" s="480"/>
      <c r="K174" s="480"/>
      <c r="L174" s="480"/>
      <c r="M174" s="480"/>
      <c r="N174" s="475"/>
      <c r="O174" s="321"/>
      <c r="P174" s="321"/>
      <c r="Q174" s="321"/>
      <c r="R174" s="321"/>
      <c r="S174" s="321"/>
      <c r="T174" s="321"/>
      <c r="U174" s="321"/>
      <c r="V174" s="321"/>
    </row>
    <row r="175" spans="1:22" ht="16.5" thickBot="1">
      <c r="A175" s="321"/>
      <c r="B175" s="360"/>
      <c r="C175" s="1602"/>
      <c r="D175" s="481"/>
      <c r="E175" s="482"/>
      <c r="F175" s="482"/>
      <c r="G175" s="482"/>
      <c r="H175" s="482"/>
      <c r="I175" s="482"/>
      <c r="J175" s="482"/>
      <c r="K175" s="482"/>
      <c r="L175" s="482"/>
      <c r="M175" s="482"/>
      <c r="N175" s="483"/>
      <c r="O175" s="321"/>
      <c r="P175" s="321"/>
      <c r="Q175" s="321"/>
      <c r="R175" s="321"/>
      <c r="S175" s="321"/>
      <c r="T175" s="321"/>
      <c r="U175" s="321"/>
      <c r="V175" s="321"/>
    </row>
    <row r="176" spans="1:22">
      <c r="A176" s="321"/>
      <c r="B176" s="321"/>
      <c r="C176" s="322"/>
      <c r="D176" s="323"/>
      <c r="E176" s="324"/>
      <c r="F176" s="321"/>
      <c r="G176" s="325"/>
      <c r="H176" s="321"/>
      <c r="I176" s="321"/>
      <c r="J176" s="322"/>
      <c r="K176" s="321"/>
      <c r="L176" s="360"/>
      <c r="M176" s="392"/>
      <c r="N176" s="321"/>
      <c r="O176" s="321"/>
      <c r="P176" s="321"/>
      <c r="Q176" s="321"/>
      <c r="R176" s="321"/>
      <c r="S176" s="321"/>
      <c r="T176" s="321"/>
      <c r="U176" s="321"/>
      <c r="V176" s="321"/>
    </row>
    <row r="177" spans="1:22">
      <c r="A177" s="321"/>
      <c r="B177" s="321"/>
      <c r="C177" s="322"/>
      <c r="D177" s="323"/>
      <c r="E177" s="324"/>
      <c r="F177" s="321"/>
      <c r="G177" s="325"/>
      <c r="H177" s="321"/>
      <c r="I177" s="321"/>
      <c r="J177" s="322"/>
      <c r="K177" s="321"/>
      <c r="L177" s="360"/>
      <c r="M177" s="392"/>
      <c r="N177" s="321"/>
      <c r="O177" s="321"/>
      <c r="P177" s="321"/>
      <c r="Q177" s="321"/>
      <c r="R177" s="321"/>
      <c r="S177" s="321"/>
      <c r="T177" s="321"/>
      <c r="U177" s="321"/>
      <c r="V177" s="321"/>
    </row>
    <row r="178" spans="1:22">
      <c r="A178" s="321"/>
      <c r="B178" s="321"/>
      <c r="C178" s="322"/>
      <c r="D178" s="323"/>
      <c r="E178" s="324"/>
      <c r="F178" s="321"/>
      <c r="G178" s="325"/>
      <c r="H178" s="321"/>
      <c r="I178" s="321"/>
      <c r="J178" s="322"/>
      <c r="K178" s="321"/>
      <c r="L178" s="360"/>
      <c r="M178" s="392"/>
      <c r="N178" s="321"/>
      <c r="O178" s="321"/>
      <c r="P178" s="321"/>
      <c r="Q178" s="321"/>
      <c r="R178" s="321"/>
      <c r="S178" s="321"/>
      <c r="T178" s="321"/>
      <c r="U178" s="321"/>
      <c r="V178" s="321"/>
    </row>
    <row r="179" spans="1:22">
      <c r="A179" s="321"/>
      <c r="B179" s="321"/>
      <c r="C179" s="322"/>
      <c r="D179" s="323"/>
      <c r="E179" s="324"/>
      <c r="F179" s="321"/>
      <c r="G179" s="325"/>
      <c r="H179" s="321"/>
      <c r="I179" s="321"/>
      <c r="J179" s="322"/>
      <c r="K179" s="321"/>
      <c r="L179" s="360"/>
      <c r="M179" s="392"/>
      <c r="N179" s="321"/>
      <c r="O179" s="321"/>
      <c r="P179" s="321"/>
      <c r="Q179" s="321"/>
      <c r="R179" s="321"/>
      <c r="S179" s="321"/>
      <c r="T179" s="321"/>
      <c r="U179" s="321"/>
      <c r="V179" s="321"/>
    </row>
    <row r="180" spans="1:22">
      <c r="A180" s="321"/>
      <c r="B180" s="321"/>
      <c r="C180" s="322"/>
      <c r="D180" s="323"/>
      <c r="E180" s="324"/>
      <c r="F180" s="321"/>
      <c r="G180" s="325"/>
      <c r="H180" s="321"/>
      <c r="I180" s="321"/>
      <c r="J180" s="322"/>
      <c r="K180" s="321"/>
      <c r="L180" s="360"/>
      <c r="M180" s="392"/>
      <c r="N180" s="321"/>
      <c r="O180" s="321"/>
      <c r="P180" s="321"/>
      <c r="Q180" s="321"/>
      <c r="R180" s="321"/>
      <c r="S180" s="321"/>
      <c r="T180" s="321"/>
      <c r="U180" s="321"/>
      <c r="V180" s="321"/>
    </row>
    <row r="181" spans="1:22">
      <c r="A181" s="321"/>
      <c r="B181" s="321"/>
      <c r="C181" s="322"/>
      <c r="D181" s="323"/>
      <c r="E181" s="324"/>
      <c r="F181" s="321"/>
      <c r="G181" s="325"/>
      <c r="H181" s="321"/>
      <c r="I181" s="321"/>
      <c r="J181" s="322"/>
      <c r="K181" s="321"/>
      <c r="L181" s="360"/>
      <c r="M181" s="392"/>
      <c r="N181" s="321"/>
      <c r="O181" s="321"/>
      <c r="P181" s="321"/>
      <c r="Q181" s="321"/>
      <c r="R181" s="321"/>
      <c r="S181" s="321"/>
      <c r="T181" s="321"/>
      <c r="U181" s="321"/>
      <c r="V181" s="321"/>
    </row>
    <row r="182" spans="1:22">
      <c r="A182" s="321"/>
      <c r="B182" s="321"/>
      <c r="C182" s="322"/>
      <c r="D182" s="323"/>
      <c r="E182" s="324"/>
      <c r="F182" s="321"/>
      <c r="G182" s="325"/>
      <c r="H182" s="321"/>
      <c r="I182" s="321"/>
      <c r="J182" s="322"/>
      <c r="K182" s="321"/>
      <c r="L182" s="360"/>
      <c r="M182" s="392"/>
      <c r="N182" s="321"/>
      <c r="O182" s="321"/>
      <c r="P182" s="321"/>
      <c r="Q182" s="321"/>
      <c r="R182" s="321"/>
      <c r="S182" s="321"/>
      <c r="T182" s="321"/>
      <c r="U182" s="321"/>
      <c r="V182" s="321"/>
    </row>
    <row r="183" spans="1:22">
      <c r="A183" s="321"/>
      <c r="B183" s="321"/>
      <c r="C183" s="322"/>
      <c r="D183" s="323"/>
      <c r="E183" s="324"/>
      <c r="F183" s="321"/>
      <c r="G183" s="325"/>
      <c r="H183" s="321"/>
      <c r="I183" s="321"/>
      <c r="J183" s="322"/>
      <c r="K183" s="321"/>
      <c r="L183" s="360"/>
      <c r="M183" s="392"/>
      <c r="N183" s="321"/>
      <c r="O183" s="321"/>
      <c r="P183" s="321"/>
      <c r="Q183" s="321"/>
      <c r="R183" s="321"/>
      <c r="S183" s="321"/>
      <c r="T183" s="321"/>
      <c r="U183" s="321"/>
      <c r="V183" s="321"/>
    </row>
    <row r="184" spans="1:22">
      <c r="A184" s="321"/>
      <c r="B184" s="321"/>
      <c r="C184" s="322"/>
      <c r="D184" s="323"/>
      <c r="E184" s="324"/>
      <c r="F184" s="321"/>
      <c r="G184" s="325"/>
      <c r="H184" s="321"/>
      <c r="I184" s="321"/>
      <c r="J184" s="322"/>
      <c r="K184" s="321"/>
      <c r="L184" s="360"/>
      <c r="M184" s="392"/>
      <c r="N184" s="321"/>
      <c r="O184" s="321"/>
      <c r="P184" s="321"/>
      <c r="Q184" s="321"/>
      <c r="R184" s="321"/>
      <c r="S184" s="321"/>
      <c r="T184" s="321"/>
      <c r="U184" s="321"/>
      <c r="V184" s="321"/>
    </row>
    <row r="185" spans="1:22">
      <c r="A185" s="321"/>
      <c r="B185" s="321"/>
      <c r="C185" s="322"/>
      <c r="D185" s="323"/>
      <c r="E185" s="324"/>
      <c r="F185" s="321"/>
      <c r="G185" s="325"/>
      <c r="H185" s="321"/>
      <c r="I185" s="321"/>
      <c r="J185" s="322"/>
      <c r="K185" s="321"/>
      <c r="L185" s="360"/>
      <c r="M185" s="392"/>
      <c r="N185" s="321"/>
      <c r="O185" s="321"/>
      <c r="P185" s="321"/>
      <c r="Q185" s="321"/>
      <c r="R185" s="321"/>
      <c r="S185" s="321"/>
      <c r="T185" s="321"/>
      <c r="U185" s="321"/>
      <c r="V185" s="321"/>
    </row>
    <row r="186" spans="1:22">
      <c r="A186" s="321"/>
      <c r="B186" s="321"/>
      <c r="C186" s="322"/>
      <c r="D186" s="323"/>
      <c r="E186" s="324"/>
      <c r="F186" s="321"/>
      <c r="G186" s="325"/>
      <c r="H186" s="321"/>
      <c r="I186" s="321"/>
      <c r="J186" s="322"/>
      <c r="K186" s="321"/>
      <c r="L186" s="360"/>
      <c r="M186" s="392"/>
      <c r="N186" s="321"/>
      <c r="O186" s="321"/>
      <c r="P186" s="321"/>
      <c r="Q186" s="321"/>
      <c r="R186" s="321"/>
      <c r="S186" s="321"/>
      <c r="T186" s="321"/>
      <c r="U186" s="321"/>
      <c r="V186" s="321"/>
    </row>
    <row r="187" spans="1:22">
      <c r="A187" s="321"/>
      <c r="B187" s="321"/>
      <c r="C187" s="322"/>
      <c r="D187" s="323"/>
      <c r="E187" s="324"/>
      <c r="F187" s="321"/>
      <c r="G187" s="325"/>
      <c r="H187" s="321"/>
      <c r="I187" s="321"/>
      <c r="J187" s="322"/>
      <c r="K187" s="321"/>
      <c r="L187" s="360"/>
      <c r="M187" s="392"/>
      <c r="N187" s="321"/>
      <c r="O187" s="321"/>
      <c r="P187" s="321"/>
      <c r="Q187" s="321"/>
      <c r="R187" s="321"/>
      <c r="S187" s="321"/>
      <c r="T187" s="321"/>
      <c r="U187" s="321"/>
      <c r="V187" s="321"/>
    </row>
    <row r="188" spans="1:22">
      <c r="A188" s="321"/>
      <c r="B188" s="321"/>
      <c r="C188" s="322"/>
      <c r="D188" s="323"/>
      <c r="E188" s="324"/>
      <c r="F188" s="321"/>
      <c r="G188" s="325"/>
      <c r="H188" s="321"/>
      <c r="I188" s="321"/>
      <c r="J188" s="322"/>
      <c r="K188" s="321"/>
      <c r="L188" s="360"/>
      <c r="M188" s="392"/>
      <c r="N188" s="321"/>
      <c r="O188" s="321"/>
      <c r="P188" s="321"/>
      <c r="Q188" s="321"/>
      <c r="R188" s="321"/>
      <c r="S188" s="321"/>
      <c r="T188" s="321"/>
      <c r="U188" s="321"/>
      <c r="V188" s="321"/>
    </row>
    <row r="189" spans="1:22">
      <c r="A189" s="321"/>
      <c r="B189" s="321"/>
      <c r="C189" s="322"/>
      <c r="D189" s="323"/>
      <c r="E189" s="324"/>
      <c r="F189" s="321"/>
      <c r="G189" s="325"/>
      <c r="H189" s="321"/>
      <c r="I189" s="321"/>
      <c r="J189" s="322"/>
      <c r="K189" s="321"/>
      <c r="L189" s="360"/>
      <c r="M189" s="392"/>
      <c r="N189" s="321"/>
      <c r="O189" s="321"/>
      <c r="P189" s="321"/>
      <c r="Q189" s="321"/>
      <c r="R189" s="321"/>
      <c r="S189" s="321"/>
      <c r="T189" s="321"/>
      <c r="U189" s="321"/>
      <c r="V189" s="321"/>
    </row>
    <row r="190" spans="1:22">
      <c r="A190" s="321"/>
      <c r="B190" s="321"/>
      <c r="C190" s="322"/>
      <c r="D190" s="323"/>
      <c r="E190" s="324"/>
      <c r="F190" s="321"/>
      <c r="G190" s="325"/>
      <c r="H190" s="321"/>
      <c r="I190" s="321"/>
      <c r="J190" s="322"/>
      <c r="K190" s="321"/>
      <c r="L190" s="360"/>
      <c r="M190" s="392"/>
      <c r="N190" s="321"/>
      <c r="O190" s="321"/>
      <c r="P190" s="321"/>
      <c r="Q190" s="321"/>
      <c r="R190" s="321"/>
      <c r="S190" s="321"/>
      <c r="T190" s="321"/>
      <c r="U190" s="321"/>
      <c r="V190" s="321"/>
    </row>
    <row r="191" spans="1:22">
      <c r="A191" s="321"/>
      <c r="B191" s="321"/>
      <c r="C191" s="322"/>
      <c r="D191" s="323"/>
      <c r="E191" s="324"/>
      <c r="F191" s="321"/>
      <c r="G191" s="325"/>
      <c r="H191" s="321"/>
      <c r="I191" s="321"/>
      <c r="J191" s="322"/>
      <c r="K191" s="321"/>
      <c r="L191" s="360"/>
      <c r="M191" s="392"/>
      <c r="N191" s="321"/>
      <c r="O191" s="321"/>
      <c r="P191" s="321"/>
      <c r="Q191" s="321"/>
      <c r="R191" s="321"/>
      <c r="S191" s="321"/>
      <c r="T191" s="321"/>
      <c r="U191" s="321"/>
      <c r="V191" s="321"/>
    </row>
    <row r="192" spans="1:22">
      <c r="A192" s="321"/>
      <c r="B192" s="321"/>
      <c r="C192" s="322"/>
      <c r="D192" s="323"/>
      <c r="E192" s="324"/>
      <c r="F192" s="321"/>
      <c r="G192" s="325"/>
      <c r="H192" s="321"/>
      <c r="I192" s="321"/>
      <c r="J192" s="322"/>
      <c r="K192" s="321"/>
      <c r="L192" s="360"/>
      <c r="M192" s="392"/>
      <c r="N192" s="321"/>
      <c r="O192" s="321"/>
      <c r="P192" s="321"/>
      <c r="Q192" s="321"/>
      <c r="R192" s="321"/>
      <c r="S192" s="321"/>
      <c r="T192" s="321"/>
      <c r="U192" s="321"/>
      <c r="V192" s="321"/>
    </row>
    <row r="193" spans="1:22">
      <c r="A193" s="321"/>
      <c r="B193" s="321"/>
      <c r="C193" s="322"/>
      <c r="D193" s="323"/>
      <c r="E193" s="324"/>
      <c r="F193" s="321"/>
      <c r="G193" s="325"/>
      <c r="H193" s="321"/>
      <c r="I193" s="321"/>
      <c r="J193" s="322"/>
      <c r="K193" s="321"/>
      <c r="L193" s="360"/>
      <c r="M193" s="392"/>
      <c r="N193" s="321"/>
      <c r="O193" s="321"/>
      <c r="P193" s="321"/>
      <c r="Q193" s="321"/>
      <c r="R193" s="321"/>
      <c r="S193" s="321"/>
      <c r="T193" s="321"/>
      <c r="U193" s="321"/>
      <c r="V193" s="321"/>
    </row>
    <row r="194" spans="1:22">
      <c r="A194" s="321"/>
      <c r="B194" s="321"/>
      <c r="C194" s="322"/>
      <c r="D194" s="323"/>
      <c r="E194" s="324"/>
      <c r="F194" s="321"/>
      <c r="G194" s="325"/>
      <c r="H194" s="321"/>
      <c r="I194" s="321"/>
      <c r="J194" s="322"/>
      <c r="K194" s="321"/>
      <c r="L194" s="360"/>
      <c r="M194" s="392"/>
      <c r="N194" s="321"/>
      <c r="O194" s="321"/>
      <c r="P194" s="321"/>
      <c r="Q194" s="321"/>
      <c r="R194" s="321"/>
      <c r="S194" s="321"/>
      <c r="T194" s="321"/>
      <c r="U194" s="321"/>
      <c r="V194" s="321"/>
    </row>
    <row r="195" spans="1:22">
      <c r="A195" s="321"/>
      <c r="B195" s="321"/>
      <c r="C195" s="322"/>
      <c r="D195" s="323"/>
      <c r="E195" s="324"/>
      <c r="F195" s="321"/>
      <c r="G195" s="325"/>
      <c r="H195" s="321"/>
      <c r="I195" s="321"/>
      <c r="J195" s="322"/>
      <c r="K195" s="321"/>
      <c r="L195" s="360"/>
      <c r="M195" s="392"/>
      <c r="N195" s="321"/>
      <c r="O195" s="321"/>
      <c r="P195" s="321"/>
      <c r="Q195" s="321"/>
      <c r="R195" s="321"/>
      <c r="S195" s="321"/>
      <c r="T195" s="321"/>
      <c r="U195" s="321"/>
      <c r="V195" s="321"/>
    </row>
    <row r="196" spans="1:22">
      <c r="A196" s="321"/>
      <c r="B196" s="321"/>
      <c r="C196" s="322"/>
      <c r="D196" s="323"/>
      <c r="E196" s="324"/>
      <c r="F196" s="321"/>
      <c r="G196" s="325"/>
      <c r="H196" s="321"/>
      <c r="I196" s="321"/>
      <c r="J196" s="322"/>
      <c r="K196" s="321"/>
      <c r="L196" s="360"/>
      <c r="M196" s="392"/>
      <c r="N196" s="321"/>
      <c r="O196" s="321"/>
      <c r="P196" s="321"/>
      <c r="Q196" s="321"/>
      <c r="R196" s="321"/>
      <c r="S196" s="321"/>
      <c r="T196" s="321"/>
      <c r="U196" s="321"/>
      <c r="V196" s="321"/>
    </row>
    <row r="197" spans="1:22">
      <c r="A197" s="321"/>
      <c r="B197" s="321"/>
      <c r="C197" s="322"/>
      <c r="D197" s="323"/>
      <c r="E197" s="324"/>
      <c r="F197" s="321"/>
      <c r="G197" s="325"/>
      <c r="H197" s="321"/>
      <c r="I197" s="321"/>
      <c r="J197" s="322"/>
      <c r="K197" s="321"/>
      <c r="L197" s="360"/>
      <c r="M197" s="392"/>
      <c r="N197" s="321"/>
      <c r="O197" s="321"/>
      <c r="P197" s="321"/>
      <c r="Q197" s="321"/>
      <c r="R197" s="321"/>
      <c r="S197" s="321"/>
      <c r="T197" s="321"/>
      <c r="U197" s="321"/>
      <c r="V197" s="321"/>
    </row>
    <row r="198" spans="1:22">
      <c r="A198" s="321"/>
      <c r="B198" s="321"/>
      <c r="C198" s="322"/>
      <c r="D198" s="323"/>
      <c r="E198" s="324"/>
      <c r="F198" s="321"/>
      <c r="G198" s="325"/>
      <c r="H198" s="321"/>
      <c r="I198" s="321"/>
      <c r="J198" s="322"/>
      <c r="K198" s="321"/>
      <c r="L198" s="360"/>
      <c r="M198" s="392"/>
      <c r="N198" s="321"/>
      <c r="O198" s="321"/>
      <c r="P198" s="321"/>
      <c r="Q198" s="321"/>
      <c r="R198" s="321"/>
      <c r="S198" s="321"/>
      <c r="T198" s="321"/>
      <c r="U198" s="321"/>
      <c r="V198" s="321"/>
    </row>
    <row r="199" spans="1:22">
      <c r="A199" s="321"/>
      <c r="B199" s="321"/>
      <c r="C199" s="322"/>
      <c r="D199" s="323"/>
      <c r="E199" s="324"/>
      <c r="F199" s="321"/>
      <c r="G199" s="325"/>
      <c r="H199" s="321"/>
      <c r="I199" s="321"/>
      <c r="J199" s="322"/>
      <c r="K199" s="321"/>
      <c r="L199" s="360"/>
      <c r="M199" s="392"/>
      <c r="N199" s="321"/>
      <c r="O199" s="321"/>
      <c r="P199" s="321"/>
      <c r="Q199" s="321"/>
      <c r="R199" s="321"/>
      <c r="S199" s="321"/>
      <c r="T199" s="321"/>
      <c r="U199" s="321"/>
      <c r="V199" s="321"/>
    </row>
    <row r="200" spans="1:22">
      <c r="C200" s="322"/>
      <c r="D200" s="323"/>
      <c r="E200" s="324"/>
      <c r="F200" s="321"/>
      <c r="G200" s="325"/>
      <c r="H200" s="321"/>
      <c r="I200" s="321"/>
      <c r="J200" s="322"/>
      <c r="K200" s="321"/>
      <c r="L200" s="360"/>
      <c r="M200" s="392"/>
      <c r="N200" s="321"/>
      <c r="O200" s="321"/>
      <c r="P200" s="321"/>
      <c r="Q200" s="321"/>
      <c r="R200" s="321"/>
      <c r="S200" s="321"/>
      <c r="T200" s="321"/>
      <c r="U200" s="321"/>
      <c r="V200" s="321"/>
    </row>
    <row r="201" spans="1:22">
      <c r="C201" s="322"/>
      <c r="D201" s="323"/>
      <c r="E201" s="324"/>
      <c r="F201" s="321"/>
      <c r="G201" s="325"/>
      <c r="H201" s="321"/>
      <c r="I201" s="321"/>
      <c r="J201" s="322"/>
      <c r="K201" s="321"/>
      <c r="L201" s="360"/>
      <c r="M201" s="392"/>
      <c r="N201" s="321"/>
      <c r="O201" s="321"/>
      <c r="P201" s="321"/>
      <c r="Q201" s="321"/>
      <c r="R201" s="321"/>
      <c r="S201" s="321"/>
      <c r="T201" s="321"/>
      <c r="U201" s="321"/>
      <c r="V201" s="321"/>
    </row>
    <row r="202" spans="1:22">
      <c r="C202" s="322"/>
      <c r="D202" s="323"/>
      <c r="E202" s="324"/>
      <c r="F202" s="321"/>
      <c r="G202" s="325"/>
      <c r="H202" s="321"/>
      <c r="I202" s="321"/>
      <c r="J202" s="322"/>
      <c r="K202" s="321"/>
      <c r="L202" s="360"/>
      <c r="M202" s="392"/>
      <c r="N202" s="321"/>
      <c r="O202" s="321"/>
      <c r="P202" s="321"/>
      <c r="Q202" s="321"/>
      <c r="R202" s="321"/>
      <c r="S202" s="321"/>
      <c r="T202" s="321"/>
      <c r="U202" s="321"/>
      <c r="V202" s="321"/>
    </row>
    <row r="203" spans="1:22">
      <c r="C203" s="322"/>
      <c r="D203" s="323"/>
      <c r="E203" s="324"/>
      <c r="F203" s="321"/>
      <c r="G203" s="325"/>
      <c r="H203" s="321"/>
      <c r="I203" s="321"/>
      <c r="J203" s="322"/>
      <c r="K203" s="321"/>
      <c r="L203" s="360"/>
      <c r="M203" s="392"/>
      <c r="N203" s="321"/>
      <c r="O203" s="321"/>
      <c r="P203" s="321"/>
      <c r="Q203" s="321"/>
      <c r="R203" s="321"/>
      <c r="S203" s="321"/>
      <c r="T203" s="321"/>
      <c r="U203" s="321"/>
      <c r="V203" s="321"/>
    </row>
    <row r="204" spans="1:22">
      <c r="C204" s="322"/>
      <c r="D204" s="323"/>
      <c r="E204" s="324"/>
      <c r="F204" s="321"/>
      <c r="G204" s="325"/>
      <c r="H204" s="321"/>
      <c r="I204" s="321"/>
      <c r="J204" s="322"/>
      <c r="K204" s="321"/>
      <c r="L204" s="360"/>
      <c r="M204" s="392"/>
      <c r="N204" s="321"/>
      <c r="O204" s="321"/>
      <c r="P204" s="321"/>
      <c r="Q204" s="321"/>
      <c r="R204" s="321"/>
      <c r="S204" s="321"/>
      <c r="T204" s="321"/>
      <c r="U204" s="321"/>
      <c r="V204" s="321"/>
    </row>
    <row r="205" spans="1:22">
      <c r="C205" s="322"/>
      <c r="D205" s="323"/>
      <c r="E205" s="324"/>
      <c r="F205" s="321"/>
      <c r="G205" s="325"/>
      <c r="H205" s="321"/>
      <c r="I205" s="321"/>
      <c r="J205" s="322"/>
      <c r="K205" s="321"/>
      <c r="L205" s="360"/>
      <c r="M205" s="392"/>
      <c r="N205" s="321"/>
      <c r="O205" s="321"/>
      <c r="P205" s="321"/>
      <c r="Q205" s="321"/>
      <c r="R205" s="321"/>
      <c r="S205" s="321"/>
      <c r="T205" s="321"/>
      <c r="U205" s="321"/>
      <c r="V205" s="321"/>
    </row>
    <row r="206" spans="1:22">
      <c r="C206" s="322"/>
      <c r="D206" s="323"/>
      <c r="E206" s="324"/>
      <c r="F206" s="321"/>
      <c r="G206" s="325"/>
      <c r="H206" s="321"/>
      <c r="I206" s="321"/>
      <c r="J206" s="322"/>
      <c r="K206" s="321"/>
      <c r="L206" s="360"/>
      <c r="M206" s="392"/>
      <c r="N206" s="321"/>
      <c r="O206" s="321"/>
      <c r="P206" s="321"/>
      <c r="Q206" s="321"/>
      <c r="R206" s="321"/>
      <c r="S206" s="321"/>
      <c r="T206" s="321"/>
      <c r="U206" s="321"/>
      <c r="V206" s="321"/>
    </row>
    <row r="207" spans="1:22">
      <c r="C207" s="322"/>
      <c r="D207" s="323"/>
      <c r="E207" s="324"/>
      <c r="F207" s="321"/>
      <c r="G207" s="325"/>
      <c r="H207" s="321"/>
      <c r="I207" s="321"/>
      <c r="J207" s="322"/>
      <c r="K207" s="321"/>
      <c r="L207" s="360"/>
      <c r="M207" s="392"/>
      <c r="N207" s="321"/>
      <c r="O207" s="321"/>
      <c r="P207" s="321"/>
      <c r="Q207" s="321"/>
      <c r="R207" s="321"/>
      <c r="S207" s="321"/>
      <c r="T207" s="321"/>
      <c r="U207" s="321"/>
      <c r="V207" s="321"/>
    </row>
    <row r="208" spans="1:22">
      <c r="C208" s="322"/>
      <c r="D208" s="323"/>
      <c r="E208" s="324"/>
      <c r="F208" s="321"/>
      <c r="G208" s="325"/>
      <c r="H208" s="321"/>
      <c r="I208" s="321"/>
      <c r="J208" s="322"/>
      <c r="K208" s="321"/>
      <c r="L208" s="360"/>
      <c r="M208" s="392"/>
      <c r="N208" s="321"/>
      <c r="O208" s="321"/>
      <c r="P208" s="321"/>
      <c r="Q208" s="321"/>
      <c r="R208" s="321"/>
      <c r="S208" s="321"/>
      <c r="T208" s="321"/>
      <c r="U208" s="321"/>
      <c r="V208" s="321"/>
    </row>
    <row r="209" spans="3:22">
      <c r="C209" s="322"/>
      <c r="D209" s="323"/>
      <c r="E209" s="324"/>
      <c r="F209" s="321"/>
      <c r="G209" s="325"/>
      <c r="H209" s="321"/>
      <c r="I209" s="321"/>
      <c r="J209" s="322"/>
      <c r="K209" s="321"/>
      <c r="L209" s="360"/>
      <c r="M209" s="392"/>
      <c r="N209" s="321"/>
      <c r="O209" s="321"/>
      <c r="P209" s="321"/>
      <c r="Q209" s="321"/>
      <c r="R209" s="321"/>
      <c r="S209" s="321"/>
      <c r="T209" s="321"/>
      <c r="U209" s="321"/>
      <c r="V209" s="321"/>
    </row>
    <row r="210" spans="3:22">
      <c r="C210" s="322"/>
      <c r="D210" s="323"/>
      <c r="E210" s="324"/>
      <c r="F210" s="321"/>
      <c r="G210" s="325"/>
      <c r="H210" s="321"/>
      <c r="I210" s="321"/>
      <c r="J210" s="322"/>
      <c r="K210" s="321"/>
      <c r="L210" s="360"/>
      <c r="M210" s="392"/>
      <c r="N210" s="321"/>
      <c r="O210" s="321"/>
      <c r="P210" s="321"/>
      <c r="Q210" s="321"/>
      <c r="R210" s="321"/>
      <c r="S210" s="321"/>
      <c r="T210" s="321"/>
      <c r="U210" s="321"/>
      <c r="V210" s="321"/>
    </row>
    <row r="211" spans="3:22">
      <c r="C211" s="322"/>
      <c r="D211" s="323"/>
      <c r="E211" s="324"/>
      <c r="F211" s="321"/>
      <c r="G211" s="325"/>
      <c r="H211" s="321"/>
      <c r="I211" s="321"/>
      <c r="J211" s="322"/>
      <c r="K211" s="321"/>
      <c r="L211" s="360"/>
      <c r="M211" s="392"/>
      <c r="N211" s="321"/>
      <c r="O211" s="321"/>
      <c r="P211" s="321"/>
      <c r="Q211" s="321"/>
      <c r="R211" s="321"/>
      <c r="S211" s="321"/>
      <c r="T211" s="321"/>
      <c r="U211" s="321"/>
      <c r="V211" s="321"/>
    </row>
    <row r="212" spans="3:22">
      <c r="C212" s="322"/>
      <c r="D212" s="323"/>
      <c r="E212" s="324"/>
      <c r="F212" s="321"/>
      <c r="G212" s="325"/>
      <c r="H212" s="321"/>
      <c r="I212" s="321"/>
      <c r="J212" s="322"/>
      <c r="K212" s="321"/>
      <c r="L212" s="360"/>
      <c r="M212" s="392"/>
      <c r="N212" s="321"/>
      <c r="O212" s="321"/>
      <c r="P212" s="321"/>
      <c r="Q212" s="321"/>
      <c r="R212" s="321"/>
      <c r="S212" s="321"/>
      <c r="T212" s="321"/>
      <c r="U212" s="321"/>
      <c r="V212" s="321"/>
    </row>
    <row r="213" spans="3:22">
      <c r="C213" s="322"/>
      <c r="D213" s="323"/>
      <c r="E213" s="324"/>
      <c r="F213" s="321"/>
      <c r="G213" s="325"/>
      <c r="H213" s="321"/>
      <c r="I213" s="321"/>
      <c r="J213" s="322"/>
      <c r="K213" s="321"/>
      <c r="L213" s="360"/>
      <c r="M213" s="392"/>
      <c r="N213" s="321"/>
      <c r="O213" s="321"/>
      <c r="P213" s="321"/>
      <c r="Q213" s="321"/>
      <c r="R213" s="321"/>
      <c r="S213" s="321"/>
      <c r="T213" s="321"/>
      <c r="U213" s="321"/>
      <c r="V213" s="321"/>
    </row>
    <row r="214" spans="3:22">
      <c r="C214" s="322"/>
      <c r="D214" s="323"/>
      <c r="E214" s="324"/>
      <c r="F214" s="321"/>
      <c r="G214" s="325"/>
      <c r="H214" s="321"/>
      <c r="I214" s="321"/>
      <c r="J214" s="322"/>
      <c r="K214" s="321"/>
      <c r="L214" s="360"/>
      <c r="M214" s="392"/>
      <c r="N214" s="321"/>
      <c r="O214" s="321"/>
      <c r="P214" s="321"/>
      <c r="Q214" s="321"/>
      <c r="R214" s="321"/>
      <c r="S214" s="321"/>
      <c r="T214" s="321"/>
      <c r="U214" s="321"/>
      <c r="V214" s="321"/>
    </row>
    <row r="215" spans="3:22">
      <c r="C215" s="322"/>
      <c r="D215" s="323"/>
      <c r="E215" s="324"/>
      <c r="F215" s="321"/>
      <c r="G215" s="325"/>
      <c r="H215" s="321"/>
      <c r="I215" s="321"/>
      <c r="J215" s="322"/>
      <c r="K215" s="321"/>
      <c r="L215" s="360"/>
      <c r="M215" s="392"/>
      <c r="N215" s="321"/>
      <c r="O215" s="321"/>
      <c r="P215" s="321"/>
      <c r="Q215" s="321"/>
      <c r="R215" s="321"/>
      <c r="S215" s="321"/>
      <c r="T215" s="321"/>
      <c r="U215" s="321"/>
      <c r="V215" s="321"/>
    </row>
    <row r="216" spans="3:22">
      <c r="C216" s="322"/>
      <c r="D216" s="323"/>
      <c r="E216" s="324"/>
      <c r="F216" s="321"/>
      <c r="G216" s="325"/>
      <c r="H216" s="321"/>
      <c r="I216" s="321"/>
      <c r="J216" s="322"/>
      <c r="K216" s="321"/>
      <c r="L216" s="360"/>
      <c r="M216" s="392"/>
      <c r="N216" s="321"/>
      <c r="O216" s="321"/>
      <c r="P216" s="321"/>
      <c r="Q216" s="321"/>
      <c r="R216" s="321"/>
      <c r="S216" s="321"/>
      <c r="T216" s="321"/>
      <c r="U216" s="321"/>
      <c r="V216" s="321"/>
    </row>
    <row r="217" spans="3:22">
      <c r="C217" s="322"/>
      <c r="D217" s="323"/>
      <c r="E217" s="324"/>
      <c r="F217" s="321"/>
      <c r="G217" s="325"/>
      <c r="H217" s="321"/>
      <c r="I217" s="321"/>
      <c r="J217" s="322"/>
      <c r="K217" s="321"/>
      <c r="L217" s="360"/>
      <c r="M217" s="392"/>
      <c r="N217" s="321"/>
      <c r="O217" s="321"/>
      <c r="P217" s="321"/>
      <c r="Q217" s="321"/>
      <c r="R217" s="321"/>
      <c r="S217" s="321"/>
      <c r="T217" s="321"/>
      <c r="U217" s="321"/>
      <c r="V217" s="321"/>
    </row>
    <row r="218" spans="3:22">
      <c r="C218" s="322"/>
      <c r="D218" s="323"/>
      <c r="E218" s="324"/>
      <c r="F218" s="321"/>
      <c r="G218" s="325"/>
      <c r="H218" s="321"/>
      <c r="I218" s="321"/>
      <c r="J218" s="322"/>
      <c r="K218" s="321"/>
      <c r="L218" s="360"/>
      <c r="M218" s="392"/>
      <c r="N218" s="321"/>
      <c r="O218" s="321"/>
      <c r="P218" s="321"/>
      <c r="Q218" s="321"/>
      <c r="R218" s="321"/>
      <c r="S218" s="321"/>
      <c r="T218" s="321"/>
      <c r="U218" s="321"/>
      <c r="V218" s="321"/>
    </row>
    <row r="219" spans="3:22">
      <c r="C219" s="322"/>
      <c r="D219" s="323"/>
      <c r="E219" s="324"/>
      <c r="F219" s="321"/>
      <c r="G219" s="325"/>
      <c r="H219" s="321"/>
      <c r="I219" s="321"/>
      <c r="J219" s="322"/>
      <c r="K219" s="321"/>
      <c r="L219" s="360"/>
      <c r="M219" s="392"/>
      <c r="N219" s="321"/>
      <c r="O219" s="321"/>
      <c r="P219" s="321"/>
      <c r="Q219" s="321"/>
      <c r="R219" s="321"/>
      <c r="S219" s="321"/>
      <c r="T219" s="321"/>
      <c r="U219" s="321"/>
      <c r="V219" s="321"/>
    </row>
    <row r="220" spans="3:22">
      <c r="C220" s="322"/>
      <c r="D220" s="323"/>
      <c r="E220" s="324"/>
      <c r="F220" s="321"/>
      <c r="G220" s="325"/>
      <c r="H220" s="321"/>
      <c r="I220" s="321"/>
      <c r="J220" s="322"/>
      <c r="K220" s="321"/>
      <c r="L220" s="360"/>
      <c r="M220" s="392"/>
      <c r="N220" s="321"/>
      <c r="O220" s="321"/>
      <c r="P220" s="321"/>
      <c r="Q220" s="321"/>
      <c r="R220" s="321"/>
      <c r="S220" s="321"/>
      <c r="T220" s="321"/>
      <c r="U220" s="321"/>
      <c r="V220" s="321"/>
    </row>
    <row r="221" spans="3:22">
      <c r="C221" s="322"/>
      <c r="D221" s="323"/>
      <c r="E221" s="324"/>
      <c r="F221" s="321"/>
      <c r="G221" s="325"/>
      <c r="H221" s="321"/>
      <c r="I221" s="321"/>
      <c r="J221" s="322"/>
      <c r="K221" s="321"/>
      <c r="L221" s="360"/>
      <c r="M221" s="392"/>
      <c r="N221" s="321"/>
      <c r="O221" s="321"/>
      <c r="P221" s="321"/>
      <c r="Q221" s="321"/>
      <c r="R221" s="321"/>
      <c r="S221" s="321"/>
      <c r="T221" s="321"/>
      <c r="U221" s="321"/>
      <c r="V221" s="321"/>
    </row>
    <row r="222" spans="3:22">
      <c r="C222" s="322"/>
      <c r="D222" s="323"/>
      <c r="E222" s="324"/>
      <c r="F222" s="321"/>
      <c r="G222" s="325"/>
      <c r="H222" s="321"/>
      <c r="I222" s="321"/>
      <c r="J222" s="322"/>
      <c r="K222" s="321"/>
      <c r="L222" s="360"/>
      <c r="M222" s="392"/>
      <c r="N222" s="321"/>
      <c r="O222" s="321"/>
      <c r="P222" s="321"/>
      <c r="Q222" s="321"/>
      <c r="R222" s="321"/>
      <c r="S222" s="321"/>
      <c r="T222" s="321"/>
      <c r="U222" s="321"/>
      <c r="V222" s="321"/>
    </row>
    <row r="223" spans="3:22">
      <c r="C223" s="322"/>
      <c r="D223" s="323"/>
      <c r="E223" s="324"/>
      <c r="F223" s="321"/>
      <c r="G223" s="325"/>
      <c r="H223" s="321"/>
      <c r="I223" s="321"/>
      <c r="J223" s="322"/>
      <c r="K223" s="321"/>
      <c r="L223" s="360"/>
      <c r="M223" s="392"/>
      <c r="N223" s="321"/>
      <c r="O223" s="321"/>
      <c r="P223" s="321"/>
      <c r="Q223" s="321"/>
      <c r="R223" s="321"/>
      <c r="S223" s="321"/>
      <c r="T223" s="321"/>
      <c r="U223" s="321"/>
      <c r="V223" s="321"/>
    </row>
    <row r="224" spans="3:22">
      <c r="C224" s="322"/>
      <c r="D224" s="323"/>
      <c r="E224" s="324"/>
      <c r="F224" s="321"/>
      <c r="G224" s="325"/>
      <c r="H224" s="321"/>
      <c r="I224" s="321"/>
      <c r="J224" s="322"/>
      <c r="K224" s="321"/>
      <c r="L224" s="360"/>
      <c r="M224" s="392"/>
      <c r="N224" s="321"/>
      <c r="O224" s="321"/>
      <c r="P224" s="321"/>
      <c r="Q224" s="321"/>
      <c r="R224" s="321"/>
      <c r="S224" s="321"/>
      <c r="T224" s="321"/>
      <c r="U224" s="321"/>
      <c r="V224" s="321"/>
    </row>
    <row r="225" spans="3:22">
      <c r="C225" s="322"/>
      <c r="D225" s="323"/>
      <c r="E225" s="324"/>
      <c r="F225" s="321"/>
      <c r="G225" s="325"/>
      <c r="H225" s="321"/>
      <c r="I225" s="321"/>
      <c r="J225" s="322"/>
      <c r="K225" s="321"/>
      <c r="L225" s="360"/>
      <c r="M225" s="392"/>
      <c r="N225" s="321"/>
      <c r="O225" s="321"/>
      <c r="P225" s="321"/>
      <c r="Q225" s="321"/>
      <c r="R225" s="321"/>
      <c r="S225" s="321"/>
      <c r="T225" s="321"/>
      <c r="U225" s="321"/>
      <c r="V225" s="321"/>
    </row>
    <row r="226" spans="3:22">
      <c r="C226" s="322"/>
      <c r="D226" s="323"/>
      <c r="E226" s="324"/>
      <c r="F226" s="321"/>
      <c r="G226" s="325"/>
      <c r="H226" s="321"/>
      <c r="I226" s="321"/>
      <c r="J226" s="322"/>
      <c r="K226" s="321"/>
      <c r="L226" s="360"/>
      <c r="M226" s="392"/>
      <c r="N226" s="321"/>
      <c r="O226" s="321"/>
      <c r="P226" s="321"/>
      <c r="Q226" s="321"/>
      <c r="R226" s="321"/>
      <c r="S226" s="321"/>
      <c r="T226" s="321"/>
      <c r="U226" s="321"/>
      <c r="V226" s="321"/>
    </row>
    <row r="227" spans="3:22">
      <c r="C227" s="322"/>
      <c r="D227" s="323"/>
      <c r="E227" s="324"/>
      <c r="F227" s="321"/>
      <c r="G227" s="325"/>
      <c r="H227" s="321"/>
      <c r="I227" s="321"/>
      <c r="J227" s="322"/>
      <c r="K227" s="321"/>
      <c r="L227" s="360"/>
      <c r="M227" s="392"/>
      <c r="N227" s="321"/>
      <c r="O227" s="321"/>
      <c r="P227" s="321"/>
      <c r="Q227" s="321"/>
      <c r="R227" s="321"/>
      <c r="S227" s="321"/>
      <c r="T227" s="321"/>
      <c r="U227" s="321"/>
      <c r="V227" s="321"/>
    </row>
    <row r="228" spans="3:22">
      <c r="C228" s="322"/>
      <c r="D228" s="323"/>
      <c r="E228" s="324"/>
      <c r="F228" s="321"/>
      <c r="G228" s="325"/>
      <c r="H228" s="321"/>
      <c r="I228" s="321"/>
      <c r="J228" s="322"/>
      <c r="K228" s="321"/>
      <c r="L228" s="360"/>
      <c r="M228" s="392"/>
      <c r="N228" s="321"/>
      <c r="O228" s="321"/>
      <c r="P228" s="321"/>
      <c r="Q228" s="321"/>
      <c r="R228" s="321"/>
      <c r="S228" s="321"/>
      <c r="T228" s="321"/>
      <c r="U228" s="321"/>
      <c r="V228" s="321"/>
    </row>
    <row r="229" spans="3:22">
      <c r="C229" s="322"/>
      <c r="D229" s="323"/>
      <c r="E229" s="324"/>
      <c r="F229" s="321"/>
      <c r="G229" s="325"/>
      <c r="H229" s="321"/>
      <c r="I229" s="321"/>
      <c r="J229" s="322"/>
      <c r="K229" s="321"/>
      <c r="L229" s="360"/>
      <c r="M229" s="392"/>
      <c r="N229" s="321"/>
      <c r="O229" s="321"/>
      <c r="P229" s="321"/>
      <c r="Q229" s="321"/>
      <c r="R229" s="321"/>
      <c r="S229" s="321"/>
      <c r="T229" s="321"/>
      <c r="U229" s="321"/>
      <c r="V229" s="321"/>
    </row>
    <row r="230" spans="3:22">
      <c r="C230" s="322"/>
      <c r="D230" s="323"/>
      <c r="E230" s="324"/>
      <c r="F230" s="321"/>
      <c r="G230" s="325"/>
      <c r="H230" s="321"/>
      <c r="I230" s="321"/>
      <c r="J230" s="322"/>
      <c r="K230" s="321"/>
      <c r="L230" s="360"/>
      <c r="M230" s="392"/>
      <c r="N230" s="321"/>
      <c r="O230" s="321"/>
      <c r="P230" s="321"/>
      <c r="Q230" s="321"/>
      <c r="R230" s="321"/>
      <c r="S230" s="321"/>
      <c r="T230" s="321"/>
      <c r="U230" s="321"/>
      <c r="V230" s="321"/>
    </row>
    <row r="231" spans="3:22">
      <c r="C231" s="322"/>
      <c r="D231" s="323"/>
      <c r="E231" s="324"/>
      <c r="F231" s="321"/>
      <c r="G231" s="325"/>
      <c r="H231" s="321"/>
      <c r="I231" s="321"/>
      <c r="J231" s="322"/>
      <c r="K231" s="321"/>
      <c r="L231" s="360"/>
      <c r="M231" s="392"/>
      <c r="N231" s="321"/>
      <c r="O231" s="321"/>
      <c r="P231" s="321"/>
      <c r="Q231" s="321"/>
      <c r="R231" s="321"/>
      <c r="S231" s="321"/>
      <c r="T231" s="321"/>
      <c r="U231" s="321"/>
      <c r="V231" s="321"/>
    </row>
    <row r="232" spans="3:22">
      <c r="C232" s="322"/>
      <c r="D232" s="323"/>
      <c r="E232" s="324"/>
      <c r="F232" s="321"/>
      <c r="G232" s="325"/>
      <c r="H232" s="321"/>
      <c r="I232" s="321"/>
      <c r="J232" s="322"/>
      <c r="K232" s="321"/>
      <c r="L232" s="360"/>
      <c r="M232" s="392"/>
      <c r="N232" s="321"/>
      <c r="O232" s="321"/>
      <c r="P232" s="321"/>
      <c r="Q232" s="321"/>
      <c r="R232" s="321"/>
      <c r="S232" s="321"/>
      <c r="T232" s="321"/>
      <c r="U232" s="321"/>
      <c r="V232" s="321"/>
    </row>
    <row r="233" spans="3:22">
      <c r="C233" s="322"/>
      <c r="D233" s="323"/>
      <c r="E233" s="324"/>
      <c r="F233" s="321"/>
      <c r="G233" s="325"/>
      <c r="H233" s="321"/>
      <c r="I233" s="321"/>
      <c r="J233" s="322"/>
      <c r="K233" s="321"/>
      <c r="L233" s="360"/>
      <c r="M233" s="392"/>
      <c r="N233" s="321"/>
      <c r="O233" s="321"/>
      <c r="P233" s="321"/>
      <c r="Q233" s="321"/>
      <c r="R233" s="321"/>
      <c r="S233" s="321"/>
      <c r="T233" s="321"/>
      <c r="U233" s="321"/>
      <c r="V233" s="321"/>
    </row>
    <row r="234" spans="3:22">
      <c r="C234" s="322"/>
      <c r="D234" s="323"/>
      <c r="E234" s="324"/>
      <c r="F234" s="321"/>
      <c r="G234" s="325"/>
      <c r="H234" s="321"/>
      <c r="I234" s="321"/>
      <c r="J234" s="322"/>
      <c r="K234" s="321"/>
      <c r="L234" s="360"/>
      <c r="M234" s="392"/>
      <c r="N234" s="321"/>
      <c r="O234" s="321"/>
      <c r="P234" s="321"/>
      <c r="Q234" s="321"/>
      <c r="R234" s="321"/>
      <c r="S234" s="321"/>
      <c r="T234" s="321"/>
      <c r="U234" s="321"/>
      <c r="V234" s="321"/>
    </row>
    <row r="235" spans="3:22">
      <c r="C235" s="322"/>
      <c r="D235" s="323"/>
      <c r="E235" s="324"/>
      <c r="F235" s="321"/>
      <c r="G235" s="325"/>
      <c r="H235" s="321"/>
      <c r="I235" s="321"/>
      <c r="J235" s="322"/>
      <c r="K235" s="321"/>
      <c r="L235" s="360"/>
      <c r="M235" s="392"/>
      <c r="N235" s="321"/>
      <c r="O235" s="321"/>
      <c r="P235" s="321"/>
      <c r="Q235" s="321"/>
      <c r="R235" s="321"/>
      <c r="S235" s="321"/>
      <c r="T235" s="321"/>
      <c r="U235" s="321"/>
      <c r="V235" s="321"/>
    </row>
    <row r="236" spans="3:22">
      <c r="C236" s="322"/>
      <c r="D236" s="323"/>
      <c r="E236" s="324"/>
      <c r="F236" s="321"/>
      <c r="G236" s="325"/>
      <c r="H236" s="321"/>
      <c r="I236" s="321"/>
      <c r="J236" s="322"/>
      <c r="K236" s="321"/>
      <c r="L236" s="360"/>
      <c r="M236" s="392"/>
      <c r="N236" s="321"/>
      <c r="O236" s="321"/>
      <c r="P236" s="321"/>
      <c r="Q236" s="321"/>
      <c r="R236" s="321"/>
      <c r="S236" s="321"/>
      <c r="T236" s="321"/>
      <c r="U236" s="321"/>
      <c r="V236" s="321"/>
    </row>
    <row r="237" spans="3:22">
      <c r="C237" s="322"/>
      <c r="D237" s="323"/>
      <c r="E237" s="324"/>
      <c r="F237" s="321"/>
      <c r="G237" s="325"/>
      <c r="H237" s="321"/>
      <c r="I237" s="321"/>
      <c r="J237" s="322"/>
      <c r="K237" s="321"/>
      <c r="L237" s="360"/>
      <c r="M237" s="392"/>
      <c r="N237" s="321"/>
      <c r="O237" s="321"/>
      <c r="P237" s="321"/>
      <c r="Q237" s="321"/>
      <c r="R237" s="321"/>
      <c r="S237" s="321"/>
      <c r="T237" s="321"/>
      <c r="U237" s="321"/>
      <c r="V237" s="321"/>
    </row>
    <row r="238" spans="3:22">
      <c r="C238" s="322"/>
      <c r="D238" s="323"/>
      <c r="E238" s="324"/>
      <c r="F238" s="321"/>
      <c r="G238" s="325"/>
      <c r="H238" s="321"/>
      <c r="I238" s="321"/>
      <c r="J238" s="322"/>
      <c r="K238" s="321"/>
      <c r="L238" s="360"/>
      <c r="M238" s="392"/>
      <c r="N238" s="321"/>
      <c r="O238" s="321"/>
      <c r="P238" s="321"/>
      <c r="Q238" s="321"/>
      <c r="R238" s="321"/>
      <c r="S238" s="321"/>
      <c r="T238" s="321"/>
      <c r="U238" s="321"/>
      <c r="V238" s="321"/>
    </row>
    <row r="239" spans="3:22">
      <c r="C239" s="322"/>
      <c r="D239" s="323"/>
      <c r="E239" s="324"/>
      <c r="F239" s="321"/>
      <c r="G239" s="325"/>
      <c r="H239" s="321"/>
      <c r="I239" s="321"/>
      <c r="J239" s="322"/>
      <c r="K239" s="321"/>
      <c r="L239" s="360"/>
      <c r="M239" s="392"/>
      <c r="N239" s="321"/>
      <c r="O239" s="321"/>
      <c r="P239" s="321"/>
      <c r="Q239" s="321"/>
      <c r="R239" s="321"/>
      <c r="S239" s="321"/>
      <c r="T239" s="321"/>
      <c r="U239" s="321"/>
      <c r="V239" s="321"/>
    </row>
    <row r="240" spans="3:22">
      <c r="C240" s="322"/>
      <c r="D240" s="323"/>
      <c r="E240" s="324"/>
      <c r="F240" s="321"/>
      <c r="G240" s="325"/>
      <c r="H240" s="321"/>
      <c r="I240" s="321"/>
      <c r="J240" s="322"/>
      <c r="K240" s="321"/>
      <c r="L240" s="360"/>
      <c r="M240" s="392"/>
      <c r="N240" s="321"/>
      <c r="O240" s="321"/>
      <c r="P240" s="321"/>
      <c r="Q240" s="321"/>
      <c r="R240" s="321"/>
      <c r="S240" s="321"/>
      <c r="T240" s="321"/>
      <c r="U240" s="321"/>
      <c r="V240" s="321"/>
    </row>
    <row r="241" spans="3:22">
      <c r="C241" s="322"/>
      <c r="D241" s="323"/>
      <c r="E241" s="324"/>
      <c r="F241" s="321"/>
      <c r="G241" s="325"/>
      <c r="H241" s="321"/>
      <c r="I241" s="321"/>
      <c r="J241" s="322"/>
      <c r="K241" s="321"/>
      <c r="L241" s="360"/>
      <c r="M241" s="392"/>
      <c r="N241" s="321"/>
      <c r="O241" s="321"/>
      <c r="P241" s="321"/>
      <c r="Q241" s="321"/>
      <c r="R241" s="321"/>
      <c r="S241" s="321"/>
      <c r="T241" s="321"/>
      <c r="U241" s="321"/>
      <c r="V241" s="321"/>
    </row>
    <row r="242" spans="3:22">
      <c r="C242" s="322"/>
      <c r="D242" s="323"/>
      <c r="E242" s="324"/>
      <c r="F242" s="321"/>
      <c r="G242" s="325"/>
      <c r="H242" s="321"/>
      <c r="I242" s="321"/>
      <c r="J242" s="322"/>
      <c r="K242" s="321"/>
      <c r="L242" s="360"/>
      <c r="M242" s="392"/>
      <c r="N242" s="321"/>
      <c r="O242" s="321"/>
      <c r="P242" s="321"/>
      <c r="Q242" s="321"/>
      <c r="R242" s="321"/>
      <c r="S242" s="321"/>
      <c r="T242" s="321"/>
      <c r="U242" s="321"/>
      <c r="V242" s="321"/>
    </row>
    <row r="243" spans="3:22">
      <c r="C243" s="322"/>
      <c r="D243" s="323"/>
      <c r="E243" s="324"/>
      <c r="F243" s="321"/>
      <c r="G243" s="325"/>
      <c r="H243" s="321"/>
      <c r="I243" s="321"/>
      <c r="J243" s="322"/>
      <c r="K243" s="321"/>
      <c r="L243" s="360"/>
      <c r="M243" s="392"/>
      <c r="N243" s="321"/>
      <c r="O243" s="321"/>
      <c r="P243" s="321"/>
      <c r="Q243" s="321"/>
      <c r="R243" s="321"/>
      <c r="S243" s="321"/>
      <c r="T243" s="321"/>
      <c r="U243" s="321"/>
      <c r="V243" s="321"/>
    </row>
    <row r="244" spans="3:22">
      <c r="C244" s="322"/>
      <c r="D244" s="323"/>
      <c r="E244" s="324"/>
      <c r="F244" s="321"/>
      <c r="G244" s="325"/>
      <c r="H244" s="321"/>
      <c r="I244" s="321"/>
      <c r="J244" s="322"/>
      <c r="K244" s="321"/>
      <c r="L244" s="360"/>
      <c r="M244" s="392"/>
      <c r="N244" s="321"/>
      <c r="O244" s="321"/>
      <c r="P244" s="321"/>
      <c r="Q244" s="321"/>
      <c r="R244" s="321"/>
      <c r="S244" s="321"/>
      <c r="T244" s="321"/>
      <c r="U244" s="321"/>
      <c r="V244" s="321"/>
    </row>
    <row r="245" spans="3:22">
      <c r="C245" s="322"/>
      <c r="D245" s="323"/>
      <c r="E245" s="324"/>
      <c r="F245" s="321"/>
      <c r="G245" s="325"/>
      <c r="H245" s="321"/>
      <c r="I245" s="321"/>
      <c r="J245" s="322"/>
      <c r="K245" s="321"/>
      <c r="L245" s="360"/>
      <c r="M245" s="392"/>
      <c r="N245" s="321"/>
      <c r="O245" s="321"/>
      <c r="P245" s="321"/>
      <c r="Q245" s="321"/>
      <c r="R245" s="321"/>
      <c r="S245" s="321"/>
      <c r="T245" s="321"/>
      <c r="U245" s="321"/>
      <c r="V245" s="321"/>
    </row>
    <row r="246" spans="3:22">
      <c r="C246" s="322"/>
      <c r="D246" s="323"/>
      <c r="E246" s="324"/>
      <c r="F246" s="321"/>
      <c r="G246" s="325"/>
      <c r="H246" s="321"/>
      <c r="I246" s="321"/>
      <c r="J246" s="322"/>
      <c r="K246" s="321"/>
      <c r="L246" s="360"/>
      <c r="M246" s="392"/>
      <c r="N246" s="321"/>
      <c r="O246" s="321"/>
      <c r="P246" s="321"/>
      <c r="Q246" s="321"/>
      <c r="R246" s="321"/>
      <c r="S246" s="321"/>
      <c r="T246" s="321"/>
      <c r="U246" s="321"/>
      <c r="V246" s="321"/>
    </row>
    <row r="247" spans="3:22">
      <c r="C247" s="322"/>
      <c r="D247" s="323"/>
      <c r="E247" s="324"/>
      <c r="F247" s="321"/>
      <c r="G247" s="325"/>
      <c r="H247" s="321"/>
      <c r="I247" s="321"/>
      <c r="J247" s="322"/>
      <c r="K247" s="321"/>
      <c r="L247" s="360"/>
      <c r="M247" s="392"/>
      <c r="N247" s="321"/>
      <c r="O247" s="321"/>
      <c r="P247" s="321"/>
      <c r="Q247" s="321"/>
      <c r="R247" s="321"/>
      <c r="S247" s="321"/>
      <c r="T247" s="321"/>
      <c r="U247" s="321"/>
      <c r="V247" s="321"/>
    </row>
    <row r="248" spans="3:22">
      <c r="C248" s="322"/>
      <c r="D248" s="323"/>
      <c r="E248" s="324"/>
      <c r="F248" s="321"/>
      <c r="G248" s="325"/>
      <c r="H248" s="321"/>
      <c r="I248" s="321"/>
      <c r="J248" s="322"/>
      <c r="K248" s="321"/>
      <c r="L248" s="360"/>
      <c r="M248" s="392"/>
      <c r="N248" s="321"/>
      <c r="O248" s="321"/>
      <c r="P248" s="321"/>
      <c r="Q248" s="321"/>
      <c r="R248" s="321"/>
      <c r="S248" s="321"/>
      <c r="T248" s="321"/>
      <c r="U248" s="321"/>
      <c r="V248" s="321"/>
    </row>
  </sheetData>
  <sheetProtection formatCells="0" insertHyperlinks="0"/>
  <autoFilter ref="C10:K60" xr:uid="{00000000-0009-0000-0000-00000B000000}">
    <sortState xmlns:xlrd2="http://schemas.microsoft.com/office/spreadsheetml/2017/richdata2" ref="C11:K17">
      <sortCondition ref="I10:I17"/>
    </sortState>
  </autoFilter>
  <mergeCells count="16">
    <mergeCell ref="C138:C145"/>
    <mergeCell ref="E139:F141"/>
    <mergeCell ref="H139:I140"/>
    <mergeCell ref="C128:M128"/>
    <mergeCell ref="B2:L4"/>
    <mergeCell ref="C129:C136"/>
    <mergeCell ref="C8:K9"/>
    <mergeCell ref="M8:T9"/>
    <mergeCell ref="C147:C159"/>
    <mergeCell ref="E148:I148"/>
    <mergeCell ref="C162:C175"/>
    <mergeCell ref="E163:M164"/>
    <mergeCell ref="F165:G165"/>
    <mergeCell ref="H165:I165"/>
    <mergeCell ref="J165:K165"/>
    <mergeCell ref="L165:M165"/>
  </mergeCells>
  <conditionalFormatting sqref="K129 J35:J60">
    <cfRule type="cellIs" dxfId="325" priority="443" operator="equal">
      <formula>"Positif"</formula>
    </cfRule>
    <cfRule type="cellIs" dxfId="324" priority="444" operator="equal">
      <formula>"Negatif"</formula>
    </cfRule>
  </conditionalFormatting>
  <conditionalFormatting sqref="J35:J60">
    <cfRule type="cellIs" dxfId="323" priority="442" operator="equal">
      <formula>"négatif"</formula>
    </cfRule>
  </conditionalFormatting>
  <conditionalFormatting sqref="J35:J57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2" priority="434" operator="equal">
      <formula>"Negatif"</formula>
    </cfRule>
    <cfRule type="colorScale" priority="435">
      <colorScale>
        <cfvo type="min"/>
        <cfvo type="max"/>
        <color rgb="FFFF7128"/>
        <color rgb="FFFFEF9C"/>
      </colorScale>
    </cfRule>
  </conditionalFormatting>
  <conditionalFormatting sqref="J35:J56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1" priority="2675" operator="equal">
      <formula>"Negatif"</formula>
    </cfRule>
    <cfRule type="colorScale" priority="2676">
      <colorScale>
        <cfvo type="min"/>
        <cfvo type="max"/>
        <color rgb="FFFF7128"/>
        <color rgb="FFFFEF9C"/>
      </colorScale>
    </cfRule>
  </conditionalFormatting>
  <conditionalFormatting sqref="J35:J60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0" priority="2687" operator="equal">
      <formula>"Negatif"</formula>
    </cfRule>
    <cfRule type="colorScale" priority="2688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I11:I21 I23:I60" xr:uid="{00000000-0002-0000-0B00-000000000000}">
      <formula1>$E$150:$E$157</formula1>
    </dataValidation>
    <dataValidation type="list" allowBlank="1" showInputMessage="1" showErrorMessage="1" sqref="I22" xr:uid="{00000000-0002-0000-0B00-000001000000}">
      <formula1>$E$150:$E$156</formula1>
    </dataValidation>
    <dataValidation type="list" allowBlank="1" showInputMessage="1" showErrorMessage="1" sqref="F11:F60" xr:uid="{00000000-0002-0000-0B00-000002000000}">
      <formula1>Type</formula1>
    </dataValidation>
    <dataValidation type="list" allowBlank="1" showInputMessage="1" showErrorMessage="1" sqref="H11:H60" xr:uid="{00000000-0002-0000-0B00-000003000000}">
      <formula1>INDIRECT(F11)</formula1>
    </dataValidation>
  </dataValidations>
  <hyperlinks>
    <hyperlink ref="K13" r:id="rId1" xr:uid="{00000000-0004-0000-0B00-000000000000}"/>
    <hyperlink ref="K14" r:id="rId2" xr:uid="{00000000-0004-0000-0B00-000001000000}"/>
    <hyperlink ref="K15" r:id="rId3" xr:uid="{00000000-0004-0000-0B00-000002000000}"/>
    <hyperlink ref="K16" r:id="rId4" xr:uid="{00000000-0004-0000-0B00-000003000000}"/>
    <hyperlink ref="K24" r:id="rId5" xr:uid="{00000000-0004-0000-0B00-000004000000}"/>
    <hyperlink ref="K26" r:id="rId6" xr:uid="{00000000-0004-0000-0B00-000005000000}"/>
    <hyperlink ref="K27" r:id="rId7" xr:uid="{00000000-0004-0000-0B00-000006000000}"/>
    <hyperlink ref="K28" r:id="rId8" xr:uid="{00000000-0004-0000-0B00-000007000000}"/>
    <hyperlink ref="K29" r:id="rId9" xr:uid="{00000000-0004-0000-0B00-000008000000}"/>
    <hyperlink ref="K30" r:id="rId10" xr:uid="{00000000-0004-0000-0B00-000009000000}"/>
    <hyperlink ref="K25" r:id="rId11" xr:uid="{00000000-0004-0000-0B00-00000A000000}"/>
    <hyperlink ref="K17" r:id="rId12" xr:uid="{00000000-0004-0000-0B00-00000B000000}"/>
    <hyperlink ref="K18" r:id="rId13" xr:uid="{00000000-0004-0000-0B00-00000C000000}"/>
    <hyperlink ref="K19" r:id="rId14" xr:uid="{00000000-0004-0000-0B00-00000D000000}"/>
    <hyperlink ref="K20" r:id="rId15" xr:uid="{00000000-0004-0000-0B00-00000E000000}"/>
    <hyperlink ref="K21" r:id="rId16" xr:uid="{00000000-0004-0000-0B00-00000F000000}"/>
    <hyperlink ref="K22" r:id="rId17" xr:uid="{00000000-0004-0000-0B00-000010000000}"/>
    <hyperlink ref="K23" r:id="rId18" xr:uid="{00000000-0004-0000-0B00-000011000000}"/>
    <hyperlink ref="K11" r:id="rId19" xr:uid="{00000000-0004-0000-0B00-000012000000}"/>
    <hyperlink ref="K32" r:id="rId20" xr:uid="{00000000-0004-0000-0B00-000013000000}"/>
    <hyperlink ref="K34" r:id="rId21" xr:uid="{00000000-0004-0000-0B00-000014000000}"/>
    <hyperlink ref="K12" r:id="rId22" xr:uid="{00000000-0004-0000-0B00-000015000000}"/>
  </hyperlinks>
  <pageMargins left="0.7" right="0.7" top="0.75" bottom="0.75" header="0.3" footer="0.3"/>
  <pageSetup paperSize="9" orientation="portrait" r:id="rId23"/>
  <legacy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3"/>
  <dimension ref="A1:AC351"/>
  <sheetViews>
    <sheetView topLeftCell="I9" zoomScale="70" zoomScaleNormal="70" workbookViewId="0">
      <selection activeCell="E60" sqref="E60"/>
    </sheetView>
  </sheetViews>
  <sheetFormatPr defaultColWidth="11" defaultRowHeight="15.75"/>
  <cols>
    <col min="1" max="1" width="4.25" style="329" customWidth="1"/>
    <col min="2" max="2" width="3.125" style="329" customWidth="1"/>
    <col min="3" max="3" width="11.75" style="357" customWidth="1"/>
    <col min="4" max="4" width="11.25" style="401" customWidth="1"/>
    <col min="5" max="5" width="69.25" style="402" customWidth="1"/>
    <col min="6" max="6" width="7.5" style="329" customWidth="1"/>
    <col min="7" max="7" width="7" style="403" customWidth="1"/>
    <col min="8" max="8" width="38.25" style="329" customWidth="1"/>
    <col min="9" max="9" width="24" style="329" customWidth="1"/>
    <col min="10" max="10" width="11.5" style="400" customWidth="1"/>
    <col min="11" max="11" width="11.25" style="329" customWidth="1"/>
    <col min="12" max="12" width="6.125" style="362" customWidth="1"/>
    <col min="13" max="13" width="18.25" style="404" customWidth="1"/>
    <col min="14" max="14" width="8.25" style="329" customWidth="1"/>
    <col min="15" max="15" width="55.5" style="329" customWidth="1"/>
    <col min="16" max="16" width="11.75" style="329" customWidth="1"/>
    <col min="17" max="17" width="8.5" style="329" customWidth="1"/>
    <col min="18" max="18" width="22.5" style="329" customWidth="1"/>
    <col min="19" max="19" width="11.625" style="329" customWidth="1"/>
    <col min="20" max="20" width="16.125" style="329" customWidth="1"/>
    <col min="21" max="22" width="11" style="329"/>
    <col min="23" max="23" width="11" style="321"/>
    <col min="24" max="24" width="37.125" style="321" customWidth="1"/>
    <col min="25" max="25" width="9.75" style="321" customWidth="1"/>
    <col min="26" max="26" width="24.125" style="321" customWidth="1"/>
    <col min="27" max="27" width="13" style="321" customWidth="1"/>
    <col min="28" max="28" width="16.125" style="321" customWidth="1"/>
    <col min="29" max="29" width="14.625" style="321" customWidth="1"/>
    <col min="30" max="30" width="15.75" style="329" customWidth="1"/>
    <col min="31" max="16384" width="11" style="329"/>
  </cols>
  <sheetData>
    <row r="1" spans="1:29" ht="16.5" thickBot="1">
      <c r="A1" s="321"/>
      <c r="B1" s="321"/>
      <c r="C1" s="351"/>
      <c r="D1" s="323"/>
      <c r="E1" s="324"/>
      <c r="F1" s="321"/>
      <c r="G1" s="325"/>
      <c r="H1" s="321"/>
      <c r="I1" s="321"/>
      <c r="J1" s="322"/>
      <c r="K1" s="326"/>
      <c r="L1" s="327"/>
      <c r="M1" s="328"/>
      <c r="N1" s="321"/>
      <c r="O1" s="321"/>
      <c r="P1" s="321"/>
      <c r="Q1" s="321"/>
      <c r="R1" s="321"/>
      <c r="S1" s="321"/>
      <c r="T1" s="321"/>
      <c r="U1" s="321"/>
      <c r="V1" s="321"/>
    </row>
    <row r="2" spans="1:29" ht="15.75" customHeight="1">
      <c r="A2" s="321"/>
      <c r="B2" s="1557" t="s">
        <v>639</v>
      </c>
      <c r="C2" s="1558"/>
      <c r="D2" s="1558"/>
      <c r="E2" s="1558"/>
      <c r="F2" s="1558"/>
      <c r="G2" s="1558"/>
      <c r="H2" s="1558"/>
      <c r="I2" s="1558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  <c r="V2" s="321"/>
    </row>
    <row r="3" spans="1:29" ht="15.75" customHeight="1">
      <c r="A3" s="321"/>
      <c r="B3" s="1560"/>
      <c r="C3" s="1561"/>
      <c r="D3" s="1561"/>
      <c r="E3" s="1561"/>
      <c r="F3" s="1561"/>
      <c r="G3" s="1561"/>
      <c r="H3" s="1561"/>
      <c r="I3" s="1561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9" ht="15.75" customHeight="1" thickBot="1">
      <c r="A4" s="321"/>
      <c r="B4" s="1563"/>
      <c r="C4" s="1564"/>
      <c r="D4" s="1564"/>
      <c r="E4" s="1564"/>
      <c r="F4" s="1564"/>
      <c r="G4" s="1564"/>
      <c r="H4" s="1564"/>
      <c r="I4" s="1564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  <c r="V4" s="321"/>
    </row>
    <row r="5" spans="1:29" ht="15.75" customHeight="1">
      <c r="A5" s="321"/>
      <c r="B5" s="326"/>
      <c r="C5" s="330"/>
      <c r="D5" s="331"/>
      <c r="E5" s="330"/>
      <c r="F5" s="330"/>
      <c r="G5" s="330"/>
      <c r="H5" s="330"/>
      <c r="I5" s="330"/>
      <c r="J5" s="330"/>
      <c r="K5" s="332"/>
      <c r="L5" s="332"/>
      <c r="M5" s="326"/>
      <c r="N5" s="321"/>
      <c r="O5" s="321"/>
      <c r="P5" s="321"/>
      <c r="Q5" s="321"/>
      <c r="R5" s="321"/>
      <c r="S5" s="321"/>
      <c r="T5" s="321"/>
      <c r="U5" s="321"/>
      <c r="V5" s="321"/>
    </row>
    <row r="6" spans="1:29" ht="15.75" customHeight="1" thickBot="1">
      <c r="A6" s="321"/>
      <c r="B6" s="326"/>
      <c r="C6" s="330"/>
      <c r="D6" s="331"/>
      <c r="E6" s="330"/>
      <c r="F6" s="330"/>
      <c r="G6" s="330"/>
      <c r="H6" s="330"/>
      <c r="I6" s="330"/>
      <c r="J6" s="330"/>
      <c r="K6" s="332"/>
      <c r="L6" s="332"/>
      <c r="M6" s="326"/>
      <c r="N6" s="321"/>
      <c r="O6" s="321"/>
      <c r="P6" s="321"/>
      <c r="Q6" s="321"/>
      <c r="R6" s="321"/>
      <c r="S6" s="321"/>
      <c r="T6" s="321"/>
      <c r="U6" s="321"/>
      <c r="V6" s="321"/>
    </row>
    <row r="7" spans="1:29" ht="15.75" customHeight="1" thickBot="1">
      <c r="A7" s="321"/>
      <c r="B7" s="333"/>
      <c r="C7" s="334"/>
      <c r="D7" s="335"/>
      <c r="E7" s="334"/>
      <c r="F7" s="334"/>
      <c r="G7" s="334"/>
      <c r="H7" s="334"/>
      <c r="I7" s="334"/>
      <c r="J7" s="334"/>
      <c r="K7" s="336"/>
      <c r="L7" s="336"/>
      <c r="M7" s="337"/>
      <c r="N7" s="337"/>
      <c r="O7" s="337"/>
      <c r="P7" s="337"/>
      <c r="Q7" s="337"/>
      <c r="R7" s="337"/>
      <c r="S7" s="337"/>
      <c r="T7" s="337"/>
      <c r="U7" s="338"/>
      <c r="V7" s="321"/>
    </row>
    <row r="8" spans="1:29" ht="15.75" customHeight="1">
      <c r="A8" s="321"/>
      <c r="B8" s="339"/>
      <c r="C8" s="1551" t="s">
        <v>64</v>
      </c>
      <c r="D8" s="1552"/>
      <c r="E8" s="1552"/>
      <c r="F8" s="1552"/>
      <c r="G8" s="1552"/>
      <c r="H8" s="1552"/>
      <c r="I8" s="1552"/>
      <c r="J8" s="1552"/>
      <c r="K8" s="1553"/>
      <c r="L8" s="340"/>
      <c r="M8" s="1626" t="s">
        <v>65</v>
      </c>
      <c r="N8" s="1627"/>
      <c r="O8" s="1627"/>
      <c r="P8" s="1627"/>
      <c r="Q8" s="1627"/>
      <c r="R8" s="1627"/>
      <c r="S8" s="1627"/>
      <c r="T8" s="1628"/>
      <c r="U8" s="341"/>
      <c r="V8" s="321"/>
    </row>
    <row r="9" spans="1:29" ht="15.75" customHeight="1">
      <c r="A9" s="321"/>
      <c r="B9" s="339"/>
      <c r="C9" s="1554"/>
      <c r="D9" s="1555"/>
      <c r="E9" s="1555"/>
      <c r="F9" s="1555"/>
      <c r="G9" s="1555"/>
      <c r="H9" s="1555"/>
      <c r="I9" s="1555"/>
      <c r="J9" s="1555"/>
      <c r="K9" s="1556"/>
      <c r="L9" s="340"/>
      <c r="M9" s="1629"/>
      <c r="N9" s="1630"/>
      <c r="O9" s="1630"/>
      <c r="P9" s="1630"/>
      <c r="Q9" s="1630"/>
      <c r="R9" s="1630"/>
      <c r="S9" s="1630"/>
      <c r="T9" s="1631"/>
      <c r="U9" s="341"/>
      <c r="V9" s="321"/>
    </row>
    <row r="10" spans="1:29">
      <c r="A10" s="321"/>
      <c r="B10" s="339"/>
      <c r="C10" s="342" t="s">
        <v>66</v>
      </c>
      <c r="D10" s="734" t="s">
        <v>67</v>
      </c>
      <c r="E10" s="343" t="s">
        <v>68</v>
      </c>
      <c r="F10" s="344" t="s">
        <v>69</v>
      </c>
      <c r="G10" s="344" t="s">
        <v>70</v>
      </c>
      <c r="H10" s="344" t="s">
        <v>71</v>
      </c>
      <c r="I10" s="344" t="s">
        <v>72</v>
      </c>
      <c r="J10" s="345" t="s">
        <v>73</v>
      </c>
      <c r="K10" s="738" t="s">
        <v>74</v>
      </c>
      <c r="L10" s="346"/>
      <c r="M10" s="735" t="s">
        <v>75</v>
      </c>
      <c r="N10" s="348" t="s">
        <v>76</v>
      </c>
      <c r="O10" s="349" t="s">
        <v>77</v>
      </c>
      <c r="P10" s="349" t="s">
        <v>69</v>
      </c>
      <c r="Q10" s="349" t="s">
        <v>70</v>
      </c>
      <c r="R10" s="349" t="s">
        <v>72</v>
      </c>
      <c r="S10" s="349" t="s">
        <v>74</v>
      </c>
      <c r="T10" s="350" t="s">
        <v>64</v>
      </c>
      <c r="U10" s="341"/>
      <c r="V10" s="321"/>
    </row>
    <row r="11" spans="1:29" s="357" customFormat="1">
      <c r="A11" s="351"/>
      <c r="B11" s="352"/>
      <c r="C11" s="1064">
        <v>44075</v>
      </c>
      <c r="D11" s="1067">
        <v>74</v>
      </c>
      <c r="E11" s="1008" t="s">
        <v>640</v>
      </c>
      <c r="F11" s="1336" t="s">
        <v>9</v>
      </c>
      <c r="G11" s="1232">
        <v>40</v>
      </c>
      <c r="H11" s="1337" t="s">
        <v>275</v>
      </c>
      <c r="I11" s="1179" t="s">
        <v>49</v>
      </c>
      <c r="J11" s="1245" t="s">
        <v>80</v>
      </c>
      <c r="K11" s="838" t="s">
        <v>81</v>
      </c>
      <c r="L11" s="353"/>
      <c r="M11" s="1037">
        <v>44084</v>
      </c>
      <c r="N11" s="934">
        <v>75</v>
      </c>
      <c r="O11" s="935" t="s">
        <v>641</v>
      </c>
      <c r="P11" s="1038" t="s">
        <v>642</v>
      </c>
      <c r="Q11" s="1038">
        <v>65</v>
      </c>
      <c r="R11" s="936" t="s">
        <v>643</v>
      </c>
      <c r="S11" s="891"/>
      <c r="T11" s="595">
        <f>COUNTIF(D:D,N11)+COUNTIF(Oct!D:D,N11)</f>
        <v>7</v>
      </c>
      <c r="U11" s="356"/>
      <c r="V11" s="351"/>
      <c r="W11" s="351"/>
      <c r="X11" s="351"/>
      <c r="Y11" s="351"/>
      <c r="Z11" s="351"/>
      <c r="AA11" s="351"/>
      <c r="AB11" s="351"/>
      <c r="AC11" s="351"/>
    </row>
    <row r="12" spans="1:29" s="357" customFormat="1" ht="15.75" customHeight="1">
      <c r="A12" s="351"/>
      <c r="B12" s="352"/>
      <c r="C12" s="1064">
        <v>44075</v>
      </c>
      <c r="D12" s="1067">
        <v>74</v>
      </c>
      <c r="E12" s="1008" t="s">
        <v>644</v>
      </c>
      <c r="F12" s="1336" t="s">
        <v>10</v>
      </c>
      <c r="G12" s="1232">
        <v>40</v>
      </c>
      <c r="H12" s="1337" t="s">
        <v>275</v>
      </c>
      <c r="I12" s="1179" t="s">
        <v>49</v>
      </c>
      <c r="J12" s="1245" t="s">
        <v>80</v>
      </c>
      <c r="K12" s="838" t="s">
        <v>74</v>
      </c>
      <c r="L12" s="353"/>
      <c r="M12" s="1686">
        <v>44081</v>
      </c>
      <c r="N12" s="934">
        <v>76</v>
      </c>
      <c r="O12" s="935" t="s">
        <v>645</v>
      </c>
      <c r="P12" s="1038" t="s">
        <v>94</v>
      </c>
      <c r="Q12" s="1038">
        <v>64</v>
      </c>
      <c r="R12" s="1687" t="s">
        <v>646</v>
      </c>
      <c r="S12" s="1688" t="s">
        <v>81</v>
      </c>
      <c r="T12" s="595">
        <f>COUNTIF(D:D,N12)+COUNTIF(Oct!D:D,N12)</f>
        <v>0</v>
      </c>
      <c r="U12" s="356"/>
      <c r="V12" s="351"/>
      <c r="W12" s="351"/>
      <c r="X12" s="351"/>
      <c r="Y12" s="351"/>
      <c r="Z12" s="351"/>
      <c r="AA12" s="351"/>
      <c r="AB12" s="351"/>
      <c r="AC12" s="351"/>
    </row>
    <row r="13" spans="1:29" s="357" customFormat="1" ht="31.5">
      <c r="A13" s="351"/>
      <c r="B13" s="352"/>
      <c r="C13" s="1064">
        <v>44075</v>
      </c>
      <c r="D13" s="1067">
        <v>74</v>
      </c>
      <c r="E13" s="1008" t="s">
        <v>647</v>
      </c>
      <c r="F13" s="1336" t="s">
        <v>10</v>
      </c>
      <c r="G13" s="1232">
        <v>40</v>
      </c>
      <c r="H13" s="1337" t="s">
        <v>275</v>
      </c>
      <c r="I13" s="1179" t="s">
        <v>49</v>
      </c>
      <c r="J13" s="1245" t="s">
        <v>80</v>
      </c>
      <c r="K13" s="838" t="s">
        <v>81</v>
      </c>
      <c r="L13" s="353"/>
      <c r="M13" s="1686"/>
      <c r="N13" s="934">
        <v>77</v>
      </c>
      <c r="O13" s="935" t="s">
        <v>645</v>
      </c>
      <c r="P13" s="1038" t="s">
        <v>94</v>
      </c>
      <c r="Q13" s="1038">
        <v>65</v>
      </c>
      <c r="R13" s="1687"/>
      <c r="S13" s="1689"/>
      <c r="T13" s="595">
        <f>COUNTIF(D:D,N13)+COUNTIF(Oct!D:D,N13)</f>
        <v>1</v>
      </c>
      <c r="U13" s="356"/>
      <c r="V13" s="351"/>
      <c r="W13" s="351"/>
      <c r="X13" s="351"/>
      <c r="Y13" s="351"/>
      <c r="Z13" s="351"/>
      <c r="AA13" s="351"/>
      <c r="AB13" s="351"/>
      <c r="AC13" s="351"/>
    </row>
    <row r="14" spans="1:29" s="357" customFormat="1">
      <c r="A14" s="351"/>
      <c r="B14" s="352"/>
      <c r="C14" s="1064">
        <v>44076</v>
      </c>
      <c r="D14" s="1067">
        <v>74</v>
      </c>
      <c r="E14" s="1338" t="s">
        <v>648</v>
      </c>
      <c r="F14" s="1336" t="s">
        <v>10</v>
      </c>
      <c r="G14" s="1232">
        <v>40</v>
      </c>
      <c r="H14" s="1337" t="s">
        <v>275</v>
      </c>
      <c r="I14" s="1179" t="s">
        <v>49</v>
      </c>
      <c r="J14" s="1245" t="s">
        <v>80</v>
      </c>
      <c r="K14" s="838" t="s">
        <v>81</v>
      </c>
      <c r="L14" s="358"/>
      <c r="M14" s="1037">
        <v>44096</v>
      </c>
      <c r="N14" s="934">
        <v>78</v>
      </c>
      <c r="O14" s="935" t="s">
        <v>649</v>
      </c>
      <c r="P14" s="1038" t="s">
        <v>94</v>
      </c>
      <c r="Q14" s="1038">
        <v>64</v>
      </c>
      <c r="R14" s="936" t="s">
        <v>646</v>
      </c>
      <c r="S14" s="892"/>
      <c r="T14" s="595">
        <f>COUNTIF(D:D,N14)+COUNTIF(Oct!D:D,N14)</f>
        <v>5</v>
      </c>
      <c r="U14" s="341"/>
      <c r="V14" s="351"/>
      <c r="W14" s="351"/>
      <c r="X14" s="351"/>
      <c r="Y14" s="351"/>
      <c r="Z14" s="351"/>
      <c r="AA14" s="351"/>
      <c r="AB14" s="351"/>
      <c r="AC14" s="351"/>
    </row>
    <row r="15" spans="1:29" s="357" customFormat="1">
      <c r="A15" s="351"/>
      <c r="B15" s="352"/>
      <c r="C15" s="1064">
        <v>44076</v>
      </c>
      <c r="D15" s="1065">
        <v>74</v>
      </c>
      <c r="E15" s="1008" t="s">
        <v>650</v>
      </c>
      <c r="F15" s="1336" t="s">
        <v>10</v>
      </c>
      <c r="G15" s="1232">
        <v>40</v>
      </c>
      <c r="H15" s="1337" t="s">
        <v>275</v>
      </c>
      <c r="I15" s="1179" t="s">
        <v>49</v>
      </c>
      <c r="J15" s="1245" t="s">
        <v>80</v>
      </c>
      <c r="K15" s="838" t="s">
        <v>81</v>
      </c>
      <c r="L15" s="358"/>
      <c r="M15" s="1037">
        <v>44089</v>
      </c>
      <c r="N15" s="934">
        <v>79</v>
      </c>
      <c r="O15" s="935" t="s">
        <v>651</v>
      </c>
      <c r="P15" s="1038" t="s">
        <v>189</v>
      </c>
      <c r="Q15" s="1038">
        <v>40</v>
      </c>
      <c r="R15" s="936" t="s">
        <v>114</v>
      </c>
      <c r="S15" s="892"/>
      <c r="T15" s="595">
        <f>COUNTIF(D:D,N15)+COUNTIF(Oct!D:D,N15)</f>
        <v>6</v>
      </c>
      <c r="U15" s="341"/>
      <c r="V15" s="351"/>
      <c r="W15" s="351"/>
      <c r="X15" s="351"/>
      <c r="Y15" s="351"/>
      <c r="Z15" s="351"/>
      <c r="AA15" s="351"/>
      <c r="AB15" s="351"/>
      <c r="AC15" s="351"/>
    </row>
    <row r="16" spans="1:29">
      <c r="A16" s="321"/>
      <c r="B16" s="339"/>
      <c r="C16" s="1064">
        <v>44078</v>
      </c>
      <c r="D16" s="1065">
        <v>77</v>
      </c>
      <c r="E16" s="1260" t="s">
        <v>652</v>
      </c>
      <c r="F16" s="1336" t="s">
        <v>9</v>
      </c>
      <c r="G16" s="1232">
        <v>65</v>
      </c>
      <c r="H16" s="1337" t="s">
        <v>653</v>
      </c>
      <c r="I16" s="1179" t="s">
        <v>49</v>
      </c>
      <c r="J16" s="1245" t="s">
        <v>80</v>
      </c>
      <c r="K16" s="838" t="s">
        <v>96</v>
      </c>
      <c r="L16" s="359"/>
      <c r="M16" s="1037">
        <v>44100</v>
      </c>
      <c r="N16" s="934">
        <v>80</v>
      </c>
      <c r="O16" s="935" t="s">
        <v>654</v>
      </c>
      <c r="P16" s="1038" t="s">
        <v>655</v>
      </c>
      <c r="Q16" s="937">
        <v>40</v>
      </c>
      <c r="R16" s="936" t="s">
        <v>49</v>
      </c>
      <c r="S16" s="892"/>
      <c r="T16" s="595">
        <f>COUNTIF(D:D,N16)+COUNTIF(Oct!D:D,N16)</f>
        <v>3</v>
      </c>
      <c r="U16" s="341"/>
      <c r="V16" s="321"/>
    </row>
    <row r="17" spans="1:29" ht="31.5">
      <c r="A17" s="321"/>
      <c r="B17" s="339"/>
      <c r="C17" s="1064">
        <v>44084</v>
      </c>
      <c r="D17" s="919">
        <v>75</v>
      </c>
      <c r="E17" s="1339" t="s">
        <v>656</v>
      </c>
      <c r="F17" s="1336" t="s">
        <v>10</v>
      </c>
      <c r="G17" s="1232">
        <v>64</v>
      </c>
      <c r="H17" s="1337" t="s">
        <v>331</v>
      </c>
      <c r="I17" s="1179" t="s">
        <v>53</v>
      </c>
      <c r="J17" s="1245" t="s">
        <v>80</v>
      </c>
      <c r="K17" s="838" t="s">
        <v>81</v>
      </c>
      <c r="L17" s="359"/>
      <c r="M17" s="1037">
        <v>44095</v>
      </c>
      <c r="N17" s="934">
        <v>81</v>
      </c>
      <c r="O17" s="935" t="s">
        <v>657</v>
      </c>
      <c r="P17" s="1038" t="s">
        <v>94</v>
      </c>
      <c r="Q17" s="1038">
        <v>65</v>
      </c>
      <c r="R17" s="1038" t="s">
        <v>658</v>
      </c>
      <c r="S17" s="916" t="s">
        <v>94</v>
      </c>
      <c r="T17" s="595">
        <f>COUNTIF(D:D,N17)+COUNTIF(Oct!D:D,N17)</f>
        <v>9</v>
      </c>
      <c r="U17" s="341"/>
      <c r="V17" s="321"/>
    </row>
    <row r="18" spans="1:29">
      <c r="A18" s="321"/>
      <c r="B18" s="339"/>
      <c r="C18" s="1064">
        <v>44084</v>
      </c>
      <c r="D18" s="919">
        <v>75</v>
      </c>
      <c r="E18" s="1066" t="s">
        <v>659</v>
      </c>
      <c r="F18" s="1336" t="s">
        <v>8</v>
      </c>
      <c r="G18" s="920">
        <v>64</v>
      </c>
      <c r="H18" s="1337" t="s">
        <v>396</v>
      </c>
      <c r="I18" s="1179" t="s">
        <v>53</v>
      </c>
      <c r="J18" s="1245" t="s">
        <v>80</v>
      </c>
      <c r="K18" s="838" t="s">
        <v>81</v>
      </c>
      <c r="L18" s="359"/>
      <c r="M18" s="1037">
        <v>44099</v>
      </c>
      <c r="N18" s="934">
        <v>82</v>
      </c>
      <c r="O18" s="935" t="s">
        <v>660</v>
      </c>
      <c r="P18" s="1038" t="s">
        <v>661</v>
      </c>
      <c r="Q18" s="1038">
        <v>64</v>
      </c>
      <c r="R18" s="1038" t="s">
        <v>186</v>
      </c>
      <c r="S18" s="892"/>
      <c r="T18" s="595">
        <f>COUNTIF(D:D,N18)+COUNTIF(Oct!D:D,N18)</f>
        <v>4</v>
      </c>
      <c r="U18" s="341"/>
      <c r="V18" s="321"/>
    </row>
    <row r="19" spans="1:29">
      <c r="A19" s="321"/>
      <c r="B19" s="339"/>
      <c r="C19" s="1064">
        <v>44084</v>
      </c>
      <c r="D19" s="919">
        <v>75</v>
      </c>
      <c r="E19" s="1066" t="s">
        <v>662</v>
      </c>
      <c r="F19" s="1336" t="s">
        <v>8</v>
      </c>
      <c r="G19" s="920">
        <v>64</v>
      </c>
      <c r="H19" s="1337" t="s">
        <v>556</v>
      </c>
      <c r="I19" s="1179" t="s">
        <v>53</v>
      </c>
      <c r="J19" s="1245" t="s">
        <v>80</v>
      </c>
      <c r="K19" s="838" t="s">
        <v>81</v>
      </c>
      <c r="L19" s="359"/>
      <c r="M19" s="1037">
        <v>44097</v>
      </c>
      <c r="N19" s="926">
        <v>83</v>
      </c>
      <c r="O19" s="938" t="s">
        <v>663</v>
      </c>
      <c r="P19" s="1038" t="s">
        <v>94</v>
      </c>
      <c r="Q19" s="1038">
        <v>64</v>
      </c>
      <c r="R19" s="936" t="s">
        <v>49</v>
      </c>
      <c r="S19" s="892" t="s">
        <v>81</v>
      </c>
      <c r="T19" s="595">
        <f>COUNTIF(D:D,N19)+COUNTIF(Oct!D:D,N19)</f>
        <v>0</v>
      </c>
      <c r="U19" s="341"/>
      <c r="V19" s="321"/>
    </row>
    <row r="20" spans="1:29">
      <c r="A20" s="321"/>
      <c r="B20" s="339"/>
      <c r="C20" s="1064">
        <v>44084</v>
      </c>
      <c r="D20" s="919">
        <v>75</v>
      </c>
      <c r="E20" s="1066" t="s">
        <v>664</v>
      </c>
      <c r="F20" s="1336" t="s">
        <v>9</v>
      </c>
      <c r="G20" s="1232">
        <v>64</v>
      </c>
      <c r="H20" s="1337" t="s">
        <v>570</v>
      </c>
      <c r="I20" s="1179" t="s">
        <v>53</v>
      </c>
      <c r="J20" s="1245" t="s">
        <v>80</v>
      </c>
      <c r="K20" s="838" t="s">
        <v>96</v>
      </c>
      <c r="L20" s="359"/>
      <c r="M20" s="1037">
        <v>44097</v>
      </c>
      <c r="N20" s="934">
        <v>84</v>
      </c>
      <c r="O20" s="938" t="s">
        <v>663</v>
      </c>
      <c r="P20" s="1038" t="s">
        <v>94</v>
      </c>
      <c r="Q20" s="1038">
        <v>65</v>
      </c>
      <c r="R20" s="936" t="s">
        <v>49</v>
      </c>
      <c r="S20" s="892"/>
      <c r="T20" s="595">
        <f>COUNTIF(D:D,N20)+COUNTIF(Oct!D:D,N20)</f>
        <v>0</v>
      </c>
      <c r="U20" s="341"/>
      <c r="V20" s="321"/>
    </row>
    <row r="21" spans="1:29" ht="39.75" customHeight="1">
      <c r="A21" s="321"/>
      <c r="B21" s="339"/>
      <c r="C21" s="1064">
        <v>44084</v>
      </c>
      <c r="D21" s="919">
        <v>75</v>
      </c>
      <c r="E21" s="1066" t="s">
        <v>665</v>
      </c>
      <c r="F21" s="1340" t="s">
        <v>8</v>
      </c>
      <c r="G21" s="1067">
        <v>65</v>
      </c>
      <c r="H21" s="1179" t="s">
        <v>311</v>
      </c>
      <c r="I21" s="1179" t="s">
        <v>53</v>
      </c>
      <c r="J21" s="1245" t="s">
        <v>80</v>
      </c>
      <c r="K21" s="838" t="s">
        <v>81</v>
      </c>
      <c r="L21" s="359"/>
      <c r="M21" s="1037">
        <v>44097</v>
      </c>
      <c r="N21" s="934">
        <v>85</v>
      </c>
      <c r="O21" s="938" t="s">
        <v>663</v>
      </c>
      <c r="P21" s="1038" t="s">
        <v>94</v>
      </c>
      <c r="Q21" s="1038">
        <v>40</v>
      </c>
      <c r="R21" s="936" t="s">
        <v>49</v>
      </c>
      <c r="S21" s="892"/>
      <c r="T21" s="595">
        <f>COUNTIF(D:D,N21)+COUNTIF(Oct!D:D,N21)</f>
        <v>0</v>
      </c>
      <c r="U21" s="341"/>
      <c r="V21" s="321"/>
    </row>
    <row r="22" spans="1:29" s="362" customFormat="1">
      <c r="A22" s="360"/>
      <c r="B22" s="361"/>
      <c r="C22" s="1064">
        <v>44088</v>
      </c>
      <c r="D22" s="1065"/>
      <c r="E22" s="1066" t="s">
        <v>666</v>
      </c>
      <c r="F22" s="1336" t="s">
        <v>10</v>
      </c>
      <c r="G22" s="1232">
        <v>40</v>
      </c>
      <c r="H22" s="1337" t="s">
        <v>275</v>
      </c>
      <c r="I22" s="1179" t="s">
        <v>53</v>
      </c>
      <c r="J22" s="1245" t="s">
        <v>80</v>
      </c>
      <c r="K22" s="838" t="s">
        <v>81</v>
      </c>
      <c r="L22" s="358"/>
      <c r="M22" s="1037">
        <v>44102</v>
      </c>
      <c r="N22" s="1038">
        <v>86</v>
      </c>
      <c r="O22" s="939" t="s">
        <v>667</v>
      </c>
      <c r="P22" s="1038" t="s">
        <v>94</v>
      </c>
      <c r="Q22" s="1038">
        <v>65</v>
      </c>
      <c r="R22" s="1038" t="s">
        <v>668</v>
      </c>
      <c r="S22" s="916" t="s">
        <v>81</v>
      </c>
      <c r="T22" s="595">
        <f>COUNTIF(D:D,N22)+COUNTIF(Oct!D:D,N22)</f>
        <v>6</v>
      </c>
      <c r="U22" s="341"/>
      <c r="V22" s="360"/>
      <c r="W22" s="360"/>
      <c r="X22" s="360"/>
      <c r="Y22" s="360"/>
      <c r="Z22" s="360"/>
      <c r="AA22" s="360"/>
      <c r="AB22" s="360"/>
      <c r="AC22" s="360"/>
    </row>
    <row r="23" spans="1:29" s="362" customFormat="1" ht="47.25">
      <c r="A23" s="360"/>
      <c r="B23" s="361"/>
      <c r="C23" s="1064">
        <v>44088</v>
      </c>
      <c r="D23" s="1065"/>
      <c r="E23" s="1066" t="s">
        <v>669</v>
      </c>
      <c r="F23" s="1336" t="s">
        <v>10</v>
      </c>
      <c r="G23" s="1232">
        <v>40</v>
      </c>
      <c r="H23" s="1337" t="s">
        <v>275</v>
      </c>
      <c r="I23" s="1179" t="s">
        <v>53</v>
      </c>
      <c r="J23" s="1245" t="s">
        <v>80</v>
      </c>
      <c r="K23" s="838" t="s">
        <v>81</v>
      </c>
      <c r="L23" s="358"/>
      <c r="M23" s="1037">
        <v>44104</v>
      </c>
      <c r="N23" s="934">
        <v>87</v>
      </c>
      <c r="O23" s="935" t="s">
        <v>670</v>
      </c>
      <c r="P23" s="1038" t="s">
        <v>94</v>
      </c>
      <c r="Q23" s="1038">
        <v>64</v>
      </c>
      <c r="R23" s="936" t="s">
        <v>671</v>
      </c>
      <c r="S23" s="892" t="s">
        <v>81</v>
      </c>
      <c r="T23" s="595">
        <f>COUNTIF(D:D,N23)+COUNTIF(Oct!D:D,N23)</f>
        <v>0</v>
      </c>
      <c r="U23" s="341"/>
      <c r="V23" s="360"/>
      <c r="W23" s="360"/>
      <c r="X23" s="360"/>
      <c r="Y23" s="360"/>
      <c r="Z23" s="360"/>
      <c r="AA23" s="360"/>
      <c r="AB23" s="360"/>
      <c r="AC23" s="360"/>
    </row>
    <row r="24" spans="1:29" s="362" customFormat="1" ht="47.25">
      <c r="A24" s="360"/>
      <c r="B24" s="361"/>
      <c r="C24" s="1064"/>
      <c r="D24" s="1065"/>
      <c r="E24" s="1339"/>
      <c r="F24" s="1336"/>
      <c r="G24" s="1232"/>
      <c r="H24" s="1337"/>
      <c r="I24" s="1179"/>
      <c r="J24" s="1261"/>
      <c r="K24" s="838"/>
      <c r="L24" s="358"/>
      <c r="M24" s="1037">
        <v>44104</v>
      </c>
      <c r="N24" s="940">
        <v>88</v>
      </c>
      <c r="O24" s="935" t="s">
        <v>670</v>
      </c>
      <c r="P24" s="1038" t="s">
        <v>94</v>
      </c>
      <c r="Q24" s="940">
        <v>65</v>
      </c>
      <c r="R24" s="936" t="s">
        <v>671</v>
      </c>
      <c r="S24" s="892" t="s">
        <v>81</v>
      </c>
      <c r="T24" s="595">
        <f>COUNTIF(D:D,N24)+COUNTIF(Oct!D:D,N24)</f>
        <v>0</v>
      </c>
      <c r="U24" s="341"/>
      <c r="V24" s="360"/>
      <c r="W24" s="360"/>
      <c r="X24" s="360"/>
      <c r="Y24" s="360"/>
      <c r="Z24" s="360"/>
      <c r="AA24" s="360"/>
      <c r="AB24" s="360"/>
      <c r="AC24" s="360"/>
    </row>
    <row r="25" spans="1:29" s="362" customFormat="1" ht="46.5" customHeight="1">
      <c r="A25" s="360"/>
      <c r="B25" s="361"/>
      <c r="C25" s="1064"/>
      <c r="D25" s="1065"/>
      <c r="E25" s="1066"/>
      <c r="F25" s="1340"/>
      <c r="G25" s="1067"/>
      <c r="H25" s="1179"/>
      <c r="I25" s="921"/>
      <c r="J25" s="872"/>
      <c r="K25" s="838"/>
      <c r="L25" s="358"/>
      <c r="M25" s="1037">
        <v>44104</v>
      </c>
      <c r="N25" s="940">
        <v>89</v>
      </c>
      <c r="O25" s="935" t="s">
        <v>670</v>
      </c>
      <c r="P25" s="1038" t="s">
        <v>94</v>
      </c>
      <c r="Q25" s="940">
        <v>40</v>
      </c>
      <c r="R25" s="936" t="s">
        <v>671</v>
      </c>
      <c r="S25" s="892" t="s">
        <v>81</v>
      </c>
      <c r="T25" s="595">
        <f>COUNTIF(D:D,N25)+COUNTIF(Oct!D:D,N25)</f>
        <v>0</v>
      </c>
      <c r="U25" s="341"/>
      <c r="V25" s="360"/>
      <c r="W25" s="360"/>
      <c r="X25" s="360"/>
      <c r="Y25" s="360"/>
      <c r="Z25" s="360"/>
      <c r="AA25" s="360"/>
      <c r="AB25" s="360"/>
      <c r="AC25" s="360"/>
    </row>
    <row r="26" spans="1:29" s="365" customFormat="1">
      <c r="A26" s="363"/>
      <c r="B26" s="364"/>
      <c r="C26" s="1064"/>
      <c r="D26" s="1065"/>
      <c r="E26" s="1341"/>
      <c r="F26" s="1340"/>
      <c r="G26" s="1067"/>
      <c r="H26" s="1179"/>
      <c r="I26" s="921"/>
      <c r="J26" s="872"/>
      <c r="K26" s="838"/>
      <c r="L26" s="353"/>
      <c r="M26" s="1037">
        <v>44104</v>
      </c>
      <c r="N26" s="934">
        <v>913</v>
      </c>
      <c r="O26" s="935" t="s">
        <v>672</v>
      </c>
      <c r="P26" s="1038" t="s">
        <v>94</v>
      </c>
      <c r="Q26" s="1038">
        <v>65</v>
      </c>
      <c r="R26" s="1038" t="s">
        <v>673</v>
      </c>
      <c r="S26" s="903"/>
      <c r="T26" s="595">
        <f>COUNTIF(D:D,N26)+COUNTIF(Oct!D:D,N26)</f>
        <v>1</v>
      </c>
      <c r="U26" s="341"/>
      <c r="V26" s="363"/>
      <c r="W26" s="363"/>
      <c r="X26" s="363"/>
      <c r="Y26" s="363"/>
      <c r="Z26" s="363"/>
      <c r="AA26" s="363"/>
      <c r="AB26" s="363"/>
      <c r="AC26" s="363"/>
    </row>
    <row r="27" spans="1:29" s="365" customFormat="1">
      <c r="A27" s="363"/>
      <c r="B27" s="364"/>
      <c r="C27" s="1064">
        <v>44091</v>
      </c>
      <c r="D27" s="1065"/>
      <c r="E27" s="1260" t="s">
        <v>674</v>
      </c>
      <c r="F27" s="1340" t="s">
        <v>8</v>
      </c>
      <c r="G27" s="1067">
        <v>64</v>
      </c>
      <c r="H27" s="1179" t="s">
        <v>396</v>
      </c>
      <c r="I27" s="921" t="s">
        <v>52</v>
      </c>
      <c r="J27" s="872" t="s">
        <v>80</v>
      </c>
      <c r="K27" s="838" t="s">
        <v>81</v>
      </c>
      <c r="L27" s="353"/>
      <c r="M27" s="875"/>
      <c r="N27" s="874"/>
      <c r="O27" s="874"/>
      <c r="P27" s="875"/>
      <c r="Q27" s="874"/>
      <c r="R27" s="874"/>
      <c r="S27" s="929"/>
      <c r="T27" s="928"/>
      <c r="U27" s="341"/>
      <c r="V27" s="363"/>
      <c r="W27" s="363"/>
      <c r="X27" s="363"/>
      <c r="Y27" s="363"/>
      <c r="Z27" s="363"/>
      <c r="AA27" s="363"/>
      <c r="AB27" s="363"/>
      <c r="AC27" s="363"/>
    </row>
    <row r="28" spans="1:29" s="365" customFormat="1">
      <c r="A28" s="363"/>
      <c r="B28" s="364"/>
      <c r="C28" s="1064">
        <v>44091</v>
      </c>
      <c r="D28" s="1065"/>
      <c r="E28" s="1260" t="s">
        <v>674</v>
      </c>
      <c r="F28" s="1340" t="s">
        <v>8</v>
      </c>
      <c r="G28" s="1067">
        <v>64</v>
      </c>
      <c r="H28" s="1179" t="s">
        <v>556</v>
      </c>
      <c r="I28" s="921" t="s">
        <v>52</v>
      </c>
      <c r="J28" s="872" t="s">
        <v>80</v>
      </c>
      <c r="K28" s="838" t="s">
        <v>81</v>
      </c>
      <c r="L28" s="353"/>
      <c r="M28" s="902"/>
      <c r="N28" s="874"/>
      <c r="O28" s="874"/>
      <c r="P28" s="875"/>
      <c r="Q28" s="874"/>
      <c r="R28" s="874"/>
      <c r="S28" s="929"/>
      <c r="T28" s="928"/>
      <c r="U28" s="341"/>
      <c r="V28" s="363"/>
      <c r="W28" s="363"/>
      <c r="X28" s="363"/>
      <c r="Y28" s="363"/>
      <c r="Z28" s="363"/>
      <c r="AA28" s="363"/>
      <c r="AB28" s="363"/>
      <c r="AC28" s="363"/>
    </row>
    <row r="29" spans="1:29" s="365" customFormat="1" ht="30">
      <c r="A29" s="363"/>
      <c r="B29" s="364"/>
      <c r="C29" s="1064">
        <v>44093</v>
      </c>
      <c r="D29" s="1065"/>
      <c r="E29" s="1341" t="s">
        <v>675</v>
      </c>
      <c r="F29" s="1340" t="s">
        <v>8</v>
      </c>
      <c r="G29" s="1067">
        <v>64</v>
      </c>
      <c r="H29" s="1179" t="s">
        <v>396</v>
      </c>
      <c r="I29" s="921" t="s">
        <v>51</v>
      </c>
      <c r="J29" s="872" t="s">
        <v>80</v>
      </c>
      <c r="K29" s="838" t="s">
        <v>81</v>
      </c>
      <c r="L29" s="353"/>
      <c r="M29" s="875"/>
      <c r="N29" s="874"/>
      <c r="O29" s="874"/>
      <c r="P29" s="875"/>
      <c r="Q29" s="874"/>
      <c r="R29" s="874"/>
      <c r="S29" s="929"/>
      <c r="T29" s="928"/>
      <c r="U29" s="341"/>
      <c r="V29" s="363"/>
      <c r="W29" s="363"/>
      <c r="X29" s="363"/>
      <c r="Y29" s="363"/>
      <c r="Z29" s="363"/>
      <c r="AA29" s="363"/>
      <c r="AB29" s="363"/>
      <c r="AC29" s="363"/>
    </row>
    <row r="30" spans="1:29" s="365" customFormat="1">
      <c r="A30" s="363"/>
      <c r="B30" s="364"/>
      <c r="C30" s="1064"/>
      <c r="D30" s="1065"/>
      <c r="E30" s="1260"/>
      <c r="F30" s="1340"/>
      <c r="G30" s="1067"/>
      <c r="H30" s="1179"/>
      <c r="I30" s="921"/>
      <c r="J30" s="1261"/>
      <c r="K30" s="838"/>
      <c r="L30" s="353"/>
      <c r="M30" s="902"/>
      <c r="N30" s="355"/>
      <c r="O30" s="889"/>
      <c r="P30" s="890"/>
      <c r="Q30" s="890"/>
      <c r="R30" s="890"/>
      <c r="S30" s="930"/>
      <c r="T30" s="928"/>
      <c r="U30" s="341"/>
      <c r="V30" s="363"/>
      <c r="W30" s="363"/>
      <c r="X30" s="363"/>
      <c r="Y30" s="363"/>
      <c r="Z30" s="363"/>
      <c r="AA30" s="363"/>
      <c r="AB30" s="363"/>
      <c r="AC30" s="363"/>
    </row>
    <row r="31" spans="1:29" s="365" customFormat="1">
      <c r="A31" s="363"/>
      <c r="B31" s="364"/>
      <c r="C31" s="1064">
        <v>44095</v>
      </c>
      <c r="D31" s="1065"/>
      <c r="E31" s="1260" t="s">
        <v>676</v>
      </c>
      <c r="F31" s="1340" t="s">
        <v>8</v>
      </c>
      <c r="G31" s="1067">
        <v>64</v>
      </c>
      <c r="H31" s="1179" t="s">
        <v>396</v>
      </c>
      <c r="I31" s="921" t="s">
        <v>51</v>
      </c>
      <c r="J31" s="872" t="s">
        <v>80</v>
      </c>
      <c r="K31" s="838" t="s">
        <v>81</v>
      </c>
      <c r="L31" s="353"/>
      <c r="M31" s="902"/>
      <c r="N31" s="355"/>
      <c r="O31" s="889"/>
      <c r="P31" s="890"/>
      <c r="Q31" s="890"/>
      <c r="R31" s="890"/>
      <c r="S31" s="930"/>
      <c r="T31" s="928"/>
      <c r="U31" s="341"/>
      <c r="V31" s="363"/>
      <c r="W31" s="363"/>
      <c r="X31" s="363"/>
      <c r="Y31" s="363"/>
      <c r="Z31" s="363"/>
      <c r="AA31" s="363"/>
      <c r="AB31" s="363"/>
      <c r="AC31" s="363"/>
    </row>
    <row r="32" spans="1:29" s="365" customFormat="1">
      <c r="A32" s="363"/>
      <c r="B32" s="364"/>
      <c r="C32" s="1064">
        <v>44095</v>
      </c>
      <c r="D32" s="1065"/>
      <c r="E32" s="1339" t="s">
        <v>676</v>
      </c>
      <c r="F32" s="1340" t="s">
        <v>8</v>
      </c>
      <c r="G32" s="1067">
        <v>64</v>
      </c>
      <c r="H32" s="1179" t="s">
        <v>556</v>
      </c>
      <c r="I32" s="921" t="s">
        <v>51</v>
      </c>
      <c r="J32" s="872" t="s">
        <v>80</v>
      </c>
      <c r="K32" s="838" t="s">
        <v>81</v>
      </c>
      <c r="L32" s="353"/>
      <c r="M32" s="902"/>
      <c r="N32" s="355"/>
      <c r="O32" s="874"/>
      <c r="P32" s="890"/>
      <c r="Q32" s="890"/>
      <c r="R32" s="890"/>
      <c r="S32" s="930"/>
      <c r="T32" s="928"/>
      <c r="U32" s="341"/>
      <c r="V32" s="363"/>
      <c r="W32" s="363"/>
      <c r="X32" s="363"/>
      <c r="Y32" s="363"/>
      <c r="Z32" s="363"/>
      <c r="AA32" s="363"/>
      <c r="AB32" s="363"/>
      <c r="AC32" s="363"/>
    </row>
    <row r="33" spans="1:29" s="365" customFormat="1">
      <c r="A33" s="363"/>
      <c r="B33" s="364"/>
      <c r="C33" s="1064">
        <v>44095</v>
      </c>
      <c r="D33" s="1065">
        <v>81</v>
      </c>
      <c r="E33" s="1260" t="s">
        <v>677</v>
      </c>
      <c r="F33" s="1340" t="s">
        <v>9</v>
      </c>
      <c r="G33" s="1067">
        <v>65</v>
      </c>
      <c r="H33" s="1179" t="s">
        <v>653</v>
      </c>
      <c r="I33" s="921" t="s">
        <v>49</v>
      </c>
      <c r="J33" s="872" t="s">
        <v>80</v>
      </c>
      <c r="K33" s="838" t="s">
        <v>81</v>
      </c>
      <c r="L33" s="353"/>
      <c r="M33" s="902"/>
      <c r="N33" s="355"/>
      <c r="O33" s="889"/>
      <c r="P33" s="890"/>
      <c r="Q33" s="890"/>
      <c r="R33" s="890"/>
      <c r="S33" s="930"/>
      <c r="T33" s="928"/>
      <c r="U33" s="341"/>
      <c r="V33" s="363"/>
      <c r="W33" s="363"/>
      <c r="X33" s="363"/>
      <c r="Y33" s="363"/>
      <c r="Z33" s="363"/>
      <c r="AA33" s="363"/>
      <c r="AB33" s="363"/>
      <c r="AC33" s="363"/>
    </row>
    <row r="34" spans="1:29" s="365" customFormat="1">
      <c r="A34" s="363"/>
      <c r="B34" s="364"/>
      <c r="C34" s="1064"/>
      <c r="D34" s="1065"/>
      <c r="E34" s="1260"/>
      <c r="F34" s="1340"/>
      <c r="G34" s="1067"/>
      <c r="H34" s="1179"/>
      <c r="I34" s="921"/>
      <c r="J34" s="1261"/>
      <c r="K34" s="838"/>
      <c r="L34" s="353"/>
      <c r="M34" s="902"/>
      <c r="N34" s="355"/>
      <c r="O34" s="889"/>
      <c r="P34" s="890"/>
      <c r="Q34" s="890"/>
      <c r="R34" s="890"/>
      <c r="S34" s="930"/>
      <c r="T34" s="928"/>
      <c r="U34" s="341"/>
      <c r="V34" s="363"/>
      <c r="W34" s="363"/>
      <c r="X34" s="363"/>
      <c r="Y34" s="363"/>
      <c r="Z34" s="363"/>
      <c r="AA34" s="363"/>
      <c r="AB34" s="363"/>
      <c r="AC34" s="363"/>
    </row>
    <row r="35" spans="1:29" s="365" customFormat="1">
      <c r="A35" s="363"/>
      <c r="B35" s="364"/>
      <c r="C35" s="1064"/>
      <c r="D35" s="1065"/>
      <c r="E35" s="1242"/>
      <c r="F35" s="1340"/>
      <c r="G35" s="1067"/>
      <c r="H35" s="1179"/>
      <c r="I35" s="921"/>
      <c r="J35" s="872"/>
      <c r="K35" s="838"/>
      <c r="L35" s="353"/>
      <c r="M35" s="902"/>
      <c r="N35" s="355"/>
      <c r="O35" s="889"/>
      <c r="P35" s="890"/>
      <c r="Q35" s="890"/>
      <c r="R35" s="890"/>
      <c r="S35" s="930"/>
      <c r="T35" s="928"/>
      <c r="U35" s="341"/>
      <c r="V35" s="363"/>
      <c r="W35" s="363"/>
      <c r="X35" s="363"/>
      <c r="Y35" s="363"/>
      <c r="Z35" s="363"/>
      <c r="AA35" s="363"/>
      <c r="AB35" s="363"/>
      <c r="AC35" s="363"/>
    </row>
    <row r="36" spans="1:29" s="365" customFormat="1">
      <c r="A36" s="363"/>
      <c r="B36" s="364"/>
      <c r="C36" s="1064"/>
      <c r="D36" s="1065"/>
      <c r="E36" s="1242"/>
      <c r="F36" s="1340"/>
      <c r="G36" s="1067"/>
      <c r="H36" s="1179"/>
      <c r="I36" s="921"/>
      <c r="J36" s="872"/>
      <c r="K36" s="838"/>
      <c r="L36" s="353"/>
      <c r="M36" s="902"/>
      <c r="N36" s="355"/>
      <c r="O36" s="889"/>
      <c r="P36" s="890"/>
      <c r="Q36" s="890"/>
      <c r="R36" s="890"/>
      <c r="S36" s="930"/>
      <c r="T36" s="928"/>
      <c r="U36" s="341"/>
      <c r="V36" s="363"/>
      <c r="W36" s="363"/>
      <c r="X36" s="363"/>
      <c r="Y36" s="363"/>
      <c r="Z36" s="363"/>
      <c r="AA36" s="363"/>
      <c r="AB36" s="363"/>
      <c r="AC36" s="363"/>
    </row>
    <row r="37" spans="1:29" s="365" customFormat="1" ht="30">
      <c r="A37" s="363"/>
      <c r="B37" s="364"/>
      <c r="C37" s="1064">
        <v>44095</v>
      </c>
      <c r="D37" s="1065" t="s">
        <v>453</v>
      </c>
      <c r="E37" s="1242" t="s">
        <v>678</v>
      </c>
      <c r="F37" s="1340" t="s">
        <v>8</v>
      </c>
      <c r="G37" s="1067">
        <v>64</v>
      </c>
      <c r="H37" s="1179" t="s">
        <v>396</v>
      </c>
      <c r="I37" s="921" t="s">
        <v>52</v>
      </c>
      <c r="J37" s="872" t="s">
        <v>80</v>
      </c>
      <c r="K37" s="838" t="s">
        <v>81</v>
      </c>
      <c r="L37" s="353"/>
      <c r="M37" s="902"/>
      <c r="N37" s="355"/>
      <c r="O37" s="889"/>
      <c r="P37" s="890"/>
      <c r="Q37" s="890"/>
      <c r="R37" s="890"/>
      <c r="S37" s="930"/>
      <c r="T37" s="928"/>
      <c r="U37" s="341"/>
      <c r="V37" s="363"/>
      <c r="W37" s="363"/>
      <c r="X37" s="363"/>
      <c r="Y37" s="363"/>
      <c r="Z37" s="363"/>
      <c r="AA37" s="363"/>
      <c r="AB37" s="363"/>
      <c r="AC37" s="363"/>
    </row>
    <row r="38" spans="1:29" s="365" customFormat="1" ht="30">
      <c r="A38" s="363"/>
      <c r="B38" s="364"/>
      <c r="C38" s="1064">
        <v>44095</v>
      </c>
      <c r="D38" s="1065" t="s">
        <v>453</v>
      </c>
      <c r="E38" s="1242" t="s">
        <v>678</v>
      </c>
      <c r="F38" s="1340" t="s">
        <v>8</v>
      </c>
      <c r="G38" s="1067">
        <v>64</v>
      </c>
      <c r="H38" s="1179" t="s">
        <v>556</v>
      </c>
      <c r="I38" s="921" t="s">
        <v>52</v>
      </c>
      <c r="J38" s="872" t="s">
        <v>80</v>
      </c>
      <c r="K38" s="838" t="s">
        <v>81</v>
      </c>
      <c r="L38" s="353"/>
      <c r="M38" s="893"/>
      <c r="N38" s="355"/>
      <c r="O38" s="889"/>
      <c r="P38" s="890"/>
      <c r="Q38" s="890"/>
      <c r="R38" s="890"/>
      <c r="S38" s="930"/>
      <c r="T38" s="931"/>
      <c r="U38" s="341"/>
      <c r="V38" s="363"/>
      <c r="W38" s="363"/>
      <c r="X38" s="363"/>
      <c r="Y38" s="363"/>
      <c r="Z38" s="363"/>
      <c r="AA38" s="363"/>
      <c r="AB38" s="363"/>
      <c r="AC38" s="363"/>
    </row>
    <row r="39" spans="1:29" s="365" customFormat="1">
      <c r="A39" s="363"/>
      <c r="B39" s="364"/>
      <c r="C39" s="1064"/>
      <c r="D39" s="1065"/>
      <c r="E39" s="1242"/>
      <c r="F39" s="1340"/>
      <c r="G39" s="1067"/>
      <c r="H39" s="1179"/>
      <c r="I39" s="921"/>
      <c r="J39" s="872"/>
      <c r="K39" s="838"/>
      <c r="L39" s="353"/>
      <c r="M39" s="893"/>
      <c r="N39" s="355"/>
      <c r="O39" s="889"/>
      <c r="P39" s="890"/>
      <c r="Q39" s="890"/>
      <c r="R39" s="890"/>
      <c r="S39" s="930"/>
      <c r="T39" s="931"/>
      <c r="U39" s="341"/>
      <c r="V39" s="363"/>
      <c r="W39" s="363"/>
      <c r="X39" s="363"/>
      <c r="Y39" s="363"/>
      <c r="Z39" s="363"/>
      <c r="AA39" s="363"/>
      <c r="AB39" s="363"/>
      <c r="AC39" s="363"/>
    </row>
    <row r="40" spans="1:29" s="362" customFormat="1">
      <c r="A40" s="360"/>
      <c r="B40" s="361"/>
      <c r="C40" s="1064">
        <v>44090</v>
      </c>
      <c r="D40" s="1065">
        <v>75</v>
      </c>
      <c r="E40" s="1244" t="s">
        <v>679</v>
      </c>
      <c r="F40" s="1340" t="s">
        <v>8</v>
      </c>
      <c r="G40" s="1067">
        <v>65</v>
      </c>
      <c r="H40" s="1179" t="s">
        <v>550</v>
      </c>
      <c r="I40" s="921" t="s">
        <v>53</v>
      </c>
      <c r="J40" s="872" t="s">
        <v>80</v>
      </c>
      <c r="K40" s="838" t="s">
        <v>81</v>
      </c>
      <c r="L40" s="353"/>
      <c r="M40" s="354"/>
      <c r="N40" s="355"/>
      <c r="O40" s="889"/>
      <c r="P40" s="890"/>
      <c r="Q40" s="890"/>
      <c r="R40" s="890"/>
      <c r="S40" s="903"/>
      <c r="T40" s="928"/>
      <c r="U40" s="341"/>
      <c r="V40" s="360"/>
      <c r="W40" s="360"/>
      <c r="X40" s="360"/>
      <c r="Y40" s="360"/>
      <c r="Z40" s="360"/>
      <c r="AA40" s="360"/>
      <c r="AB40" s="360"/>
      <c r="AC40" s="360"/>
    </row>
    <row r="41" spans="1:29" ht="16.5" thickBot="1">
      <c r="A41" s="321"/>
      <c r="B41" s="339"/>
      <c r="C41" s="1064">
        <v>44097</v>
      </c>
      <c r="D41" s="1065">
        <v>81</v>
      </c>
      <c r="E41" s="1008" t="s">
        <v>680</v>
      </c>
      <c r="F41" s="1336" t="s">
        <v>8</v>
      </c>
      <c r="G41" s="1232">
        <v>65</v>
      </c>
      <c r="H41" s="1337" t="s">
        <v>91</v>
      </c>
      <c r="I41" s="921" t="s">
        <v>49</v>
      </c>
      <c r="J41" s="872" t="s">
        <v>80</v>
      </c>
      <c r="K41" s="873" t="s">
        <v>81</v>
      </c>
      <c r="L41" s="353"/>
      <c r="M41" s="768"/>
      <c r="N41" s="733"/>
      <c r="O41" s="773"/>
      <c r="P41" s="367"/>
      <c r="Q41" s="367"/>
      <c r="R41" s="367"/>
      <c r="S41" s="932"/>
      <c r="T41" s="933"/>
      <c r="U41" s="341"/>
      <c r="V41" s="321"/>
    </row>
    <row r="42" spans="1:29" s="365" customFormat="1" ht="43.5" customHeight="1">
      <c r="A42" s="363"/>
      <c r="B42" s="364"/>
      <c r="C42" s="1064">
        <v>44097</v>
      </c>
      <c r="D42" s="1065" t="s">
        <v>453</v>
      </c>
      <c r="E42" s="1066" t="s">
        <v>681</v>
      </c>
      <c r="F42" s="1340" t="s">
        <v>8</v>
      </c>
      <c r="G42" s="1067">
        <v>64</v>
      </c>
      <c r="H42" s="1179" t="s">
        <v>396</v>
      </c>
      <c r="I42" s="1179" t="s">
        <v>52</v>
      </c>
      <c r="J42" s="872" t="s">
        <v>80</v>
      </c>
      <c r="K42" s="873" t="s">
        <v>81</v>
      </c>
      <c r="L42" s="353"/>
      <c r="M42" s="1342" t="s">
        <v>682</v>
      </c>
      <c r="N42" s="899"/>
      <c r="O42" s="713"/>
      <c r="P42" s="373"/>
      <c r="Q42" s="373"/>
      <c r="R42" s="373"/>
      <c r="S42" s="771"/>
      <c r="T42" s="378"/>
      <c r="U42" s="341"/>
      <c r="V42" s="363"/>
      <c r="W42" s="363"/>
      <c r="X42" s="363"/>
      <c r="Y42" s="363"/>
      <c r="Z42" s="363"/>
      <c r="AA42" s="363"/>
      <c r="AB42" s="363"/>
      <c r="AC42" s="363"/>
    </row>
    <row r="43" spans="1:29" s="362" customFormat="1" ht="45">
      <c r="A43" s="360"/>
      <c r="B43" s="361"/>
      <c r="C43" s="1064">
        <v>44097</v>
      </c>
      <c r="D43" s="1065" t="s">
        <v>453</v>
      </c>
      <c r="E43" s="1066" t="s">
        <v>681</v>
      </c>
      <c r="F43" s="1340" t="s">
        <v>8</v>
      </c>
      <c r="G43" s="1067">
        <v>64</v>
      </c>
      <c r="H43" s="1179" t="s">
        <v>556</v>
      </c>
      <c r="I43" s="1179" t="s">
        <v>52</v>
      </c>
      <c r="J43" s="872" t="s">
        <v>80</v>
      </c>
      <c r="K43" s="873" t="s">
        <v>81</v>
      </c>
      <c r="L43" s="358"/>
      <c r="M43" s="242" t="s">
        <v>128</v>
      </c>
      <c r="N43" s="225">
        <f>N44+N45+N46</f>
        <v>50</v>
      </c>
      <c r="O43" s="713"/>
      <c r="P43" s="373"/>
      <c r="Q43" s="373"/>
      <c r="R43" s="373"/>
      <c r="S43" s="771"/>
      <c r="T43" s="378"/>
      <c r="U43" s="341"/>
      <c r="V43" s="360"/>
      <c r="W43" s="360"/>
      <c r="X43" s="360"/>
      <c r="Y43" s="360"/>
      <c r="Z43" s="360"/>
      <c r="AA43" s="360"/>
      <c r="AB43" s="360"/>
      <c r="AC43" s="360"/>
    </row>
    <row r="44" spans="1:29" s="362" customFormat="1">
      <c r="A44" s="360"/>
      <c r="B44" s="361"/>
      <c r="C44" s="1064">
        <v>44098</v>
      </c>
      <c r="D44" s="1065"/>
      <c r="E44" s="1008" t="s">
        <v>683</v>
      </c>
      <c r="F44" s="1340" t="s">
        <v>8</v>
      </c>
      <c r="G44" s="1133">
        <v>64</v>
      </c>
      <c r="H44" s="1008" t="s">
        <v>684</v>
      </c>
      <c r="I44" s="1179" t="s">
        <v>53</v>
      </c>
      <c r="J44" s="872" t="s">
        <v>80</v>
      </c>
      <c r="K44" s="873" t="s">
        <v>81</v>
      </c>
      <c r="L44" s="370"/>
      <c r="M44" s="243" t="s">
        <v>129</v>
      </c>
      <c r="N44" s="225">
        <f>COUNTIF(G$1:G218,40)</f>
        <v>11</v>
      </c>
      <c r="O44" s="772"/>
      <c r="P44" s="373"/>
      <c r="Q44" s="373"/>
      <c r="R44" s="373"/>
      <c r="S44" s="771"/>
      <c r="T44" s="378"/>
      <c r="U44" s="341"/>
      <c r="V44" s="360"/>
      <c r="W44" s="360"/>
      <c r="X44" s="360"/>
      <c r="Y44" s="360"/>
      <c r="Z44" s="360"/>
      <c r="AA44" s="360"/>
      <c r="AB44" s="360"/>
      <c r="AC44" s="360"/>
    </row>
    <row r="45" spans="1:29">
      <c r="A45" s="321"/>
      <c r="B45" s="339"/>
      <c r="C45" s="1064">
        <v>44098</v>
      </c>
      <c r="D45" s="1065" t="s">
        <v>453</v>
      </c>
      <c r="E45" s="1338" t="s">
        <v>685</v>
      </c>
      <c r="F45" s="1340" t="s">
        <v>8</v>
      </c>
      <c r="G45" s="1133">
        <v>64</v>
      </c>
      <c r="H45" s="1008" t="s">
        <v>611</v>
      </c>
      <c r="I45" s="1179" t="s">
        <v>52</v>
      </c>
      <c r="J45" s="872" t="s">
        <v>80</v>
      </c>
      <c r="K45" s="873" t="s">
        <v>81</v>
      </c>
      <c r="L45" s="370"/>
      <c r="M45" s="243" t="s">
        <v>132</v>
      </c>
      <c r="N45" s="225">
        <f>COUNTIF(G$1:G218,65)</f>
        <v>14</v>
      </c>
      <c r="O45" s="359"/>
      <c r="P45" s="373"/>
      <c r="Q45" s="373"/>
      <c r="R45" s="373"/>
      <c r="S45" s="771"/>
      <c r="T45" s="378"/>
      <c r="U45" s="341"/>
      <c r="V45" s="321"/>
    </row>
    <row r="46" spans="1:29" ht="16.5" thickBot="1">
      <c r="A46" s="321"/>
      <c r="B46" s="339"/>
      <c r="C46" s="1064">
        <v>44099</v>
      </c>
      <c r="D46" s="1065">
        <v>78</v>
      </c>
      <c r="E46" s="1260" t="s">
        <v>686</v>
      </c>
      <c r="F46" s="1340" t="s">
        <v>8</v>
      </c>
      <c r="G46" s="1133">
        <v>64</v>
      </c>
      <c r="H46" s="1008" t="s">
        <v>396</v>
      </c>
      <c r="I46" s="1179" t="s">
        <v>49</v>
      </c>
      <c r="J46" s="872" t="s">
        <v>80</v>
      </c>
      <c r="K46" s="873" t="s">
        <v>81</v>
      </c>
      <c r="L46" s="370"/>
      <c r="M46" s="244" t="s">
        <v>134</v>
      </c>
      <c r="N46" s="226">
        <f>COUNTIF(G$1:G220,64)</f>
        <v>25</v>
      </c>
      <c r="O46" s="359"/>
      <c r="P46" s="373"/>
      <c r="Q46" s="373"/>
      <c r="R46" s="373"/>
      <c r="S46" s="771"/>
      <c r="T46" s="378"/>
      <c r="U46" s="341"/>
      <c r="V46" s="321"/>
    </row>
    <row r="47" spans="1:29">
      <c r="A47" s="321"/>
      <c r="B47" s="339"/>
      <c r="C47" s="1064">
        <v>44099</v>
      </c>
      <c r="D47" s="1065">
        <v>78</v>
      </c>
      <c r="E47" s="1260" t="s">
        <v>686</v>
      </c>
      <c r="F47" s="1340" t="s">
        <v>8</v>
      </c>
      <c r="G47" s="1133">
        <v>64</v>
      </c>
      <c r="H47" s="1008" t="s">
        <v>556</v>
      </c>
      <c r="I47" s="1179" t="s">
        <v>49</v>
      </c>
      <c r="J47" s="872" t="s">
        <v>80</v>
      </c>
      <c r="K47" s="873" t="s">
        <v>81</v>
      </c>
      <c r="L47" s="370"/>
      <c r="M47" s="379"/>
      <c r="N47" s="373"/>
      <c r="O47" s="359"/>
      <c r="P47" s="373"/>
      <c r="Q47" s="373"/>
      <c r="R47" s="373"/>
      <c r="S47" s="771"/>
      <c r="T47" s="378"/>
      <c r="U47" s="341"/>
      <c r="V47" s="321"/>
    </row>
    <row r="48" spans="1:29" ht="30">
      <c r="A48" s="321"/>
      <c r="B48" s="339"/>
      <c r="C48" s="1064">
        <v>44099</v>
      </c>
      <c r="D48" s="1065">
        <v>81</v>
      </c>
      <c r="E48" s="1341" t="s">
        <v>687</v>
      </c>
      <c r="F48" s="1340" t="s">
        <v>8</v>
      </c>
      <c r="G48" s="1133">
        <v>65</v>
      </c>
      <c r="H48" s="1008" t="s">
        <v>91</v>
      </c>
      <c r="I48" s="922" t="s">
        <v>49</v>
      </c>
      <c r="J48" s="872" t="s">
        <v>80</v>
      </c>
      <c r="K48" s="873" t="s">
        <v>81</v>
      </c>
      <c r="L48" s="370"/>
      <c r="M48" s="553"/>
      <c r="N48" s="554"/>
      <c r="O48" s="359"/>
      <c r="P48" s="373"/>
      <c r="Q48" s="373"/>
      <c r="R48" s="373"/>
      <c r="S48" s="771"/>
      <c r="T48" s="378"/>
      <c r="U48" s="341"/>
      <c r="V48" s="321"/>
    </row>
    <row r="49" spans="1:29" ht="30">
      <c r="A49" s="321"/>
      <c r="B49" s="339"/>
      <c r="C49" s="1064">
        <v>44099</v>
      </c>
      <c r="D49" s="1065">
        <v>81</v>
      </c>
      <c r="E49" s="1341" t="s">
        <v>687</v>
      </c>
      <c r="F49" s="1340" t="s">
        <v>8</v>
      </c>
      <c r="G49" s="1133">
        <v>65</v>
      </c>
      <c r="H49" s="1008" t="s">
        <v>311</v>
      </c>
      <c r="I49" s="922" t="s">
        <v>49</v>
      </c>
      <c r="J49" s="872" t="s">
        <v>80</v>
      </c>
      <c r="K49" s="873" t="s">
        <v>81</v>
      </c>
      <c r="L49" s="370"/>
      <c r="M49" s="553"/>
      <c r="N49" s="554"/>
      <c r="O49" s="359"/>
      <c r="P49" s="373"/>
      <c r="Q49" s="373"/>
      <c r="R49" s="373"/>
      <c r="S49" s="771"/>
      <c r="T49" s="378"/>
      <c r="U49" s="341"/>
      <c r="V49" s="321"/>
    </row>
    <row r="50" spans="1:29">
      <c r="A50" s="321"/>
      <c r="B50" s="339"/>
      <c r="C50" s="1064">
        <v>44099</v>
      </c>
      <c r="D50" s="1065">
        <v>82</v>
      </c>
      <c r="E50" s="1260" t="s">
        <v>688</v>
      </c>
      <c r="F50" s="1340" t="s">
        <v>9</v>
      </c>
      <c r="G50" s="1133">
        <v>64</v>
      </c>
      <c r="H50" s="1008" t="s">
        <v>605</v>
      </c>
      <c r="I50" s="1179" t="s">
        <v>51</v>
      </c>
      <c r="J50" s="872" t="s">
        <v>80</v>
      </c>
      <c r="K50" s="873" t="s">
        <v>96</v>
      </c>
      <c r="L50" s="370"/>
      <c r="M50" s="379"/>
      <c r="N50" s="373"/>
      <c r="O50" s="359"/>
      <c r="P50" s="373"/>
      <c r="Q50" s="373"/>
      <c r="R50" s="373"/>
      <c r="S50" s="771"/>
      <c r="T50" s="378"/>
      <c r="U50" s="341"/>
      <c r="V50" s="321"/>
    </row>
    <row r="51" spans="1:29">
      <c r="A51" s="321"/>
      <c r="B51" s="339"/>
      <c r="C51" s="1064">
        <v>44100</v>
      </c>
      <c r="D51" s="1065">
        <v>82</v>
      </c>
      <c r="E51" s="1260" t="s">
        <v>689</v>
      </c>
      <c r="F51" s="1340" t="s">
        <v>8</v>
      </c>
      <c r="G51" s="1133">
        <v>64</v>
      </c>
      <c r="H51" s="1008" t="s">
        <v>684</v>
      </c>
      <c r="I51" s="1179" t="s">
        <v>51</v>
      </c>
      <c r="J51" s="872" t="s">
        <v>80</v>
      </c>
      <c r="K51" s="873" t="s">
        <v>81</v>
      </c>
      <c r="L51" s="370"/>
      <c r="M51" s="379"/>
      <c r="N51" s="373"/>
      <c r="O51" s="359"/>
      <c r="P51" s="373"/>
      <c r="Q51" s="373"/>
      <c r="R51" s="373"/>
      <c r="S51" s="771"/>
      <c r="T51" s="378"/>
      <c r="U51" s="341"/>
      <c r="V51" s="321"/>
    </row>
    <row r="52" spans="1:29">
      <c r="A52" s="321"/>
      <c r="B52" s="339"/>
      <c r="C52" s="1064">
        <v>44101</v>
      </c>
      <c r="D52" s="1065">
        <v>82</v>
      </c>
      <c r="E52" s="1260" t="s">
        <v>690</v>
      </c>
      <c r="F52" s="1340" t="s">
        <v>8</v>
      </c>
      <c r="G52" s="1133">
        <v>65</v>
      </c>
      <c r="H52" s="1008" t="s">
        <v>311</v>
      </c>
      <c r="I52" s="1179" t="s">
        <v>49</v>
      </c>
      <c r="J52" s="872" t="s">
        <v>80</v>
      </c>
      <c r="K52" s="873" t="s">
        <v>81</v>
      </c>
      <c r="L52" s="370"/>
      <c r="M52" s="379"/>
      <c r="N52" s="373"/>
      <c r="O52" s="359"/>
      <c r="P52" s="373"/>
      <c r="Q52" s="373"/>
      <c r="R52" s="373"/>
      <c r="S52" s="771"/>
      <c r="T52" s="378"/>
      <c r="U52" s="341"/>
      <c r="V52" s="321"/>
    </row>
    <row r="53" spans="1:29">
      <c r="A53" s="321"/>
      <c r="B53" s="339"/>
      <c r="C53" s="1064">
        <v>44101</v>
      </c>
      <c r="D53" s="1065">
        <v>82</v>
      </c>
      <c r="E53" s="1260" t="s">
        <v>690</v>
      </c>
      <c r="F53" s="1340" t="s">
        <v>9</v>
      </c>
      <c r="G53" s="1133">
        <v>65</v>
      </c>
      <c r="H53" s="1008" t="s">
        <v>311</v>
      </c>
      <c r="I53" s="1179" t="s">
        <v>49</v>
      </c>
      <c r="J53" s="872" t="s">
        <v>80</v>
      </c>
      <c r="K53" s="873" t="s">
        <v>96</v>
      </c>
      <c r="L53" s="370"/>
      <c r="M53" s="379"/>
      <c r="N53" s="373"/>
      <c r="O53" s="359"/>
      <c r="P53" s="373"/>
      <c r="Q53" s="373"/>
      <c r="R53" s="373"/>
      <c r="S53" s="771"/>
      <c r="T53" s="378"/>
      <c r="U53" s="341"/>
      <c r="V53" s="321"/>
    </row>
    <row r="54" spans="1:29">
      <c r="A54" s="321"/>
      <c r="B54" s="339"/>
      <c r="C54" s="1064">
        <v>44102</v>
      </c>
      <c r="D54" s="1065">
        <v>79</v>
      </c>
      <c r="E54" s="1260" t="s">
        <v>691</v>
      </c>
      <c r="F54" s="1340" t="s">
        <v>8</v>
      </c>
      <c r="G54" s="1133">
        <v>40</v>
      </c>
      <c r="H54" s="1008" t="s">
        <v>85</v>
      </c>
      <c r="I54" s="1179" t="s">
        <v>47</v>
      </c>
      <c r="J54" s="872" t="s">
        <v>80</v>
      </c>
      <c r="K54" s="873" t="s">
        <v>81</v>
      </c>
      <c r="L54" s="370"/>
      <c r="M54" s="379"/>
      <c r="N54" s="373"/>
      <c r="O54" s="359"/>
      <c r="P54" s="373"/>
      <c r="Q54" s="373"/>
      <c r="R54" s="373"/>
      <c r="S54" s="771"/>
      <c r="T54" s="378"/>
      <c r="U54" s="341"/>
      <c r="V54" s="321"/>
    </row>
    <row r="55" spans="1:29">
      <c r="A55" s="321"/>
      <c r="B55" s="339"/>
      <c r="C55" s="1064">
        <v>44102</v>
      </c>
      <c r="D55" s="1065">
        <v>79</v>
      </c>
      <c r="E55" s="1260" t="s">
        <v>692</v>
      </c>
      <c r="F55" s="1340" t="s">
        <v>9</v>
      </c>
      <c r="G55" s="1133">
        <v>40</v>
      </c>
      <c r="H55" s="1008" t="s">
        <v>577</v>
      </c>
      <c r="I55" s="1179" t="s">
        <v>47</v>
      </c>
      <c r="J55" s="872" t="s">
        <v>80</v>
      </c>
      <c r="K55" s="873" t="s">
        <v>96</v>
      </c>
      <c r="L55" s="370"/>
      <c r="M55" s="379"/>
      <c r="N55" s="373"/>
      <c r="O55" s="359"/>
      <c r="P55" s="373"/>
      <c r="Q55" s="373"/>
      <c r="R55" s="373"/>
      <c r="S55" s="771"/>
      <c r="T55" s="378"/>
      <c r="U55" s="341"/>
      <c r="V55" s="321"/>
    </row>
    <row r="56" spans="1:29">
      <c r="A56" s="321"/>
      <c r="B56" s="339"/>
      <c r="C56" s="1064">
        <v>44102</v>
      </c>
      <c r="D56" s="1065"/>
      <c r="E56" s="1343" t="s">
        <v>693</v>
      </c>
      <c r="F56" s="1340" t="s">
        <v>10</v>
      </c>
      <c r="G56" s="1133">
        <v>40</v>
      </c>
      <c r="H56" s="1008" t="s">
        <v>275</v>
      </c>
      <c r="I56" s="1179" t="s">
        <v>53</v>
      </c>
      <c r="J56" s="872" t="s">
        <v>80</v>
      </c>
      <c r="K56" s="873" t="s">
        <v>81</v>
      </c>
      <c r="L56" s="370"/>
      <c r="M56" s="379"/>
      <c r="N56" s="373"/>
      <c r="O56" s="359"/>
      <c r="P56" s="373"/>
      <c r="Q56" s="373"/>
      <c r="R56" s="373"/>
      <c r="S56" s="771"/>
      <c r="T56" s="378"/>
      <c r="U56" s="341"/>
      <c r="V56" s="321"/>
    </row>
    <row r="57" spans="1:29">
      <c r="A57" s="321"/>
      <c r="B57" s="339"/>
      <c r="C57" s="1064">
        <v>44102</v>
      </c>
      <c r="D57" s="1065" t="s">
        <v>453</v>
      </c>
      <c r="E57" s="1260" t="s">
        <v>694</v>
      </c>
      <c r="F57" s="1340" t="s">
        <v>8</v>
      </c>
      <c r="G57" s="1133">
        <v>65</v>
      </c>
      <c r="H57" s="1008" t="s">
        <v>311</v>
      </c>
      <c r="I57" s="1179" t="s">
        <v>52</v>
      </c>
      <c r="J57" s="872" t="s">
        <v>80</v>
      </c>
      <c r="K57" s="873" t="s">
        <v>81</v>
      </c>
      <c r="L57" s="370"/>
      <c r="M57" s="379"/>
      <c r="N57" s="373"/>
      <c r="O57" s="359"/>
      <c r="P57" s="373"/>
      <c r="Q57" s="373"/>
      <c r="R57" s="373"/>
      <c r="S57" s="771"/>
      <c r="T57" s="378"/>
      <c r="U57" s="341"/>
      <c r="V57" s="321"/>
    </row>
    <row r="58" spans="1:29">
      <c r="A58" s="321"/>
      <c r="B58" s="339"/>
      <c r="C58" s="1064">
        <v>44102</v>
      </c>
      <c r="D58" s="1065" t="s">
        <v>453</v>
      </c>
      <c r="E58" s="1260" t="s">
        <v>694</v>
      </c>
      <c r="F58" s="1340" t="s">
        <v>8</v>
      </c>
      <c r="G58" s="1133">
        <v>64</v>
      </c>
      <c r="H58" s="1008" t="s">
        <v>91</v>
      </c>
      <c r="I58" s="1179" t="s">
        <v>52</v>
      </c>
      <c r="J58" s="872" t="s">
        <v>80</v>
      </c>
      <c r="K58" s="873" t="s">
        <v>81</v>
      </c>
      <c r="L58" s="370"/>
      <c r="M58" s="379"/>
      <c r="N58" s="373"/>
      <c r="O58" s="359"/>
      <c r="P58" s="373"/>
      <c r="Q58" s="373"/>
      <c r="R58" s="373"/>
      <c r="S58" s="771"/>
      <c r="T58" s="378"/>
      <c r="U58" s="341"/>
      <c r="V58" s="321"/>
    </row>
    <row r="59" spans="1:29">
      <c r="A59" s="321"/>
      <c r="B59" s="339"/>
      <c r="C59" s="1064">
        <v>44103</v>
      </c>
      <c r="D59" s="1065" t="s">
        <v>453</v>
      </c>
      <c r="E59" s="1260" t="s">
        <v>695</v>
      </c>
      <c r="F59" s="1340" t="s">
        <v>8</v>
      </c>
      <c r="G59" s="1133">
        <v>64</v>
      </c>
      <c r="H59" s="1008" t="s">
        <v>611</v>
      </c>
      <c r="I59" s="1179" t="s">
        <v>52</v>
      </c>
      <c r="J59" s="872" t="s">
        <v>80</v>
      </c>
      <c r="K59" s="873" t="s">
        <v>81</v>
      </c>
      <c r="L59" s="370"/>
      <c r="M59" s="379"/>
      <c r="N59" s="373"/>
      <c r="O59" s="359"/>
      <c r="P59" s="373"/>
      <c r="Q59" s="373"/>
      <c r="R59" s="373"/>
      <c r="S59" s="771"/>
      <c r="T59" s="378"/>
      <c r="U59" s="341"/>
      <c r="V59" s="321"/>
    </row>
    <row r="60" spans="1:29">
      <c r="A60" s="321"/>
      <c r="B60" s="339"/>
      <c r="C60" s="1064">
        <v>44104</v>
      </c>
      <c r="D60" s="1065">
        <v>81</v>
      </c>
      <c r="E60" s="1260" t="s">
        <v>696</v>
      </c>
      <c r="F60" s="1067" t="s">
        <v>8</v>
      </c>
      <c r="G60" s="1067">
        <v>65</v>
      </c>
      <c r="H60" s="1187" t="s">
        <v>550</v>
      </c>
      <c r="I60" s="1179" t="s">
        <v>49</v>
      </c>
      <c r="J60" s="872" t="s">
        <v>80</v>
      </c>
      <c r="K60" s="873" t="s">
        <v>81</v>
      </c>
      <c r="L60" s="370"/>
      <c r="M60" s="379"/>
      <c r="N60" s="373"/>
      <c r="O60" s="359"/>
      <c r="P60" s="373"/>
      <c r="Q60" s="373"/>
      <c r="R60" s="373"/>
      <c r="S60" s="771"/>
      <c r="T60" s="378"/>
      <c r="U60" s="341"/>
      <c r="V60" s="321"/>
    </row>
    <row r="61" spans="1:29" ht="30">
      <c r="A61" s="321"/>
      <c r="B61" s="339"/>
      <c r="C61" s="1064">
        <v>44104</v>
      </c>
      <c r="D61" s="1065">
        <v>78</v>
      </c>
      <c r="E61" s="1344" t="s">
        <v>697</v>
      </c>
      <c r="F61" s="1340" t="s">
        <v>9</v>
      </c>
      <c r="G61" s="1133">
        <v>64</v>
      </c>
      <c r="H61" s="1008" t="s">
        <v>698</v>
      </c>
      <c r="I61" s="921" t="s">
        <v>49</v>
      </c>
      <c r="J61" s="872" t="s">
        <v>80</v>
      </c>
      <c r="K61" s="873" t="s">
        <v>96</v>
      </c>
      <c r="L61" s="370"/>
      <c r="M61" s="379"/>
      <c r="N61" s="373"/>
      <c r="O61" s="359"/>
      <c r="P61" s="373"/>
      <c r="Q61" s="373"/>
      <c r="R61" s="373"/>
      <c r="S61" s="771"/>
      <c r="T61" s="378"/>
      <c r="U61" s="341"/>
      <c r="V61" s="321"/>
    </row>
    <row r="62" spans="1:29">
      <c r="A62" s="321"/>
      <c r="B62" s="339"/>
      <c r="C62" s="1064">
        <v>44096</v>
      </c>
      <c r="D62" s="1065">
        <v>78</v>
      </c>
      <c r="E62" s="1008" t="s">
        <v>699</v>
      </c>
      <c r="F62" s="1336" t="s">
        <v>419</v>
      </c>
      <c r="G62" s="1133">
        <v>64</v>
      </c>
      <c r="H62" s="1008" t="s">
        <v>700</v>
      </c>
      <c r="I62" s="1179" t="s">
        <v>49</v>
      </c>
      <c r="J62" s="1345" t="s">
        <v>356</v>
      </c>
      <c r="K62" s="941" t="s">
        <v>427</v>
      </c>
      <c r="L62" s="370"/>
      <c r="M62" s="917"/>
      <c r="N62" s="918"/>
      <c r="O62" s="346"/>
      <c r="P62" s="371"/>
      <c r="Q62" s="371"/>
      <c r="R62" s="371"/>
      <c r="S62" s="371"/>
      <c r="T62" s="371"/>
      <c r="U62" s="341"/>
      <c r="V62" s="321"/>
    </row>
    <row r="63" spans="1:29">
      <c r="A63" s="321"/>
      <c r="B63" s="339"/>
      <c r="C63" s="1064">
        <v>44089</v>
      </c>
      <c r="D63" s="1065">
        <v>79</v>
      </c>
      <c r="E63" s="1346" t="s">
        <v>701</v>
      </c>
      <c r="F63" s="1336" t="s">
        <v>9</v>
      </c>
      <c r="G63" s="1133">
        <v>40</v>
      </c>
      <c r="H63" s="1008" t="s">
        <v>702</v>
      </c>
      <c r="I63" s="1179" t="s">
        <v>47</v>
      </c>
      <c r="J63" s="1345" t="s">
        <v>80</v>
      </c>
      <c r="K63" s="942"/>
      <c r="L63" s="358"/>
      <c r="M63" s="900"/>
      <c r="N63" s="901"/>
      <c r="O63" s="346"/>
      <c r="P63" s="371"/>
      <c r="Q63" s="371"/>
      <c r="R63" s="371"/>
      <c r="S63" s="371"/>
      <c r="T63" s="371"/>
      <c r="U63" s="341"/>
      <c r="V63" s="321"/>
    </row>
    <row r="64" spans="1:29" s="362" customFormat="1">
      <c r="A64" s="360"/>
      <c r="B64" s="361"/>
      <c r="C64" s="1064">
        <v>44084</v>
      </c>
      <c r="D64" s="1065">
        <v>75</v>
      </c>
      <c r="E64" s="1346" t="s">
        <v>665</v>
      </c>
      <c r="F64" s="1336" t="s">
        <v>8</v>
      </c>
      <c r="G64" s="1133">
        <v>65</v>
      </c>
      <c r="H64" s="1008" t="s">
        <v>91</v>
      </c>
      <c r="I64" s="1179" t="s">
        <v>53</v>
      </c>
      <c r="J64" s="1345" t="s">
        <v>356</v>
      </c>
      <c r="K64" s="943"/>
      <c r="L64" s="370"/>
      <c r="M64" s="900"/>
      <c r="N64" s="901"/>
      <c r="O64" s="346"/>
      <c r="P64" s="346"/>
      <c r="Q64" s="346"/>
      <c r="R64" s="346"/>
      <c r="S64" s="346"/>
      <c r="T64" s="346"/>
      <c r="U64" s="372"/>
      <c r="V64" s="360"/>
      <c r="W64" s="360"/>
      <c r="X64" s="360"/>
      <c r="Y64" s="360"/>
      <c r="Z64" s="360"/>
      <c r="AA64" s="360"/>
      <c r="AB64" s="360"/>
      <c r="AC64" s="360"/>
    </row>
    <row r="65" spans="1:29" s="362" customFormat="1">
      <c r="A65" s="360"/>
      <c r="B65" s="361"/>
      <c r="C65" s="1064">
        <v>44097</v>
      </c>
      <c r="D65" s="1065">
        <v>81</v>
      </c>
      <c r="E65" s="1008" t="s">
        <v>680</v>
      </c>
      <c r="F65" s="1336" t="s">
        <v>9</v>
      </c>
      <c r="G65" s="1232">
        <v>65</v>
      </c>
      <c r="H65" s="1337" t="s">
        <v>91</v>
      </c>
      <c r="I65" s="921" t="s">
        <v>49</v>
      </c>
      <c r="J65" s="872" t="s">
        <v>80</v>
      </c>
      <c r="K65" s="873" t="s">
        <v>81</v>
      </c>
      <c r="L65" s="370"/>
      <c r="M65" s="900"/>
      <c r="N65" s="901"/>
      <c r="O65" s="369"/>
      <c r="P65" s="369"/>
      <c r="Q65" s="369"/>
      <c r="R65" s="369"/>
      <c r="S65" s="369"/>
      <c r="T65" s="369"/>
      <c r="U65" s="372"/>
      <c r="V65" s="360"/>
      <c r="W65" s="360"/>
      <c r="X65" s="360"/>
      <c r="Y65" s="360"/>
      <c r="Z65" s="360"/>
      <c r="AA65" s="360"/>
      <c r="AB65" s="360"/>
      <c r="AC65" s="360"/>
    </row>
    <row r="66" spans="1:29" s="362" customFormat="1">
      <c r="A66" s="360"/>
      <c r="B66" s="361"/>
      <c r="C66" s="1064">
        <v>44095</v>
      </c>
      <c r="D66" s="1065"/>
      <c r="E66" s="1260" t="s">
        <v>676</v>
      </c>
      <c r="F66" s="1340" t="s">
        <v>9</v>
      </c>
      <c r="G66" s="1067">
        <v>64</v>
      </c>
      <c r="H66" s="1179" t="s">
        <v>396</v>
      </c>
      <c r="I66" s="921" t="s">
        <v>52</v>
      </c>
      <c r="J66" s="872" t="s">
        <v>80</v>
      </c>
      <c r="K66" s="838" t="s">
        <v>81</v>
      </c>
      <c r="L66" s="370"/>
      <c r="M66" s="900"/>
      <c r="N66" s="901"/>
      <c r="O66" s="346"/>
      <c r="P66" s="346"/>
      <c r="Q66" s="346"/>
      <c r="R66" s="346"/>
      <c r="S66" s="346"/>
      <c r="T66" s="346"/>
      <c r="U66" s="372"/>
      <c r="V66" s="360"/>
      <c r="W66" s="360"/>
      <c r="X66" s="360"/>
      <c r="Y66" s="360"/>
      <c r="Z66" s="360"/>
      <c r="AA66" s="360"/>
      <c r="AB66" s="360"/>
      <c r="AC66" s="360"/>
    </row>
    <row r="67" spans="1:29">
      <c r="A67" s="321"/>
      <c r="B67" s="339"/>
      <c r="C67" s="1064">
        <v>44099</v>
      </c>
      <c r="D67" s="1065">
        <v>78</v>
      </c>
      <c r="E67" s="1260" t="s">
        <v>686</v>
      </c>
      <c r="F67" s="1340" t="s">
        <v>9</v>
      </c>
      <c r="G67" s="1133">
        <v>64</v>
      </c>
      <c r="H67" s="1008" t="s">
        <v>396</v>
      </c>
      <c r="I67" s="1179" t="s">
        <v>49</v>
      </c>
      <c r="J67" s="872" t="s">
        <v>80</v>
      </c>
      <c r="K67" s="873" t="s">
        <v>81</v>
      </c>
      <c r="L67" s="370"/>
      <c r="M67" s="373"/>
      <c r="N67" s="369"/>
      <c r="O67" s="369"/>
      <c r="P67" s="369"/>
      <c r="Q67" s="369"/>
      <c r="R67" s="369"/>
      <c r="S67" s="369"/>
      <c r="T67" s="369"/>
      <c r="U67" s="341"/>
      <c r="V67" s="321"/>
    </row>
    <row r="68" spans="1:29" s="362" customFormat="1" ht="30">
      <c r="A68" s="360"/>
      <c r="B68" s="361"/>
      <c r="C68" s="1064">
        <v>44099</v>
      </c>
      <c r="D68" s="1065"/>
      <c r="E68" s="1341" t="s">
        <v>687</v>
      </c>
      <c r="F68" s="1340" t="s">
        <v>9</v>
      </c>
      <c r="G68" s="1133">
        <v>65</v>
      </c>
      <c r="H68" s="1008" t="s">
        <v>311</v>
      </c>
      <c r="I68" s="922" t="s">
        <v>49</v>
      </c>
      <c r="J68" s="872" t="s">
        <v>80</v>
      </c>
      <c r="K68" s="873" t="s">
        <v>81</v>
      </c>
      <c r="L68" s="346"/>
      <c r="M68" s="373"/>
      <c r="N68" s="346"/>
      <c r="O68" s="346"/>
      <c r="P68" s="346"/>
      <c r="Q68" s="346"/>
      <c r="R68" s="346"/>
      <c r="S68" s="346"/>
      <c r="T68" s="346"/>
      <c r="U68" s="372"/>
      <c r="V68" s="360"/>
      <c r="W68" s="360"/>
      <c r="X68" s="360"/>
      <c r="Y68" s="360"/>
      <c r="Z68" s="360"/>
      <c r="AA68" s="360"/>
      <c r="AB68" s="360"/>
      <c r="AC68" s="360"/>
    </row>
    <row r="69" spans="1:29" s="362" customFormat="1">
      <c r="A69" s="360"/>
      <c r="B69" s="361"/>
      <c r="C69" s="1064"/>
      <c r="D69" s="1065">
        <v>81</v>
      </c>
      <c r="E69" s="1341" t="s">
        <v>703</v>
      </c>
      <c r="F69" s="1340" t="s">
        <v>9</v>
      </c>
      <c r="G69" s="1133"/>
      <c r="H69" s="1008" t="s">
        <v>572</v>
      </c>
      <c r="I69" s="922" t="s">
        <v>49</v>
      </c>
      <c r="J69" s="872" t="s">
        <v>80</v>
      </c>
      <c r="K69" s="873" t="s">
        <v>427</v>
      </c>
      <c r="L69" s="346"/>
      <c r="M69" s="373"/>
      <c r="N69" s="346"/>
      <c r="O69" s="346"/>
      <c r="P69" s="346"/>
      <c r="Q69" s="346"/>
      <c r="R69" s="346"/>
      <c r="S69" s="346"/>
      <c r="T69" s="346"/>
      <c r="U69" s="372"/>
      <c r="V69" s="360"/>
      <c r="W69" s="360"/>
      <c r="X69" s="360"/>
      <c r="Y69" s="360"/>
      <c r="Z69" s="360"/>
      <c r="AA69" s="360"/>
      <c r="AB69" s="360"/>
      <c r="AC69" s="360"/>
    </row>
    <row r="70" spans="1:29" s="362" customFormat="1" ht="14.25" customHeight="1" thickBot="1">
      <c r="A70" s="360"/>
      <c r="B70" s="381"/>
      <c r="C70" s="1064"/>
      <c r="D70" s="1065">
        <v>81</v>
      </c>
      <c r="E70" s="1341" t="s">
        <v>703</v>
      </c>
      <c r="F70" s="1340" t="s">
        <v>8</v>
      </c>
      <c r="G70" s="1133"/>
      <c r="H70" s="1008" t="s">
        <v>572</v>
      </c>
      <c r="I70" s="922" t="s">
        <v>49</v>
      </c>
      <c r="J70" s="872" t="s">
        <v>80</v>
      </c>
      <c r="K70" s="873" t="s">
        <v>427</v>
      </c>
      <c r="L70" s="388"/>
      <c r="M70" s="389"/>
      <c r="N70" s="388"/>
      <c r="O70" s="388"/>
      <c r="P70" s="388"/>
      <c r="Q70" s="388"/>
      <c r="R70" s="388"/>
      <c r="S70" s="388"/>
      <c r="T70" s="388"/>
      <c r="U70" s="390"/>
      <c r="V70" s="360"/>
      <c r="W70" s="360"/>
      <c r="X70" s="360"/>
      <c r="Y70" s="360"/>
      <c r="Z70" s="360"/>
      <c r="AA70" s="360"/>
      <c r="AB70" s="360"/>
      <c r="AC70" s="360"/>
    </row>
    <row r="71" spans="1:29" s="362" customFormat="1" ht="15.75" customHeight="1">
      <c r="A71" s="360"/>
      <c r="B71" s="360"/>
      <c r="C71" s="360"/>
      <c r="D71" s="391"/>
      <c r="E71" s="360"/>
      <c r="F71" s="360"/>
      <c r="G71" s="360"/>
      <c r="H71" s="360"/>
      <c r="I71" s="360"/>
      <c r="J71" s="360"/>
      <c r="K71" s="360"/>
      <c r="L71" s="360"/>
      <c r="M71" s="392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  <c r="AA71" s="360"/>
      <c r="AB71" s="360"/>
      <c r="AC71" s="360"/>
    </row>
    <row r="72" spans="1:29" s="362" customFormat="1">
      <c r="A72" s="360"/>
      <c r="B72" s="360"/>
      <c r="C72" s="360"/>
      <c r="D72" s="391"/>
      <c r="E72" s="360"/>
      <c r="F72" s="360"/>
      <c r="G72" s="360"/>
      <c r="H72" s="360"/>
      <c r="I72" s="360"/>
      <c r="J72" s="360"/>
      <c r="K72" s="360"/>
      <c r="L72" s="360"/>
      <c r="M72" s="392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360"/>
      <c r="AA72" s="360"/>
      <c r="AB72" s="360"/>
      <c r="AC72" s="360"/>
    </row>
    <row r="73" spans="1:29" s="362" customFormat="1">
      <c r="A73" s="360"/>
      <c r="B73" s="360"/>
      <c r="C73" s="360"/>
      <c r="D73" s="391"/>
      <c r="E73" s="360"/>
      <c r="F73" s="360"/>
      <c r="G73" s="360"/>
      <c r="H73" s="360"/>
      <c r="I73" s="360"/>
      <c r="J73" s="360"/>
      <c r="K73" s="360"/>
      <c r="L73" s="360"/>
      <c r="M73" s="392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60"/>
      <c r="AB73" s="360"/>
      <c r="AC73" s="360"/>
    </row>
    <row r="74" spans="1:29" s="362" customFormat="1">
      <c r="A74" s="360"/>
      <c r="B74" s="360"/>
      <c r="C74" s="360"/>
      <c r="D74" s="391"/>
      <c r="E74" s="360"/>
      <c r="F74" s="360"/>
      <c r="G74" s="360"/>
      <c r="H74" s="360"/>
      <c r="I74" s="360"/>
      <c r="J74" s="360"/>
      <c r="K74" s="360"/>
      <c r="L74" s="360"/>
      <c r="M74" s="392"/>
      <c r="N74" s="360"/>
      <c r="O74" s="360"/>
      <c r="P74" s="360"/>
      <c r="Q74" s="360"/>
      <c r="R74" s="360"/>
      <c r="S74" s="360"/>
      <c r="T74" s="360"/>
      <c r="U74" s="360"/>
      <c r="V74" s="360"/>
      <c r="W74" s="360"/>
      <c r="X74" s="360"/>
      <c r="Y74" s="360"/>
      <c r="Z74" s="360"/>
      <c r="AA74" s="360"/>
      <c r="AB74" s="360"/>
      <c r="AC74" s="360"/>
    </row>
    <row r="75" spans="1:29" s="362" customFormat="1">
      <c r="A75" s="360"/>
      <c r="B75" s="360"/>
      <c r="C75" s="360"/>
      <c r="D75" s="391"/>
      <c r="E75" s="360"/>
      <c r="F75" s="360"/>
      <c r="G75" s="360"/>
      <c r="H75" s="360"/>
      <c r="I75" s="360"/>
      <c r="J75" s="360"/>
      <c r="K75" s="360"/>
      <c r="L75" s="360"/>
      <c r="M75" s="392"/>
      <c r="N75" s="360"/>
      <c r="O75" s="360"/>
      <c r="P75" s="360"/>
      <c r="Q75" s="360"/>
      <c r="R75" s="360"/>
      <c r="S75" s="360"/>
      <c r="T75" s="360"/>
      <c r="U75" s="360"/>
      <c r="V75" s="360"/>
      <c r="W75" s="360"/>
      <c r="X75" s="360"/>
      <c r="Y75" s="360"/>
      <c r="Z75" s="360"/>
      <c r="AA75" s="360"/>
      <c r="AB75" s="360"/>
      <c r="AC75" s="360"/>
    </row>
    <row r="76" spans="1:29" s="362" customFormat="1">
      <c r="A76" s="360"/>
      <c r="B76" s="360"/>
      <c r="C76" s="360"/>
      <c r="D76" s="391"/>
      <c r="E76" s="360"/>
      <c r="F76" s="360"/>
      <c r="G76" s="360"/>
      <c r="H76" s="360"/>
      <c r="I76" s="360"/>
      <c r="J76" s="360"/>
      <c r="K76" s="360"/>
      <c r="L76" s="360"/>
      <c r="M76" s="392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  <c r="Y76" s="360"/>
      <c r="Z76" s="360"/>
      <c r="AA76" s="360"/>
      <c r="AB76" s="360"/>
      <c r="AC76" s="360"/>
    </row>
    <row r="77" spans="1:29" s="362" customFormat="1">
      <c r="A77" s="360"/>
      <c r="B77" s="360"/>
      <c r="C77" s="360"/>
      <c r="D77" s="391"/>
      <c r="E77" s="360"/>
      <c r="F77" s="360"/>
      <c r="G77" s="360"/>
      <c r="H77" s="360"/>
      <c r="I77" s="360"/>
      <c r="J77" s="360"/>
      <c r="K77" s="360"/>
      <c r="L77" s="360"/>
      <c r="M77" s="392"/>
      <c r="N77" s="360"/>
      <c r="O77" s="360"/>
      <c r="P77" s="360"/>
      <c r="Q77" s="360"/>
      <c r="R77" s="360"/>
      <c r="S77" s="360"/>
      <c r="T77" s="360"/>
      <c r="U77" s="360"/>
      <c r="V77" s="360"/>
      <c r="W77" s="360"/>
      <c r="X77" s="360"/>
      <c r="Y77" s="360"/>
      <c r="Z77" s="360"/>
      <c r="AA77" s="360"/>
      <c r="AB77" s="360"/>
      <c r="AC77" s="360"/>
    </row>
    <row r="78" spans="1:29" s="362" customFormat="1">
      <c r="A78" s="360"/>
      <c r="B78" s="360"/>
      <c r="C78" s="360"/>
      <c r="D78" s="391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  <c r="S78" s="360"/>
      <c r="T78" s="360"/>
      <c r="U78" s="360"/>
      <c r="V78" s="360"/>
      <c r="W78" s="360"/>
      <c r="X78" s="360"/>
      <c r="Y78" s="360"/>
      <c r="Z78" s="360"/>
      <c r="AA78" s="360"/>
      <c r="AB78" s="360"/>
      <c r="AC78" s="360"/>
    </row>
    <row r="79" spans="1:29" s="362" customFormat="1">
      <c r="A79" s="360"/>
      <c r="B79" s="360"/>
      <c r="C79" s="360"/>
      <c r="D79" s="391"/>
      <c r="E79" s="360"/>
      <c r="F79" s="360"/>
      <c r="G79" s="360"/>
      <c r="H79" s="360"/>
      <c r="I79" s="360"/>
      <c r="J79" s="360"/>
      <c r="K79" s="360"/>
      <c r="L79" s="360"/>
      <c r="M79" s="392"/>
      <c r="N79" s="360"/>
      <c r="O79" s="360"/>
      <c r="P79" s="360"/>
      <c r="Q79" s="360"/>
      <c r="R79" s="360"/>
      <c r="S79" s="360"/>
      <c r="T79" s="360"/>
      <c r="U79" s="360"/>
      <c r="V79" s="360"/>
      <c r="W79" s="360"/>
      <c r="X79" s="360"/>
      <c r="Y79" s="360"/>
      <c r="Z79" s="360"/>
      <c r="AA79" s="360"/>
      <c r="AB79" s="360"/>
      <c r="AC79" s="360"/>
    </row>
    <row r="80" spans="1:29" s="362" customFormat="1">
      <c r="A80" s="360"/>
      <c r="B80" s="360"/>
      <c r="C80" s="360"/>
      <c r="D80" s="391"/>
      <c r="E80" s="360"/>
      <c r="F80" s="360"/>
      <c r="G80" s="360"/>
      <c r="H80" s="360"/>
      <c r="I80" s="360"/>
      <c r="J80" s="360"/>
      <c r="K80" s="360"/>
      <c r="L80" s="360"/>
      <c r="M80" s="392"/>
      <c r="N80" s="360"/>
      <c r="O80" s="360"/>
      <c r="P80" s="360"/>
      <c r="Q80" s="360"/>
      <c r="R80" s="360"/>
      <c r="S80" s="360"/>
      <c r="T80" s="360"/>
      <c r="U80" s="360"/>
      <c r="V80" s="360"/>
      <c r="W80" s="360"/>
      <c r="X80" s="360"/>
      <c r="Y80" s="360"/>
      <c r="Z80" s="360"/>
      <c r="AA80" s="360"/>
      <c r="AB80" s="360"/>
      <c r="AC80" s="360"/>
    </row>
    <row r="81" spans="1:29" s="362" customFormat="1">
      <c r="A81" s="360"/>
      <c r="B81" s="360"/>
      <c r="C81" s="360"/>
      <c r="D81" s="391"/>
      <c r="E81" s="360"/>
      <c r="F81" s="360"/>
      <c r="G81" s="360"/>
      <c r="H81" s="360"/>
      <c r="I81" s="360"/>
      <c r="J81" s="360"/>
      <c r="K81" s="360"/>
      <c r="L81" s="360"/>
      <c r="M81" s="392"/>
      <c r="N81" s="360"/>
      <c r="O81" s="360"/>
      <c r="P81" s="360"/>
      <c r="Q81" s="360"/>
      <c r="R81" s="360"/>
      <c r="S81" s="360"/>
      <c r="T81" s="360"/>
      <c r="U81" s="360"/>
      <c r="V81" s="360"/>
      <c r="W81" s="360"/>
      <c r="X81" s="360"/>
      <c r="Y81" s="360"/>
      <c r="Z81" s="360"/>
      <c r="AA81" s="360"/>
      <c r="AB81" s="360"/>
      <c r="AC81" s="360"/>
    </row>
    <row r="82" spans="1:29" s="362" customFormat="1">
      <c r="A82" s="360"/>
      <c r="B82" s="360"/>
      <c r="C82" s="360"/>
      <c r="D82" s="391"/>
      <c r="E82" s="360"/>
      <c r="F82" s="360"/>
      <c r="G82" s="360"/>
      <c r="H82" s="360"/>
      <c r="I82" s="360"/>
      <c r="J82" s="360"/>
      <c r="K82" s="360"/>
      <c r="L82" s="360"/>
      <c r="M82" s="392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60"/>
      <c r="AB82" s="360"/>
      <c r="AC82" s="360"/>
    </row>
    <row r="83" spans="1:29" s="362" customFormat="1">
      <c r="A83" s="360"/>
      <c r="B83" s="360"/>
      <c r="C83" s="360"/>
      <c r="D83" s="391"/>
      <c r="E83" s="360"/>
      <c r="F83" s="360"/>
      <c r="G83" s="360"/>
      <c r="H83" s="360"/>
      <c r="I83" s="360"/>
      <c r="J83" s="360"/>
      <c r="K83" s="360"/>
      <c r="L83" s="360"/>
      <c r="M83" s="392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60"/>
      <c r="AB83" s="360"/>
      <c r="AC83" s="360"/>
    </row>
    <row r="84" spans="1:29" s="362" customFormat="1">
      <c r="A84" s="327"/>
      <c r="B84" s="360"/>
      <c r="C84" s="878"/>
      <c r="D84" s="393"/>
      <c r="E84" s="324"/>
      <c r="F84" s="321"/>
      <c r="G84" s="325"/>
      <c r="H84" s="321"/>
      <c r="I84" s="351"/>
      <c r="J84" s="322"/>
      <c r="K84" s="360"/>
      <c r="L84" s="394"/>
      <c r="M84" s="392"/>
      <c r="N84" s="360"/>
      <c r="O84" s="360"/>
      <c r="P84" s="360"/>
      <c r="Q84" s="360"/>
      <c r="R84" s="360"/>
      <c r="S84" s="360"/>
      <c r="T84" s="360"/>
      <c r="U84" s="360"/>
      <c r="V84" s="360"/>
      <c r="W84" s="360"/>
      <c r="X84" s="360"/>
      <c r="Y84" s="360"/>
      <c r="Z84" s="360"/>
      <c r="AA84" s="360"/>
      <c r="AB84" s="360"/>
      <c r="AC84" s="360"/>
    </row>
    <row r="85" spans="1:29" s="362" customFormat="1">
      <c r="A85" s="327"/>
      <c r="B85" s="1097"/>
      <c r="C85" s="351"/>
      <c r="D85" s="323"/>
      <c r="E85" s="360"/>
      <c r="F85" s="360"/>
      <c r="G85" s="360"/>
      <c r="H85" s="360"/>
      <c r="I85" s="360"/>
      <c r="J85" s="360"/>
      <c r="K85" s="360"/>
      <c r="L85" s="360"/>
      <c r="M85" s="392"/>
      <c r="N85" s="360"/>
      <c r="O85" s="360"/>
      <c r="P85" s="360"/>
      <c r="Q85" s="360"/>
      <c r="R85" s="360"/>
      <c r="S85" s="360"/>
      <c r="T85" s="360"/>
      <c r="U85" s="360"/>
      <c r="V85" s="360"/>
      <c r="W85" s="360"/>
      <c r="X85" s="360"/>
      <c r="Y85" s="360"/>
      <c r="Z85" s="360"/>
      <c r="AA85" s="360"/>
      <c r="AB85" s="360"/>
      <c r="AC85" s="360"/>
    </row>
    <row r="86" spans="1:29" s="362" customFormat="1">
      <c r="A86" s="327"/>
      <c r="B86" s="1097"/>
      <c r="C86" s="351"/>
      <c r="D86" s="323"/>
      <c r="E86" s="360"/>
      <c r="F86" s="360"/>
      <c r="G86" s="360"/>
      <c r="H86" s="360"/>
      <c r="I86" s="360"/>
      <c r="J86" s="360"/>
      <c r="K86" s="360"/>
      <c r="L86" s="360"/>
      <c r="M86" s="392"/>
      <c r="N86" s="360"/>
      <c r="O86" s="360"/>
      <c r="P86" s="360"/>
      <c r="Q86" s="360"/>
      <c r="R86" s="360"/>
      <c r="S86" s="360"/>
      <c r="T86" s="360"/>
      <c r="U86" s="360"/>
      <c r="V86" s="360"/>
      <c r="W86" s="360"/>
      <c r="X86" s="360"/>
      <c r="Y86" s="360"/>
      <c r="Z86" s="360"/>
      <c r="AA86" s="360"/>
      <c r="AB86" s="360"/>
      <c r="AC86" s="360"/>
    </row>
    <row r="87" spans="1:29" s="362" customFormat="1">
      <c r="A87" s="327"/>
      <c r="B87" s="327"/>
      <c r="C87" s="351"/>
      <c r="D87" s="323"/>
      <c r="E87" s="360"/>
      <c r="F87" s="360"/>
      <c r="G87" s="360"/>
      <c r="H87" s="360"/>
      <c r="I87" s="360"/>
      <c r="J87" s="360"/>
      <c r="K87" s="360"/>
      <c r="L87" s="360"/>
      <c r="M87" s="392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  <c r="Z87" s="360"/>
      <c r="AA87" s="360"/>
      <c r="AB87" s="360"/>
      <c r="AC87" s="360"/>
    </row>
    <row r="88" spans="1:29" s="399" customFormat="1">
      <c r="A88" s="395"/>
      <c r="B88" s="395"/>
      <c r="C88" s="351"/>
      <c r="D88" s="323"/>
      <c r="E88" s="360"/>
      <c r="F88" s="360"/>
      <c r="G88" s="360"/>
      <c r="H88" s="360"/>
      <c r="I88" s="360"/>
      <c r="J88" s="360"/>
      <c r="K88" s="360"/>
      <c r="L88" s="396"/>
      <c r="M88" s="397"/>
      <c r="N88" s="398"/>
      <c r="O88" s="398"/>
      <c r="P88" s="398"/>
      <c r="Q88" s="398"/>
      <c r="R88" s="398"/>
      <c r="S88" s="398"/>
      <c r="T88" s="398"/>
      <c r="U88" s="398"/>
      <c r="V88" s="398"/>
      <c r="W88" s="398"/>
      <c r="X88" s="398"/>
      <c r="Y88" s="398"/>
      <c r="Z88" s="398"/>
      <c r="AA88" s="398"/>
      <c r="AB88" s="398"/>
      <c r="AC88" s="398"/>
    </row>
    <row r="89" spans="1:29">
      <c r="A89" s="326"/>
      <c r="B89" s="326"/>
      <c r="C89" s="351"/>
      <c r="D89" s="323"/>
      <c r="E89" s="360"/>
      <c r="F89" s="360"/>
      <c r="G89" s="360"/>
      <c r="H89" s="360"/>
      <c r="I89" s="360"/>
      <c r="J89" s="360"/>
      <c r="K89" s="360"/>
      <c r="L89" s="360"/>
      <c r="M89" s="392"/>
      <c r="N89" s="321"/>
      <c r="O89" s="321"/>
      <c r="P89" s="321"/>
      <c r="Q89" s="321"/>
      <c r="R89" s="321"/>
      <c r="S89" s="321"/>
      <c r="T89" s="321"/>
      <c r="U89" s="321"/>
      <c r="V89" s="321"/>
    </row>
    <row r="90" spans="1:29">
      <c r="A90" s="326"/>
      <c r="B90" s="326"/>
      <c r="C90" s="351"/>
      <c r="D90" s="323"/>
      <c r="E90" s="360"/>
      <c r="F90" s="360"/>
      <c r="G90" s="360"/>
      <c r="H90" s="360"/>
      <c r="I90" s="360"/>
      <c r="J90" s="360"/>
      <c r="K90" s="360"/>
      <c r="L90" s="360"/>
      <c r="M90" s="392"/>
      <c r="N90" s="321"/>
      <c r="O90" s="321"/>
      <c r="P90" s="321"/>
      <c r="Q90" s="321"/>
      <c r="R90" s="321"/>
      <c r="S90" s="321"/>
      <c r="T90" s="321"/>
      <c r="U90" s="321"/>
      <c r="V90" s="321"/>
    </row>
    <row r="91" spans="1:29" ht="23.25" customHeight="1">
      <c r="A91" s="326"/>
      <c r="B91" s="326"/>
      <c r="C91" s="351"/>
      <c r="D91" s="323"/>
      <c r="E91" s="360"/>
      <c r="F91" s="360"/>
      <c r="G91" s="360"/>
      <c r="H91" s="360"/>
      <c r="I91" s="360"/>
      <c r="J91" s="360"/>
      <c r="K91" s="360"/>
      <c r="L91" s="360"/>
      <c r="M91" s="392"/>
      <c r="N91" s="321"/>
      <c r="O91" s="321"/>
      <c r="P91" s="321"/>
      <c r="Q91" s="321"/>
      <c r="R91" s="321"/>
      <c r="S91" s="321"/>
      <c r="T91" s="321"/>
      <c r="U91" s="321"/>
      <c r="V91" s="321"/>
    </row>
    <row r="92" spans="1:29" ht="15.75" customHeight="1">
      <c r="A92" s="326"/>
      <c r="B92" s="321"/>
      <c r="C92" s="351"/>
      <c r="D92" s="323"/>
      <c r="E92" s="360"/>
      <c r="F92" s="360"/>
      <c r="G92" s="360"/>
      <c r="H92" s="360"/>
      <c r="I92" s="360"/>
      <c r="J92" s="360"/>
      <c r="K92" s="360"/>
      <c r="L92" s="360"/>
      <c r="M92" s="392"/>
      <c r="N92" s="321"/>
      <c r="O92" s="321"/>
      <c r="P92" s="321"/>
      <c r="Q92" s="392"/>
      <c r="R92" s="321"/>
      <c r="S92" s="321"/>
      <c r="T92" s="321"/>
      <c r="U92" s="321"/>
      <c r="V92" s="321"/>
    </row>
    <row r="93" spans="1:29" ht="15.75" customHeight="1">
      <c r="A93" s="321"/>
      <c r="B93" s="321"/>
      <c r="C93" s="351"/>
      <c r="D93" s="323"/>
      <c r="E93" s="324"/>
      <c r="F93" s="321"/>
      <c r="G93" s="325"/>
      <c r="H93" s="321"/>
      <c r="I93" s="321"/>
      <c r="J93" s="322"/>
      <c r="K93" s="321"/>
      <c r="L93" s="360"/>
      <c r="M93" s="392"/>
      <c r="N93" s="321"/>
      <c r="O93" s="321"/>
      <c r="P93" s="321"/>
      <c r="Q93" s="392"/>
      <c r="R93" s="321"/>
      <c r="S93" s="321"/>
      <c r="T93" s="321"/>
      <c r="U93" s="321"/>
      <c r="V93" s="321"/>
    </row>
    <row r="94" spans="1:29" ht="15.75" customHeight="1">
      <c r="A94" s="321"/>
      <c r="B94" s="321"/>
      <c r="C94" s="351"/>
      <c r="D94" s="323"/>
      <c r="E94" s="324"/>
      <c r="F94" s="321"/>
      <c r="G94" s="325"/>
      <c r="H94" s="321"/>
      <c r="I94" s="321"/>
      <c r="J94" s="322"/>
      <c r="K94" s="321"/>
      <c r="L94" s="360"/>
      <c r="M94" s="392"/>
      <c r="N94" s="321"/>
      <c r="O94" s="321"/>
      <c r="P94" s="321"/>
      <c r="Q94" s="392"/>
      <c r="R94" s="321"/>
      <c r="S94" s="321"/>
      <c r="T94" s="321"/>
      <c r="U94" s="321"/>
      <c r="V94" s="321"/>
    </row>
    <row r="95" spans="1:29">
      <c r="A95" s="321"/>
      <c r="B95" s="321"/>
      <c r="C95" s="351"/>
      <c r="D95" s="323"/>
      <c r="E95" s="324"/>
      <c r="F95" s="321"/>
      <c r="G95" s="325"/>
      <c r="H95" s="321"/>
      <c r="I95" s="321"/>
      <c r="J95" s="322"/>
      <c r="K95" s="321"/>
      <c r="L95" s="360"/>
      <c r="M95" s="392"/>
      <c r="N95" s="321"/>
      <c r="O95" s="321"/>
      <c r="P95" s="321"/>
      <c r="Q95" s="392"/>
      <c r="R95" s="321"/>
      <c r="S95" s="321"/>
      <c r="T95" s="321"/>
      <c r="U95" s="321"/>
      <c r="V95" s="321"/>
    </row>
    <row r="96" spans="1:29">
      <c r="A96" s="321"/>
      <c r="B96" s="321"/>
      <c r="C96" s="351"/>
      <c r="D96" s="323"/>
      <c r="E96" s="324"/>
      <c r="F96" s="321"/>
      <c r="G96" s="325"/>
      <c r="H96" s="321"/>
      <c r="I96" s="321"/>
      <c r="J96" s="322"/>
      <c r="K96" s="321"/>
      <c r="L96" s="360"/>
      <c r="M96" s="392"/>
      <c r="N96" s="321"/>
      <c r="O96" s="321"/>
      <c r="P96" s="321"/>
      <c r="Q96" s="392"/>
      <c r="R96" s="321"/>
      <c r="S96" s="321"/>
      <c r="T96" s="321"/>
      <c r="U96" s="321"/>
      <c r="V96" s="321"/>
    </row>
    <row r="97" spans="1:22">
      <c r="A97" s="321"/>
      <c r="B97" s="321"/>
      <c r="C97" s="351"/>
      <c r="D97" s="323"/>
      <c r="E97" s="324"/>
      <c r="F97" s="321"/>
      <c r="G97" s="325"/>
      <c r="H97" s="321"/>
      <c r="I97" s="321"/>
      <c r="J97" s="322"/>
      <c r="K97" s="321"/>
      <c r="L97" s="360"/>
      <c r="M97" s="392"/>
      <c r="N97" s="321"/>
      <c r="O97" s="321"/>
      <c r="P97" s="321"/>
      <c r="Q97" s="392"/>
      <c r="R97" s="321"/>
      <c r="S97" s="321"/>
      <c r="T97" s="321"/>
      <c r="U97" s="321"/>
      <c r="V97" s="321"/>
    </row>
    <row r="98" spans="1:22">
      <c r="A98" s="321"/>
      <c r="B98" s="321"/>
      <c r="C98" s="351"/>
      <c r="D98" s="323"/>
      <c r="E98" s="324"/>
      <c r="F98" s="321"/>
      <c r="G98" s="325"/>
      <c r="H98" s="321"/>
      <c r="I98" s="321"/>
      <c r="J98" s="322"/>
      <c r="K98" s="321"/>
      <c r="L98" s="360"/>
      <c r="M98" s="392"/>
      <c r="N98" s="321"/>
      <c r="O98" s="321"/>
      <c r="P98" s="321"/>
      <c r="Q98" s="392"/>
      <c r="R98" s="321"/>
      <c r="S98" s="321"/>
      <c r="T98" s="321"/>
      <c r="U98" s="321"/>
      <c r="V98" s="321"/>
    </row>
    <row r="99" spans="1:22">
      <c r="A99" s="321"/>
      <c r="B99" s="321"/>
      <c r="C99" s="351"/>
      <c r="D99" s="323"/>
      <c r="E99" s="324"/>
      <c r="F99" s="321"/>
      <c r="G99" s="325"/>
      <c r="H99" s="321"/>
      <c r="I99" s="321"/>
      <c r="J99" s="322"/>
      <c r="K99" s="321"/>
      <c r="L99" s="360"/>
      <c r="M99" s="392"/>
      <c r="N99" s="321"/>
      <c r="O99" s="321"/>
      <c r="P99" s="321"/>
      <c r="Q99" s="392"/>
      <c r="R99" s="321"/>
      <c r="S99" s="321"/>
      <c r="T99" s="321"/>
      <c r="U99" s="321"/>
      <c r="V99" s="321"/>
    </row>
    <row r="100" spans="1:22">
      <c r="A100" s="321"/>
      <c r="B100" s="321"/>
      <c r="C100" s="351"/>
      <c r="D100" s="323"/>
      <c r="E100" s="324"/>
      <c r="F100" s="321"/>
      <c r="G100" s="325"/>
      <c r="H100" s="321"/>
      <c r="I100" s="321"/>
      <c r="J100" s="322"/>
      <c r="K100" s="321"/>
      <c r="L100" s="360"/>
      <c r="M100" s="392"/>
      <c r="N100" s="321"/>
      <c r="O100" s="321"/>
      <c r="P100" s="321"/>
      <c r="Q100" s="392"/>
      <c r="R100" s="321"/>
      <c r="S100" s="321"/>
      <c r="T100" s="321"/>
      <c r="U100" s="321"/>
      <c r="V100" s="321"/>
    </row>
    <row r="101" spans="1:22" ht="15.75" customHeight="1">
      <c r="A101" s="321"/>
      <c r="B101" s="321"/>
      <c r="C101" s="351"/>
      <c r="D101" s="323"/>
      <c r="E101" s="324"/>
      <c r="F101" s="321"/>
      <c r="G101" s="325"/>
      <c r="H101" s="321"/>
      <c r="I101" s="321"/>
      <c r="J101" s="322"/>
      <c r="K101" s="321"/>
      <c r="L101" s="360"/>
      <c r="M101" s="392"/>
      <c r="N101" s="321"/>
      <c r="O101" s="321"/>
      <c r="P101" s="321"/>
      <c r="Q101" s="321"/>
      <c r="R101" s="321"/>
      <c r="S101" s="321"/>
      <c r="T101" s="321"/>
      <c r="U101" s="321"/>
      <c r="V101" s="321"/>
    </row>
    <row r="102" spans="1:22">
      <c r="A102" s="321"/>
      <c r="B102" s="321"/>
      <c r="C102" s="351"/>
      <c r="D102" s="323"/>
      <c r="E102" s="324"/>
      <c r="F102" s="321"/>
      <c r="G102" s="325"/>
      <c r="H102" s="321"/>
      <c r="I102" s="321"/>
      <c r="J102" s="322"/>
      <c r="K102" s="321"/>
      <c r="L102" s="360"/>
      <c r="M102" s="392"/>
      <c r="N102" s="321"/>
      <c r="O102" s="321"/>
      <c r="P102" s="321"/>
      <c r="Q102" s="321"/>
      <c r="R102" s="321"/>
      <c r="S102" s="321"/>
      <c r="T102" s="321"/>
      <c r="U102" s="321"/>
      <c r="V102" s="321"/>
    </row>
    <row r="103" spans="1:22">
      <c r="A103" s="321"/>
      <c r="B103" s="321"/>
      <c r="C103" s="351"/>
      <c r="D103" s="323"/>
      <c r="E103" s="324"/>
      <c r="F103" s="321"/>
      <c r="G103" s="325"/>
      <c r="H103" s="321"/>
      <c r="I103" s="321"/>
      <c r="J103" s="322"/>
      <c r="K103" s="321"/>
      <c r="L103" s="360"/>
      <c r="M103" s="392"/>
      <c r="N103" s="321"/>
      <c r="O103" s="321"/>
      <c r="P103" s="321"/>
      <c r="Q103" s="321"/>
      <c r="R103" s="321"/>
      <c r="S103" s="321"/>
      <c r="T103" s="321"/>
      <c r="U103" s="321"/>
      <c r="V103" s="321"/>
    </row>
    <row r="104" spans="1:22">
      <c r="A104" s="321"/>
      <c r="B104" s="321"/>
      <c r="C104" s="351"/>
      <c r="D104" s="323"/>
      <c r="E104" s="324"/>
      <c r="F104" s="321"/>
      <c r="G104" s="325"/>
      <c r="H104" s="321"/>
      <c r="I104" s="321"/>
      <c r="J104" s="322"/>
      <c r="K104" s="321"/>
      <c r="L104" s="360"/>
      <c r="M104" s="392"/>
      <c r="N104" s="321"/>
      <c r="O104" s="321"/>
      <c r="P104" s="321"/>
      <c r="Q104" s="321"/>
      <c r="R104" s="321"/>
      <c r="S104" s="321"/>
      <c r="T104" s="321"/>
      <c r="U104" s="321"/>
      <c r="V104" s="321"/>
    </row>
    <row r="105" spans="1:22">
      <c r="A105" s="321"/>
      <c r="B105" s="321"/>
      <c r="C105" s="351"/>
      <c r="D105" s="323"/>
      <c r="E105" s="324"/>
      <c r="F105" s="321"/>
      <c r="G105" s="325"/>
      <c r="H105" s="321"/>
      <c r="I105" s="321"/>
      <c r="J105" s="322"/>
      <c r="K105" s="321"/>
      <c r="L105" s="360"/>
      <c r="M105" s="392"/>
      <c r="N105" s="321"/>
      <c r="O105" s="321"/>
      <c r="P105" s="321"/>
      <c r="Q105" s="321"/>
      <c r="R105" s="321"/>
      <c r="S105" s="321"/>
      <c r="T105" s="321"/>
      <c r="U105" s="321"/>
      <c r="V105" s="321"/>
    </row>
    <row r="106" spans="1:22">
      <c r="A106" s="321"/>
      <c r="B106" s="321"/>
      <c r="C106" s="351"/>
      <c r="D106" s="323"/>
      <c r="E106" s="324"/>
      <c r="F106" s="321"/>
      <c r="G106" s="325"/>
      <c r="H106" s="321"/>
      <c r="I106" s="321"/>
      <c r="J106" s="322"/>
      <c r="K106" s="321"/>
      <c r="L106" s="360"/>
      <c r="M106" s="392"/>
      <c r="N106" s="321"/>
      <c r="O106" s="321"/>
      <c r="P106" s="321"/>
      <c r="Q106" s="321"/>
      <c r="R106" s="321"/>
      <c r="S106" s="321"/>
      <c r="T106" s="321"/>
      <c r="U106" s="321"/>
      <c r="V106" s="321"/>
    </row>
    <row r="107" spans="1:22">
      <c r="A107" s="321"/>
      <c r="B107" s="321"/>
      <c r="C107" s="351"/>
      <c r="D107" s="323"/>
      <c r="E107" s="324"/>
      <c r="F107" s="321"/>
      <c r="G107" s="325"/>
      <c r="H107" s="321"/>
      <c r="I107" s="321"/>
      <c r="J107" s="322"/>
      <c r="K107" s="321"/>
      <c r="L107" s="360"/>
      <c r="M107" s="392"/>
      <c r="N107" s="321"/>
      <c r="O107" s="321"/>
      <c r="P107" s="321"/>
      <c r="Q107" s="321"/>
      <c r="R107" s="321"/>
      <c r="S107" s="321"/>
      <c r="T107" s="321"/>
      <c r="U107" s="321"/>
      <c r="V107" s="321"/>
    </row>
    <row r="108" spans="1:22">
      <c r="A108" s="321"/>
      <c r="B108" s="321"/>
      <c r="C108" s="351"/>
      <c r="D108" s="323"/>
      <c r="E108" s="324"/>
      <c r="F108" s="321"/>
      <c r="G108" s="325"/>
      <c r="H108" s="321"/>
      <c r="I108" s="321"/>
      <c r="J108" s="322"/>
      <c r="K108" s="321"/>
      <c r="L108" s="360"/>
      <c r="M108" s="392"/>
      <c r="N108" s="321"/>
      <c r="O108" s="321"/>
      <c r="P108" s="321"/>
      <c r="Q108" s="321"/>
      <c r="R108" s="321"/>
      <c r="S108" s="321"/>
      <c r="T108" s="321"/>
      <c r="U108" s="321"/>
      <c r="V108" s="321"/>
    </row>
    <row r="109" spans="1:22">
      <c r="A109" s="321"/>
      <c r="B109" s="321"/>
      <c r="C109" s="351"/>
      <c r="D109" s="323"/>
      <c r="E109" s="324"/>
      <c r="F109" s="321"/>
      <c r="G109" s="325"/>
      <c r="H109" s="321"/>
      <c r="I109" s="321"/>
      <c r="J109" s="322"/>
      <c r="K109" s="321"/>
      <c r="L109" s="360"/>
      <c r="M109" s="392"/>
      <c r="N109" s="321"/>
      <c r="O109" s="321"/>
      <c r="P109" s="321"/>
      <c r="Q109" s="368"/>
      <c r="R109" s="321"/>
      <c r="S109" s="321"/>
      <c r="T109" s="321"/>
      <c r="U109" s="321"/>
      <c r="V109" s="321"/>
    </row>
    <row r="110" spans="1:22">
      <c r="A110" s="321"/>
      <c r="B110" s="321"/>
      <c r="C110" s="351"/>
      <c r="D110" s="323"/>
      <c r="E110" s="324"/>
      <c r="F110" s="321"/>
      <c r="G110" s="325"/>
      <c r="H110" s="321"/>
      <c r="I110" s="321"/>
      <c r="J110" s="322"/>
      <c r="K110" s="321"/>
      <c r="L110" s="360"/>
      <c r="M110" s="392"/>
      <c r="N110" s="321"/>
      <c r="O110" s="321"/>
      <c r="P110" s="321"/>
      <c r="Q110" s="321"/>
      <c r="R110" s="321"/>
      <c r="S110" s="321"/>
      <c r="T110" s="321"/>
      <c r="U110" s="321"/>
      <c r="V110" s="321"/>
    </row>
    <row r="111" spans="1:22">
      <c r="A111" s="321"/>
      <c r="B111" s="321"/>
      <c r="C111" s="351"/>
      <c r="D111" s="323"/>
      <c r="E111" s="324"/>
      <c r="F111" s="321"/>
      <c r="G111" s="325"/>
      <c r="H111" s="321"/>
      <c r="I111" s="321"/>
      <c r="J111" s="322"/>
      <c r="K111" s="321"/>
      <c r="L111" s="360"/>
      <c r="M111" s="392"/>
      <c r="N111" s="321"/>
      <c r="O111" s="321"/>
      <c r="P111" s="321"/>
      <c r="Q111" s="321"/>
      <c r="R111" s="321"/>
      <c r="S111" s="321"/>
      <c r="T111" s="321"/>
      <c r="U111" s="321"/>
      <c r="V111" s="321"/>
    </row>
    <row r="112" spans="1:22">
      <c r="A112" s="321"/>
      <c r="B112" s="321"/>
      <c r="C112" s="351"/>
      <c r="D112" s="323"/>
      <c r="E112" s="324"/>
      <c r="F112" s="321"/>
      <c r="G112" s="325"/>
      <c r="H112" s="321"/>
      <c r="I112" s="321"/>
      <c r="J112" s="322"/>
      <c r="K112" s="321"/>
      <c r="L112" s="360"/>
      <c r="M112" s="392"/>
      <c r="N112" s="321"/>
      <c r="O112" s="321"/>
      <c r="P112" s="321"/>
      <c r="Q112" s="321"/>
      <c r="R112" s="321"/>
      <c r="S112" s="321"/>
      <c r="T112" s="321"/>
      <c r="U112" s="321"/>
      <c r="V112" s="321"/>
    </row>
    <row r="113" spans="1:22">
      <c r="A113" s="321"/>
      <c r="B113" s="321"/>
      <c r="C113" s="351"/>
      <c r="D113" s="323"/>
      <c r="E113" s="324"/>
      <c r="F113" s="321"/>
      <c r="G113" s="325"/>
      <c r="H113" s="321"/>
      <c r="I113" s="321"/>
      <c r="J113" s="322"/>
      <c r="K113" s="321"/>
      <c r="L113" s="360"/>
      <c r="M113" s="392"/>
      <c r="N113" s="321"/>
      <c r="O113" s="321"/>
      <c r="P113" s="321"/>
      <c r="Q113" s="321"/>
      <c r="R113" s="321"/>
      <c r="S113" s="321"/>
      <c r="T113" s="321"/>
      <c r="U113" s="321"/>
      <c r="V113" s="321"/>
    </row>
    <row r="114" spans="1:22">
      <c r="A114" s="321"/>
      <c r="B114" s="321"/>
      <c r="C114" s="351"/>
      <c r="D114" s="323"/>
      <c r="E114" s="324"/>
      <c r="F114" s="321"/>
      <c r="G114" s="325"/>
      <c r="H114" s="321"/>
      <c r="I114" s="321"/>
      <c r="J114" s="322"/>
      <c r="K114" s="321"/>
      <c r="L114" s="360"/>
      <c r="M114" s="392"/>
      <c r="N114" s="321"/>
      <c r="O114" s="321"/>
      <c r="P114" s="321"/>
      <c r="Q114" s="321"/>
      <c r="R114" s="321"/>
      <c r="S114" s="321"/>
      <c r="T114" s="321"/>
      <c r="U114" s="321"/>
      <c r="V114" s="321"/>
    </row>
    <row r="115" spans="1:22">
      <c r="A115" s="321"/>
      <c r="B115" s="321"/>
      <c r="C115" s="351"/>
      <c r="D115" s="323"/>
      <c r="E115" s="324"/>
      <c r="F115" s="321"/>
      <c r="G115" s="325"/>
      <c r="H115" s="321"/>
      <c r="I115" s="321"/>
      <c r="J115" s="322"/>
      <c r="K115" s="321"/>
      <c r="L115" s="360"/>
      <c r="M115" s="392"/>
      <c r="N115" s="321"/>
      <c r="O115" s="321"/>
      <c r="P115" s="321"/>
      <c r="Q115" s="321"/>
      <c r="R115" s="321"/>
      <c r="S115" s="321"/>
      <c r="T115" s="321"/>
      <c r="U115" s="321"/>
      <c r="V115" s="321"/>
    </row>
    <row r="116" spans="1:22">
      <c r="A116" s="321"/>
      <c r="B116" s="321"/>
      <c r="C116" s="351"/>
      <c r="D116" s="323"/>
      <c r="E116" s="324"/>
      <c r="F116" s="321"/>
      <c r="G116" s="325"/>
      <c r="H116" s="321"/>
      <c r="I116" s="321"/>
      <c r="J116" s="322"/>
      <c r="K116" s="321"/>
      <c r="L116" s="360"/>
      <c r="M116" s="392"/>
      <c r="N116" s="321"/>
      <c r="O116" s="321"/>
      <c r="P116" s="321"/>
      <c r="Q116" s="321"/>
      <c r="R116" s="321"/>
      <c r="S116" s="321"/>
      <c r="T116" s="321"/>
      <c r="U116" s="321"/>
      <c r="V116" s="321"/>
    </row>
    <row r="117" spans="1:22">
      <c r="A117" s="321"/>
      <c r="B117" s="321"/>
      <c r="C117" s="351"/>
      <c r="D117" s="323"/>
      <c r="E117" s="324"/>
      <c r="F117" s="321"/>
      <c r="G117" s="325"/>
      <c r="H117" s="321"/>
      <c r="I117" s="321"/>
      <c r="J117" s="322"/>
      <c r="K117" s="321"/>
      <c r="L117" s="360"/>
      <c r="M117" s="392"/>
      <c r="N117" s="321"/>
      <c r="O117" s="321"/>
      <c r="P117" s="321"/>
      <c r="Q117" s="321"/>
      <c r="R117" s="321"/>
      <c r="S117" s="321"/>
      <c r="T117" s="321"/>
      <c r="U117" s="321"/>
      <c r="V117" s="321"/>
    </row>
    <row r="118" spans="1:22">
      <c r="A118" s="321"/>
      <c r="B118" s="321"/>
      <c r="C118" s="351"/>
      <c r="D118" s="323"/>
      <c r="E118" s="324"/>
      <c r="F118" s="321"/>
      <c r="G118" s="325"/>
      <c r="H118" s="321"/>
      <c r="I118" s="321"/>
      <c r="J118" s="322"/>
      <c r="K118" s="321"/>
      <c r="L118" s="360"/>
      <c r="M118" s="392"/>
      <c r="N118" s="321"/>
      <c r="O118" s="321"/>
      <c r="P118" s="321"/>
      <c r="Q118" s="321"/>
      <c r="R118" s="321"/>
      <c r="S118" s="321"/>
      <c r="T118" s="321"/>
      <c r="U118" s="321"/>
      <c r="V118" s="321"/>
    </row>
    <row r="119" spans="1:22">
      <c r="A119" s="321"/>
      <c r="B119" s="321"/>
      <c r="C119" s="351"/>
      <c r="D119" s="323"/>
      <c r="E119" s="324"/>
      <c r="F119" s="321"/>
      <c r="G119" s="325"/>
      <c r="H119" s="321"/>
      <c r="I119" s="321"/>
      <c r="J119" s="322"/>
      <c r="K119" s="321"/>
      <c r="L119" s="360"/>
      <c r="M119" s="392"/>
      <c r="N119" s="321"/>
      <c r="O119" s="321"/>
      <c r="P119" s="321"/>
      <c r="Q119" s="321"/>
      <c r="R119" s="321"/>
      <c r="S119" s="321"/>
      <c r="T119" s="321"/>
      <c r="U119" s="321"/>
      <c r="V119" s="321"/>
    </row>
    <row r="120" spans="1:22">
      <c r="A120" s="321"/>
      <c r="B120" s="321"/>
      <c r="C120" s="351"/>
      <c r="D120" s="323"/>
      <c r="E120" s="324"/>
      <c r="F120" s="321"/>
      <c r="G120" s="325"/>
      <c r="H120" s="321"/>
      <c r="I120" s="321"/>
      <c r="J120" s="322"/>
      <c r="K120" s="321"/>
      <c r="L120" s="360"/>
      <c r="M120" s="392"/>
      <c r="N120" s="321"/>
      <c r="O120" s="321"/>
      <c r="P120" s="321"/>
      <c r="Q120" s="321"/>
      <c r="R120" s="321"/>
      <c r="S120" s="321"/>
      <c r="T120" s="321"/>
      <c r="U120" s="321"/>
      <c r="V120" s="321"/>
    </row>
    <row r="121" spans="1:22">
      <c r="A121" s="321"/>
      <c r="B121" s="321"/>
      <c r="C121" s="351"/>
      <c r="D121" s="323"/>
      <c r="E121" s="324"/>
      <c r="F121" s="321"/>
      <c r="G121" s="325"/>
      <c r="H121" s="321"/>
      <c r="I121" s="321"/>
      <c r="J121" s="322"/>
      <c r="K121" s="321"/>
      <c r="L121" s="360"/>
      <c r="M121" s="392"/>
      <c r="N121" s="321"/>
      <c r="O121" s="321"/>
      <c r="P121" s="321"/>
      <c r="Q121" s="321"/>
      <c r="R121" s="321"/>
      <c r="S121" s="321"/>
      <c r="T121" s="321"/>
      <c r="U121" s="321"/>
      <c r="V121" s="321"/>
    </row>
    <row r="122" spans="1:22">
      <c r="A122" s="321"/>
      <c r="B122" s="321"/>
      <c r="C122" s="351"/>
      <c r="D122" s="323"/>
      <c r="E122" s="324"/>
      <c r="F122" s="321"/>
      <c r="G122" s="325"/>
      <c r="H122" s="321"/>
      <c r="I122" s="321"/>
      <c r="J122" s="322"/>
      <c r="K122" s="321"/>
      <c r="L122" s="360"/>
      <c r="M122" s="392"/>
      <c r="N122" s="321"/>
      <c r="O122" s="321"/>
      <c r="P122" s="321"/>
      <c r="Q122" s="321"/>
      <c r="R122" s="321"/>
      <c r="S122" s="321"/>
      <c r="T122" s="321"/>
      <c r="U122" s="321"/>
      <c r="V122" s="321"/>
    </row>
    <row r="123" spans="1:22">
      <c r="A123" s="321"/>
      <c r="B123" s="321"/>
      <c r="C123" s="351"/>
      <c r="D123" s="323"/>
      <c r="E123" s="324"/>
      <c r="F123" s="321"/>
      <c r="G123" s="325"/>
      <c r="H123" s="321"/>
      <c r="I123" s="321"/>
      <c r="J123" s="322"/>
      <c r="K123" s="321"/>
      <c r="L123" s="360"/>
      <c r="M123" s="392"/>
      <c r="N123" s="321"/>
      <c r="O123" s="321"/>
      <c r="P123" s="321"/>
      <c r="Q123" s="321"/>
      <c r="R123" s="321"/>
      <c r="S123" s="321"/>
      <c r="T123" s="321"/>
      <c r="U123" s="321"/>
      <c r="V123" s="321"/>
    </row>
    <row r="124" spans="1:22">
      <c r="A124" s="321"/>
      <c r="B124" s="321"/>
      <c r="C124" s="351"/>
      <c r="D124" s="323"/>
      <c r="E124" s="324"/>
      <c r="F124" s="321"/>
      <c r="G124" s="325"/>
      <c r="H124" s="321"/>
      <c r="I124" s="321"/>
      <c r="J124" s="322"/>
      <c r="K124" s="321"/>
      <c r="L124" s="360"/>
      <c r="M124" s="392"/>
      <c r="N124" s="321"/>
      <c r="O124" s="321"/>
      <c r="P124" s="321"/>
      <c r="Q124" s="321"/>
      <c r="R124" s="321"/>
      <c r="S124" s="321"/>
      <c r="T124" s="321"/>
      <c r="U124" s="321"/>
      <c r="V124" s="321"/>
    </row>
    <row r="125" spans="1:22">
      <c r="A125" s="321"/>
      <c r="B125" s="321"/>
      <c r="C125" s="351"/>
      <c r="D125" s="323"/>
      <c r="E125" s="324"/>
      <c r="F125" s="321"/>
      <c r="G125" s="325"/>
      <c r="H125" s="321"/>
      <c r="I125" s="321"/>
      <c r="J125" s="322"/>
      <c r="K125" s="321"/>
      <c r="L125" s="360"/>
      <c r="M125" s="392"/>
      <c r="N125" s="321"/>
      <c r="O125" s="321"/>
      <c r="P125" s="321"/>
      <c r="Q125" s="321"/>
      <c r="R125" s="321"/>
      <c r="S125" s="321"/>
      <c r="T125" s="321"/>
      <c r="U125" s="321"/>
      <c r="V125" s="321"/>
    </row>
    <row r="126" spans="1:22">
      <c r="A126" s="321"/>
      <c r="B126" s="321"/>
      <c r="C126" s="351"/>
      <c r="D126" s="323"/>
      <c r="E126" s="324"/>
      <c r="F126" s="321"/>
      <c r="G126" s="325"/>
      <c r="H126" s="321"/>
      <c r="I126" s="321"/>
      <c r="J126" s="322"/>
      <c r="K126" s="321"/>
      <c r="L126" s="360"/>
      <c r="M126" s="392"/>
      <c r="N126" s="321"/>
      <c r="O126" s="321"/>
      <c r="P126" s="321"/>
      <c r="Q126" s="321"/>
      <c r="R126" s="321"/>
      <c r="S126" s="321"/>
      <c r="T126" s="321"/>
      <c r="U126" s="321"/>
      <c r="V126" s="321"/>
    </row>
    <row r="127" spans="1:22">
      <c r="A127" s="321"/>
      <c r="B127" s="321"/>
      <c r="C127" s="351"/>
      <c r="D127" s="323"/>
      <c r="E127" s="324"/>
      <c r="F127" s="321"/>
      <c r="G127" s="325"/>
      <c r="H127" s="321"/>
      <c r="I127" s="321"/>
      <c r="J127" s="322"/>
      <c r="K127" s="321"/>
      <c r="L127" s="360"/>
      <c r="M127" s="392"/>
      <c r="N127" s="321"/>
      <c r="O127" s="321"/>
      <c r="P127" s="321"/>
      <c r="Q127" s="321"/>
      <c r="R127" s="321"/>
      <c r="S127" s="321"/>
      <c r="T127" s="321"/>
      <c r="U127" s="321"/>
      <c r="V127" s="321"/>
    </row>
    <row r="128" spans="1:22">
      <c r="A128" s="321"/>
      <c r="B128" s="321"/>
      <c r="C128" s="351"/>
      <c r="D128" s="323"/>
      <c r="E128" s="324"/>
      <c r="F128" s="321"/>
      <c r="G128" s="325"/>
      <c r="H128" s="321"/>
      <c r="I128" s="321"/>
      <c r="J128" s="322"/>
      <c r="K128" s="321"/>
      <c r="L128" s="360"/>
      <c r="M128" s="392"/>
      <c r="N128" s="321"/>
      <c r="O128" s="321"/>
      <c r="P128" s="321"/>
      <c r="Q128" s="321"/>
      <c r="R128" s="321"/>
      <c r="S128" s="321"/>
      <c r="T128" s="321"/>
      <c r="U128" s="321"/>
      <c r="V128" s="321"/>
    </row>
    <row r="129" spans="1:22">
      <c r="A129" s="321"/>
      <c r="B129" s="321"/>
      <c r="C129" s="351"/>
      <c r="D129" s="323"/>
      <c r="E129" s="324"/>
      <c r="F129" s="321"/>
      <c r="G129" s="325"/>
      <c r="H129" s="321"/>
      <c r="I129" s="321"/>
      <c r="J129" s="322"/>
      <c r="K129" s="321"/>
      <c r="L129" s="360"/>
      <c r="M129" s="392"/>
      <c r="N129" s="321"/>
      <c r="O129" s="321"/>
      <c r="P129" s="321"/>
      <c r="Q129" s="321"/>
      <c r="R129" s="321"/>
      <c r="S129" s="321"/>
      <c r="T129" s="321"/>
      <c r="U129" s="321"/>
      <c r="V129" s="321"/>
    </row>
    <row r="130" spans="1:22">
      <c r="A130" s="321"/>
      <c r="B130" s="321"/>
      <c r="C130" s="351"/>
      <c r="D130" s="323"/>
      <c r="E130" s="324"/>
      <c r="F130" s="321"/>
      <c r="G130" s="325"/>
      <c r="H130" s="321"/>
      <c r="I130" s="321"/>
      <c r="J130" s="322"/>
      <c r="K130" s="321"/>
      <c r="L130" s="360"/>
      <c r="M130" s="392"/>
      <c r="N130" s="321"/>
      <c r="O130" s="321"/>
      <c r="P130" s="321"/>
      <c r="Q130" s="321"/>
      <c r="R130" s="321"/>
      <c r="S130" s="321"/>
      <c r="T130" s="321"/>
      <c r="U130" s="321"/>
      <c r="V130" s="321"/>
    </row>
    <row r="131" spans="1:22">
      <c r="A131" s="321"/>
      <c r="B131" s="321"/>
      <c r="C131" s="351"/>
      <c r="D131" s="323"/>
      <c r="E131" s="324"/>
      <c r="F131" s="321"/>
      <c r="G131" s="325"/>
      <c r="H131" s="321"/>
      <c r="I131" s="321"/>
      <c r="J131" s="322"/>
      <c r="K131" s="321"/>
      <c r="L131" s="360"/>
      <c r="M131" s="392"/>
      <c r="N131" s="321"/>
      <c r="O131" s="321"/>
      <c r="P131" s="321"/>
      <c r="Q131" s="321"/>
      <c r="R131" s="321"/>
      <c r="S131" s="321"/>
      <c r="T131" s="321"/>
      <c r="U131" s="321"/>
      <c r="V131" s="321"/>
    </row>
    <row r="132" spans="1:22">
      <c r="A132" s="321"/>
      <c r="B132" s="321"/>
      <c r="C132" s="351"/>
      <c r="D132" s="323"/>
      <c r="E132" s="324"/>
      <c r="F132" s="321"/>
      <c r="G132" s="325"/>
      <c r="H132" s="321"/>
      <c r="I132" s="321"/>
      <c r="J132" s="322"/>
      <c r="K132" s="321"/>
      <c r="L132" s="360"/>
      <c r="M132" s="392"/>
      <c r="N132" s="321"/>
      <c r="O132" s="321"/>
      <c r="P132" s="321"/>
      <c r="Q132" s="321"/>
      <c r="R132" s="321"/>
      <c r="S132" s="321"/>
      <c r="T132" s="321"/>
      <c r="U132" s="321"/>
      <c r="V132" s="321"/>
    </row>
    <row r="133" spans="1:22">
      <c r="A133" s="321"/>
      <c r="B133" s="321"/>
      <c r="C133" s="351"/>
      <c r="D133" s="323"/>
      <c r="E133" s="324"/>
      <c r="F133" s="321"/>
      <c r="G133" s="325"/>
      <c r="H133" s="321"/>
      <c r="I133" s="321"/>
      <c r="J133" s="322"/>
      <c r="K133" s="321"/>
      <c r="L133" s="360"/>
      <c r="M133" s="392"/>
      <c r="N133" s="321"/>
      <c r="O133" s="321"/>
      <c r="P133" s="321"/>
      <c r="Q133" s="321"/>
      <c r="R133" s="321"/>
      <c r="S133" s="321"/>
      <c r="T133" s="321"/>
      <c r="U133" s="321"/>
      <c r="V133" s="321"/>
    </row>
    <row r="134" spans="1:22">
      <c r="A134" s="321"/>
      <c r="B134" s="321"/>
      <c r="C134" s="351"/>
      <c r="D134" s="323"/>
      <c r="E134" s="324"/>
      <c r="F134" s="321"/>
      <c r="G134" s="325"/>
      <c r="H134" s="321"/>
      <c r="I134" s="321"/>
      <c r="J134" s="322"/>
      <c r="K134" s="321"/>
      <c r="L134" s="360"/>
      <c r="M134" s="392"/>
      <c r="N134" s="321"/>
      <c r="O134" s="321"/>
      <c r="P134" s="321"/>
      <c r="Q134" s="321"/>
      <c r="R134" s="321"/>
      <c r="S134" s="321"/>
      <c r="T134" s="321"/>
      <c r="U134" s="321"/>
      <c r="V134" s="321"/>
    </row>
    <row r="135" spans="1:22">
      <c r="A135" s="321"/>
      <c r="B135" s="321"/>
      <c r="C135" s="351"/>
      <c r="D135" s="323"/>
      <c r="E135" s="324"/>
      <c r="F135" s="321"/>
      <c r="G135" s="325"/>
      <c r="H135" s="321"/>
      <c r="I135" s="321"/>
      <c r="J135" s="322"/>
      <c r="K135" s="321"/>
      <c r="L135" s="360"/>
      <c r="M135" s="392"/>
      <c r="N135" s="321"/>
      <c r="O135" s="321"/>
      <c r="P135" s="321"/>
      <c r="Q135" s="321"/>
      <c r="R135" s="321"/>
      <c r="S135" s="321"/>
      <c r="T135" s="321"/>
      <c r="U135" s="321"/>
      <c r="V135" s="321"/>
    </row>
    <row r="136" spans="1:22" ht="54.75" customHeight="1" thickBot="1">
      <c r="A136" s="321"/>
      <c r="B136" s="321"/>
      <c r="C136" s="1033" t="s">
        <v>136</v>
      </c>
      <c r="D136" s="1033"/>
      <c r="E136" s="1033"/>
      <c r="F136" s="1033"/>
      <c r="G136" s="1033"/>
      <c r="H136" s="1033"/>
      <c r="I136" s="1033"/>
      <c r="J136" s="1033"/>
      <c r="K136" s="1033"/>
      <c r="L136" s="1033"/>
      <c r="M136" s="1033"/>
      <c r="N136" s="446"/>
      <c r="O136" s="321"/>
      <c r="P136" s="321"/>
      <c r="Q136" s="321"/>
      <c r="R136" s="321"/>
      <c r="S136" s="321"/>
      <c r="T136" s="321"/>
      <c r="U136" s="321"/>
      <c r="V136" s="321"/>
    </row>
    <row r="137" spans="1:22" ht="16.5" customHeight="1" thickBot="1">
      <c r="A137" s="321"/>
      <c r="B137" s="321"/>
      <c r="C137" s="1608" t="s">
        <v>138</v>
      </c>
      <c r="D137" s="406"/>
      <c r="E137" s="407"/>
      <c r="F137" s="408"/>
      <c r="G137" s="409"/>
      <c r="H137" s="410"/>
      <c r="I137" s="408"/>
      <c r="J137" s="411"/>
      <c r="K137" s="406"/>
      <c r="L137" s="216"/>
      <c r="M137" s="217"/>
      <c r="N137" s="446"/>
      <c r="O137" s="321"/>
      <c r="P137" s="321"/>
      <c r="Q137" s="321"/>
      <c r="R137" s="321"/>
      <c r="S137" s="321"/>
      <c r="T137" s="321"/>
      <c r="U137" s="321"/>
      <c r="V137" s="321"/>
    </row>
    <row r="138" spans="1:22">
      <c r="A138" s="321"/>
      <c r="B138" s="321"/>
      <c r="C138" s="1609"/>
      <c r="D138" s="412"/>
      <c r="E138" s="1152" t="s">
        <v>139</v>
      </c>
      <c r="F138" s="413" t="s">
        <v>140</v>
      </c>
      <c r="G138" s="414" t="s">
        <v>141</v>
      </c>
      <c r="H138" s="415"/>
      <c r="I138" s="1036" t="s">
        <v>142</v>
      </c>
      <c r="J138" s="416" t="s">
        <v>143</v>
      </c>
      <c r="K138" s="413" t="s">
        <v>132</v>
      </c>
      <c r="L138" s="246" t="s">
        <v>134</v>
      </c>
      <c r="M138" s="1146"/>
      <c r="N138" s="446"/>
      <c r="O138" s="321"/>
      <c r="P138" s="321"/>
      <c r="Q138" s="321"/>
      <c r="R138" s="321"/>
      <c r="S138" s="321"/>
      <c r="T138" s="321"/>
      <c r="U138" s="321"/>
      <c r="V138" s="321"/>
    </row>
    <row r="139" spans="1:22">
      <c r="A139" s="321"/>
      <c r="B139" s="321"/>
      <c r="C139" s="1609"/>
      <c r="D139" s="412"/>
      <c r="E139" s="417" t="s">
        <v>144</v>
      </c>
      <c r="F139" s="418">
        <f>COUNTIF(J$1:J$136,"Positif")</f>
        <v>52</v>
      </c>
      <c r="G139" s="419">
        <f>COUNTIF(J$1:J$136,"Negatif")</f>
        <v>0</v>
      </c>
      <c r="H139" s="415"/>
      <c r="I139" s="420" t="s">
        <v>145</v>
      </c>
      <c r="J139" s="418">
        <f>COUNTIFS(F$1:F$136,"PQR",G$1:G$136, 40)</f>
        <v>1</v>
      </c>
      <c r="K139" s="421">
        <f>COUNTIFS(F$1:F$136,"PQR",G$1:G$136, 65)</f>
        <v>9</v>
      </c>
      <c r="L139" s="422">
        <f>COUNTIFS(F$1:F$136,"PQR",G$1:G$136,64)</f>
        <v>18</v>
      </c>
      <c r="M139" s="1146"/>
      <c r="N139" s="446"/>
      <c r="O139" s="321"/>
      <c r="P139" s="321"/>
      <c r="Q139" s="321"/>
      <c r="R139" s="321"/>
      <c r="S139" s="321"/>
      <c r="T139" s="321"/>
      <c r="U139" s="321"/>
      <c r="V139" s="321"/>
    </row>
    <row r="140" spans="1:22">
      <c r="A140" s="321"/>
      <c r="B140" s="321"/>
      <c r="C140" s="1609"/>
      <c r="D140" s="412"/>
      <c r="E140" s="423" t="s">
        <v>143</v>
      </c>
      <c r="F140" s="424">
        <f>COUNTIFS(G$1:G$136,40,J$1:J$136, "Positif")</f>
        <v>11</v>
      </c>
      <c r="G140" s="419">
        <f>COUNTIFS(G$1:G$136,40,J$1:J$136, "Negatif")+COUNTIFS(G$1:G$136,40,J$1:J$136, "Negative")+COUNTIFS(G$1:G$136,40,J$1:J$136, "négatif")+COUNTIFS(G$1:G$136,40,J$1:J$136, "négative")</f>
        <v>0</v>
      </c>
      <c r="H140" s="415"/>
      <c r="I140" s="425" t="s">
        <v>146</v>
      </c>
      <c r="J140" s="418">
        <f>COUNTIFS(F$1:F$136,"web",G$1:G$136, 40)</f>
        <v>3</v>
      </c>
      <c r="K140" s="418">
        <f>COUNTIFS(F$1:F$136,"web",G$1:G$136, 65)</f>
        <v>5</v>
      </c>
      <c r="L140" s="419">
        <f>COUNTIFS(F$1:F$136,"web",G$1:G$136, 64)</f>
        <v>6</v>
      </c>
      <c r="M140" s="1146"/>
      <c r="N140" s="446"/>
      <c r="O140" s="321"/>
      <c r="P140" s="321"/>
      <c r="Q140" s="321"/>
      <c r="R140" s="321"/>
      <c r="S140" s="321"/>
      <c r="T140" s="321"/>
      <c r="U140" s="321"/>
      <c r="V140" s="321"/>
    </row>
    <row r="141" spans="1:22">
      <c r="A141" s="321"/>
      <c r="B141" s="321"/>
      <c r="C141" s="1609"/>
      <c r="D141" s="412"/>
      <c r="E141" s="423" t="s">
        <v>132</v>
      </c>
      <c r="F141" s="424">
        <f>COUNTIFS(G$1:G$136,65,J$1:J$136, "Positif")+COUNTIFS(G$1:G$136,65,J$1:J$136,"Positive")</f>
        <v>14</v>
      </c>
      <c r="G141" s="419">
        <f>COUNTIFS(G$1:G$136,65,J$1:J$136, "Negatif")+COUNTIFS(G$1:G$136,65,J$1:J$136, "Negative")+COUNTIFS(G$1:G$136,65,J$1:J$136, "négatif")+COUNTIFS(G$1:G$136,65,J$1:J$136, "négative")</f>
        <v>0</v>
      </c>
      <c r="H141" s="415"/>
      <c r="I141" s="425" t="s">
        <v>147</v>
      </c>
      <c r="J141" s="418">
        <f>COUNTIFS(F$1:F$136,"radio",G$1:G$136, 40)</f>
        <v>7</v>
      </c>
      <c r="K141" s="418">
        <f>COUNTIFS(F$1:F$136,"radio",G$1:G$136, 65)</f>
        <v>0</v>
      </c>
      <c r="L141" s="419">
        <f>COUNTIFS(F$1:F$136,"radio",G$1:G$136, 64)</f>
        <v>1</v>
      </c>
      <c r="M141" s="1146"/>
      <c r="N141" s="446"/>
      <c r="O141" s="321"/>
      <c r="P141" s="321"/>
      <c r="Q141" s="321"/>
      <c r="R141" s="321"/>
      <c r="S141" s="321"/>
      <c r="T141" s="321"/>
      <c r="U141" s="321"/>
      <c r="V141" s="321"/>
    </row>
    <row r="142" spans="1:22" ht="16.5" thickBot="1">
      <c r="A142" s="321"/>
      <c r="B142" s="321"/>
      <c r="C142" s="1609"/>
      <c r="D142" s="412"/>
      <c r="E142" s="426" t="s">
        <v>134</v>
      </c>
      <c r="F142" s="427">
        <f>COUNTIFS(G$1:G$136,64,J$1:J$136, "Positif")+COUNTIFS(G$1:G$136,64,J$1:J$136,"Positive")</f>
        <v>25</v>
      </c>
      <c r="G142" s="428">
        <f>COUNTIFS(G$7:G$136,64,J$7:J$136, "Negatif")+COUNTIFS(G$7:G$136,64,J$7:J$136, "Negative")+COUNTIFS(G$7:G$136,64,J$7:J$136, "négatif")+COUNTIFS(G$7:G$136,64,J$7:J$136, "négative")</f>
        <v>0</v>
      </c>
      <c r="H142" s="415"/>
      <c r="I142" s="429" t="s">
        <v>148</v>
      </c>
      <c r="J142" s="430">
        <f>COUNTIFS(F$1:F$136,"TV",G$1:G$136, 40)</f>
        <v>0</v>
      </c>
      <c r="K142" s="430">
        <f>COUNTIFS(F$1:F$136,"TV",G$1:G$136, 65)</f>
        <v>0</v>
      </c>
      <c r="L142" s="431">
        <f>COUNTIFS(F$1:F$136,"TV",G$1:G$136, 64)</f>
        <v>0</v>
      </c>
      <c r="M142" s="1146"/>
      <c r="N142" s="446"/>
      <c r="O142" s="321"/>
      <c r="P142" s="321"/>
      <c r="Q142" s="321"/>
      <c r="R142" s="321"/>
      <c r="S142" s="321"/>
      <c r="T142" s="321"/>
      <c r="U142" s="321"/>
      <c r="V142" s="321"/>
    </row>
    <row r="143" spans="1:22">
      <c r="A143" s="321"/>
      <c r="B143" s="321"/>
      <c r="C143" s="1609"/>
      <c r="D143" s="412"/>
      <c r="E143" s="432"/>
      <c r="F143" s="433"/>
      <c r="G143" s="433"/>
      <c r="H143" s="415"/>
      <c r="I143" s="434"/>
      <c r="J143" s="435"/>
      <c r="K143" s="436"/>
      <c r="L143" s="434"/>
      <c r="M143" s="437"/>
      <c r="N143" s="446"/>
      <c r="O143" s="321"/>
      <c r="P143" s="321"/>
      <c r="Q143" s="321"/>
      <c r="R143" s="321"/>
      <c r="S143" s="321"/>
      <c r="T143" s="321"/>
      <c r="U143" s="321"/>
      <c r="V143" s="321"/>
    </row>
    <row r="144" spans="1:22" ht="16.5" thickBot="1">
      <c r="A144" s="321"/>
      <c r="B144" s="321"/>
      <c r="C144" s="1610"/>
      <c r="D144" s="438"/>
      <c r="E144" s="439"/>
      <c r="F144" s="440"/>
      <c r="G144" s="441"/>
      <c r="H144" s="442"/>
      <c r="I144" s="443"/>
      <c r="J144" s="441"/>
      <c r="K144" s="444"/>
      <c r="L144" s="443"/>
      <c r="M144" s="445"/>
      <c r="N144" s="446"/>
      <c r="O144" s="321"/>
      <c r="P144" s="321"/>
      <c r="Q144" s="321"/>
      <c r="R144" s="321"/>
      <c r="S144" s="321"/>
      <c r="T144" s="321"/>
      <c r="U144" s="321"/>
      <c r="V144" s="321"/>
    </row>
    <row r="145" spans="1:22" ht="16.5" thickBot="1">
      <c r="A145" s="321"/>
      <c r="B145" s="321"/>
      <c r="C145" s="488"/>
      <c r="D145" s="446"/>
      <c r="E145" s="446"/>
      <c r="F145" s="446"/>
      <c r="G145" s="446"/>
      <c r="H145" s="446"/>
      <c r="I145" s="446"/>
      <c r="J145" s="446"/>
      <c r="K145" s="446"/>
      <c r="L145" s="446"/>
      <c r="M145" s="446"/>
      <c r="N145" s="446"/>
      <c r="O145" s="321"/>
      <c r="P145" s="321"/>
      <c r="Q145" s="321"/>
      <c r="R145" s="321"/>
      <c r="S145" s="321"/>
      <c r="T145" s="321"/>
      <c r="U145" s="321"/>
      <c r="V145" s="321"/>
    </row>
    <row r="146" spans="1:22" ht="16.5" customHeight="1" thickBot="1">
      <c r="A146" s="321"/>
      <c r="B146" s="351"/>
      <c r="C146" s="1608" t="s">
        <v>138</v>
      </c>
      <c r="D146" s="1147"/>
      <c r="E146" s="447"/>
      <c r="F146" s="1148"/>
      <c r="G146" s="1149"/>
      <c r="H146" s="1148"/>
      <c r="I146" s="411"/>
      <c r="J146" s="1150"/>
      <c r="K146" s="446"/>
      <c r="L146" s="446"/>
      <c r="M146" s="446"/>
      <c r="N146" s="538"/>
      <c r="O146" s="321"/>
      <c r="P146" s="321"/>
      <c r="Q146" s="321"/>
      <c r="R146" s="321"/>
      <c r="S146" s="321"/>
      <c r="T146" s="321"/>
      <c r="U146" s="321"/>
      <c r="V146" s="321"/>
    </row>
    <row r="147" spans="1:22">
      <c r="A147" s="321"/>
      <c r="B147" s="351"/>
      <c r="C147" s="1609"/>
      <c r="D147" s="1151"/>
      <c r="E147" s="1611" t="s">
        <v>149</v>
      </c>
      <c r="F147" s="1612"/>
      <c r="G147" s="1153"/>
      <c r="H147" s="1611" t="s">
        <v>236</v>
      </c>
      <c r="I147" s="1612"/>
      <c r="J147" s="1146"/>
      <c r="K147" s="446"/>
      <c r="L147" s="446"/>
      <c r="M147" s="446"/>
      <c r="N147" s="538"/>
      <c r="O147" s="321"/>
      <c r="P147" s="321"/>
      <c r="Q147" s="321"/>
      <c r="R147" s="321"/>
      <c r="S147" s="321"/>
      <c r="T147" s="321"/>
      <c r="U147" s="321"/>
      <c r="V147" s="321"/>
    </row>
    <row r="148" spans="1:22">
      <c r="A148" s="321"/>
      <c r="B148" s="321"/>
      <c r="C148" s="1609"/>
      <c r="D148" s="1151"/>
      <c r="E148" s="1613"/>
      <c r="F148" s="1614"/>
      <c r="G148" s="1153"/>
      <c r="H148" s="1615"/>
      <c r="I148" s="1616"/>
      <c r="J148" s="1146"/>
      <c r="K148" s="446"/>
      <c r="L148" s="446"/>
      <c r="M148" s="446"/>
      <c r="N148" s="446"/>
      <c r="O148" s="321"/>
      <c r="P148" s="321"/>
      <c r="Q148" s="321"/>
      <c r="R148" s="321"/>
      <c r="S148" s="321"/>
      <c r="T148" s="321"/>
      <c r="U148" s="321"/>
      <c r="V148" s="321"/>
    </row>
    <row r="149" spans="1:22">
      <c r="A149" s="321"/>
      <c r="B149" s="360"/>
      <c r="C149" s="1609"/>
      <c r="D149" s="1151"/>
      <c r="E149" s="1613"/>
      <c r="F149" s="1614"/>
      <c r="G149" s="1153"/>
      <c r="H149" s="449" t="s">
        <v>151</v>
      </c>
      <c r="I149" s="450">
        <f>SUM(T:T)</f>
        <v>42</v>
      </c>
      <c r="J149" s="1146"/>
      <c r="K149" s="446"/>
      <c r="L149" s="446"/>
      <c r="M149" s="446"/>
      <c r="N149" s="488"/>
      <c r="O149" s="321"/>
      <c r="P149" s="321"/>
      <c r="Q149" s="321"/>
      <c r="R149" s="321"/>
      <c r="S149" s="321"/>
      <c r="T149" s="321"/>
      <c r="U149" s="321"/>
      <c r="V149" s="321"/>
    </row>
    <row r="150" spans="1:22">
      <c r="A150" s="321"/>
      <c r="B150" s="360"/>
      <c r="C150" s="1609"/>
      <c r="D150" s="1151"/>
      <c r="E150" s="452" t="s">
        <v>152</v>
      </c>
      <c r="F150" s="450">
        <f>COUNTIF(Q:Q,40)</f>
        <v>4</v>
      </c>
      <c r="G150" s="1153"/>
      <c r="H150" s="453" t="s">
        <v>153</v>
      </c>
      <c r="I150" s="450">
        <f>SUMIFS(T:T,Q:Q, 40)</f>
        <v>9</v>
      </c>
      <c r="J150" s="1146"/>
      <c r="K150" s="446"/>
      <c r="L150" s="446"/>
      <c r="M150" s="446"/>
      <c r="N150" s="488"/>
      <c r="O150" s="321"/>
      <c r="P150" s="321"/>
      <c r="Q150" s="321"/>
      <c r="R150" s="321"/>
      <c r="S150" s="321"/>
      <c r="T150" s="321"/>
      <c r="U150" s="321"/>
      <c r="V150" s="321"/>
    </row>
    <row r="151" spans="1:22">
      <c r="A151" s="321"/>
      <c r="B151" s="360"/>
      <c r="C151" s="1609"/>
      <c r="D151" s="1154"/>
      <c r="E151" s="453" t="s">
        <v>154</v>
      </c>
      <c r="F151" s="450">
        <f>COUNTIF(Q:Q,65)</f>
        <v>7</v>
      </c>
      <c r="G151" s="1154"/>
      <c r="H151" s="453" t="s">
        <v>155</v>
      </c>
      <c r="I151" s="450">
        <f>SUMIFS(T:T,Q:Q, 65)</f>
        <v>24</v>
      </c>
      <c r="J151" s="1155"/>
      <c r="K151" s="454"/>
      <c r="L151" s="446"/>
      <c r="M151" s="446"/>
      <c r="N151" s="488"/>
      <c r="O151" s="321"/>
      <c r="P151" s="321"/>
      <c r="Q151" s="321"/>
      <c r="R151" s="321"/>
      <c r="S151" s="321"/>
      <c r="T151" s="321"/>
      <c r="U151" s="321"/>
      <c r="V151" s="321"/>
    </row>
    <row r="152" spans="1:22" ht="16.5" thickBot="1">
      <c r="A152" s="321"/>
      <c r="B152" s="363"/>
      <c r="C152" s="1609"/>
      <c r="D152" s="1154"/>
      <c r="E152" s="455" t="s">
        <v>156</v>
      </c>
      <c r="F152" s="456">
        <f>COUNTIF(Q:Q,64)</f>
        <v>5</v>
      </c>
      <c r="G152" s="1154"/>
      <c r="H152" s="455" t="s">
        <v>157</v>
      </c>
      <c r="I152" s="456">
        <f>SUMIFS(T:T,Q:Q, 64)</f>
        <v>9</v>
      </c>
      <c r="J152" s="1155"/>
      <c r="K152" s="454"/>
      <c r="L152" s="446"/>
      <c r="M152" s="446"/>
      <c r="N152" s="539"/>
      <c r="O152" s="321"/>
      <c r="P152" s="321"/>
      <c r="Q152" s="321"/>
      <c r="R152" s="321"/>
      <c r="S152" s="321"/>
      <c r="T152" s="321"/>
      <c r="U152" s="321"/>
      <c r="V152" s="321"/>
    </row>
    <row r="153" spans="1:22" ht="16.5" thickBot="1">
      <c r="A153" s="321"/>
      <c r="B153" s="360"/>
      <c r="C153" s="1610"/>
      <c r="D153" s="1156"/>
      <c r="E153" s="1156"/>
      <c r="F153" s="1156"/>
      <c r="G153" s="1156"/>
      <c r="H153" s="1156"/>
      <c r="I153" s="1156"/>
      <c r="J153" s="1157"/>
      <c r="K153" s="458"/>
      <c r="L153" s="446"/>
      <c r="M153" s="446"/>
      <c r="N153" s="488"/>
      <c r="O153" s="321"/>
      <c r="P153" s="321"/>
      <c r="Q153" s="321"/>
      <c r="R153" s="321"/>
      <c r="S153" s="321"/>
      <c r="T153" s="321"/>
      <c r="U153" s="321"/>
      <c r="V153" s="321"/>
    </row>
    <row r="154" spans="1:22" ht="16.5" thickBot="1">
      <c r="A154" s="321"/>
      <c r="B154" s="321"/>
      <c r="C154" s="879"/>
      <c r="D154" s="460"/>
      <c r="E154" s="446"/>
      <c r="F154" s="461"/>
      <c r="G154" s="458"/>
      <c r="H154" s="462"/>
      <c r="I154" s="463"/>
      <c r="J154" s="463"/>
      <c r="K154" s="454"/>
      <c r="L154" s="446"/>
      <c r="M154" s="446"/>
      <c r="N154" s="446"/>
      <c r="O154" s="321"/>
      <c r="P154" s="321"/>
      <c r="Q154" s="321"/>
      <c r="R154" s="321"/>
      <c r="S154" s="321"/>
      <c r="T154" s="321"/>
      <c r="U154" s="321"/>
      <c r="V154" s="321"/>
    </row>
    <row r="155" spans="1:22" ht="16.5" customHeight="1" thickBot="1">
      <c r="A155" s="321"/>
      <c r="B155" s="363"/>
      <c r="C155" s="1608" t="s">
        <v>138</v>
      </c>
      <c r="D155" s="1158"/>
      <c r="E155" s="1158"/>
      <c r="F155" s="1158"/>
      <c r="G155" s="1158"/>
      <c r="H155" s="1158"/>
      <c r="I155" s="1158"/>
      <c r="J155" s="1159"/>
      <c r="K155" s="446"/>
      <c r="L155" s="446"/>
      <c r="M155" s="446"/>
      <c r="N155" s="539"/>
      <c r="O155" s="321"/>
      <c r="P155" s="321"/>
      <c r="Q155" s="321"/>
      <c r="R155" s="321"/>
      <c r="S155" s="321"/>
      <c r="T155" s="321"/>
      <c r="U155" s="321"/>
      <c r="V155" s="321"/>
    </row>
    <row r="156" spans="1:22">
      <c r="A156" s="321"/>
      <c r="B156" s="360"/>
      <c r="C156" s="1609"/>
      <c r="D156" s="1154"/>
      <c r="E156" s="1617" t="s">
        <v>237</v>
      </c>
      <c r="F156" s="1618"/>
      <c r="G156" s="1618"/>
      <c r="H156" s="1618"/>
      <c r="I156" s="1619"/>
      <c r="J156" s="1155"/>
      <c r="K156" s="446"/>
      <c r="L156" s="446"/>
      <c r="M156" s="446"/>
      <c r="N156" s="488"/>
      <c r="O156" s="321"/>
      <c r="P156" s="321"/>
      <c r="Q156" s="321"/>
      <c r="R156" s="321"/>
      <c r="S156" s="321"/>
      <c r="T156" s="321"/>
      <c r="U156" s="321"/>
      <c r="V156" s="321"/>
    </row>
    <row r="157" spans="1:22">
      <c r="A157" s="321"/>
      <c r="B157" s="360"/>
      <c r="C157" s="1609"/>
      <c r="D157" s="1154"/>
      <c r="E157" s="464" t="s">
        <v>72</v>
      </c>
      <c r="F157" s="465" t="s">
        <v>159</v>
      </c>
      <c r="G157" s="466" t="s">
        <v>143</v>
      </c>
      <c r="H157" s="466" t="s">
        <v>132</v>
      </c>
      <c r="I157" s="467" t="s">
        <v>134</v>
      </c>
      <c r="J157" s="1155"/>
      <c r="K157" s="446"/>
      <c r="L157" s="446"/>
      <c r="M157" s="446"/>
      <c r="N157" s="488"/>
      <c r="O157" s="321"/>
      <c r="P157" s="321"/>
      <c r="Q157" s="321"/>
      <c r="R157" s="321"/>
      <c r="S157" s="321"/>
      <c r="T157" s="321"/>
      <c r="U157" s="321"/>
      <c r="V157" s="321"/>
    </row>
    <row r="158" spans="1:22">
      <c r="A158" s="321"/>
      <c r="B158" s="321"/>
      <c r="C158" s="1609"/>
      <c r="D158" s="1154"/>
      <c r="E158" s="468" t="s">
        <v>47</v>
      </c>
      <c r="F158" s="1160">
        <f t="shared" ref="F158:F165" si="0">COUNTIFS(I$11:I$136, E158)</f>
        <v>3</v>
      </c>
      <c r="G158" s="1161">
        <f t="shared" ref="G158:G165" si="1">COUNTIFS(G$11:G$136,40,I$11:I$136, E158)</f>
        <v>3</v>
      </c>
      <c r="H158" s="1162">
        <f t="shared" ref="H158:H165" si="2">COUNTIFS(G$11:G$136,65,I$11:I$136, E158)</f>
        <v>0</v>
      </c>
      <c r="I158" s="1163">
        <f t="shared" ref="I158:I165" si="3">COUNTIFS(G$11:G$136,64,I$11:I$136, E158)</f>
        <v>0</v>
      </c>
      <c r="J158" s="1155"/>
      <c r="K158" s="446"/>
      <c r="L158" s="446"/>
      <c r="M158" s="446"/>
      <c r="N158" s="446"/>
      <c r="O158" s="321"/>
      <c r="P158" s="321"/>
      <c r="Q158" s="321"/>
      <c r="R158" s="321"/>
      <c r="S158" s="321"/>
      <c r="T158" s="321"/>
      <c r="U158" s="321"/>
      <c r="V158" s="321"/>
    </row>
    <row r="159" spans="1:22">
      <c r="A159" s="321"/>
      <c r="B159" s="321"/>
      <c r="C159" s="1609"/>
      <c r="D159" s="1154"/>
      <c r="E159" s="469" t="s">
        <v>48</v>
      </c>
      <c r="F159" s="1160">
        <f t="shared" si="0"/>
        <v>0</v>
      </c>
      <c r="G159" s="1161">
        <f t="shared" si="1"/>
        <v>0</v>
      </c>
      <c r="H159" s="1162">
        <f t="shared" si="2"/>
        <v>0</v>
      </c>
      <c r="I159" s="1163">
        <f t="shared" si="3"/>
        <v>0</v>
      </c>
      <c r="J159" s="1155"/>
      <c r="K159" s="446"/>
      <c r="L159" s="446"/>
      <c r="M159" s="446"/>
      <c r="N159" s="446"/>
      <c r="O159" s="321"/>
      <c r="P159" s="321"/>
      <c r="Q159" s="321"/>
      <c r="R159" s="321"/>
      <c r="S159" s="321"/>
      <c r="T159" s="321"/>
      <c r="U159" s="321"/>
      <c r="V159" s="321"/>
    </row>
    <row r="160" spans="1:22">
      <c r="A160" s="321"/>
      <c r="B160" s="321"/>
      <c r="C160" s="1609"/>
      <c r="D160" s="1154"/>
      <c r="E160" s="469" t="s">
        <v>49</v>
      </c>
      <c r="F160" s="1160">
        <f t="shared" si="0"/>
        <v>22</v>
      </c>
      <c r="G160" s="1161">
        <f t="shared" si="1"/>
        <v>5</v>
      </c>
      <c r="H160" s="1162">
        <f t="shared" si="2"/>
        <v>10</v>
      </c>
      <c r="I160" s="1163">
        <f t="shared" si="3"/>
        <v>5</v>
      </c>
      <c r="J160" s="1155"/>
      <c r="K160" s="446"/>
      <c r="L160" s="446"/>
      <c r="M160" s="446"/>
      <c r="N160" s="446"/>
      <c r="O160" s="321"/>
      <c r="P160" s="321"/>
      <c r="Q160" s="321"/>
      <c r="R160" s="321"/>
      <c r="S160" s="321"/>
      <c r="T160" s="321"/>
      <c r="U160" s="321"/>
      <c r="V160" s="321"/>
    </row>
    <row r="161" spans="1:22">
      <c r="A161" s="321"/>
      <c r="B161" s="360"/>
      <c r="C161" s="1609"/>
      <c r="D161" s="1154"/>
      <c r="E161" s="469" t="s">
        <v>50</v>
      </c>
      <c r="F161" s="1160">
        <f t="shared" si="0"/>
        <v>0</v>
      </c>
      <c r="G161" s="1161">
        <f t="shared" si="1"/>
        <v>0</v>
      </c>
      <c r="H161" s="1162">
        <f t="shared" si="2"/>
        <v>0</v>
      </c>
      <c r="I161" s="1163">
        <f t="shared" si="3"/>
        <v>0</v>
      </c>
      <c r="J161" s="1155"/>
      <c r="K161" s="446"/>
      <c r="L161" s="446"/>
      <c r="M161" s="446"/>
      <c r="N161" s="488"/>
      <c r="O161" s="321"/>
      <c r="P161" s="321"/>
      <c r="Q161" s="321"/>
      <c r="R161" s="321"/>
      <c r="S161" s="321"/>
      <c r="T161" s="321"/>
      <c r="U161" s="321"/>
      <c r="V161" s="321"/>
    </row>
    <row r="162" spans="1:22">
      <c r="A162" s="321"/>
      <c r="B162" s="360"/>
      <c r="C162" s="1609"/>
      <c r="D162" s="1154"/>
      <c r="E162" s="469" t="s">
        <v>51</v>
      </c>
      <c r="F162" s="1160">
        <f t="shared" si="0"/>
        <v>5</v>
      </c>
      <c r="G162" s="1161">
        <f t="shared" si="1"/>
        <v>0</v>
      </c>
      <c r="H162" s="1162">
        <f t="shared" si="2"/>
        <v>0</v>
      </c>
      <c r="I162" s="1163">
        <f t="shared" si="3"/>
        <v>5</v>
      </c>
      <c r="J162" s="1155"/>
      <c r="K162" s="446"/>
      <c r="L162" s="446"/>
      <c r="M162" s="446"/>
      <c r="N162" s="488"/>
      <c r="O162" s="321"/>
      <c r="P162" s="321"/>
      <c r="Q162" s="321"/>
      <c r="R162" s="321"/>
      <c r="S162" s="321"/>
      <c r="T162" s="321"/>
      <c r="U162" s="321"/>
      <c r="V162" s="321"/>
    </row>
    <row r="163" spans="1:22">
      <c r="A163" s="321"/>
      <c r="B163" s="360"/>
      <c r="C163" s="1609"/>
      <c r="D163" s="1154"/>
      <c r="E163" s="469" t="s">
        <v>52</v>
      </c>
      <c r="F163" s="1160">
        <f t="shared" si="0"/>
        <v>11</v>
      </c>
      <c r="G163" s="1161">
        <f t="shared" si="1"/>
        <v>0</v>
      </c>
      <c r="H163" s="1162">
        <f t="shared" si="2"/>
        <v>1</v>
      </c>
      <c r="I163" s="1163">
        <f t="shared" si="3"/>
        <v>10</v>
      </c>
      <c r="J163" s="1155"/>
      <c r="K163" s="446"/>
      <c r="L163" s="446"/>
      <c r="M163" s="446"/>
      <c r="N163" s="488"/>
      <c r="O163" s="321"/>
      <c r="P163" s="321"/>
      <c r="Q163" s="321"/>
      <c r="R163" s="321"/>
      <c r="S163" s="321"/>
      <c r="T163" s="321"/>
      <c r="U163" s="321"/>
      <c r="V163" s="321"/>
    </row>
    <row r="164" spans="1:22">
      <c r="A164" s="321"/>
      <c r="B164" s="321"/>
      <c r="C164" s="1609"/>
      <c r="D164" s="1154"/>
      <c r="E164" s="469" t="s">
        <v>53</v>
      </c>
      <c r="F164" s="1160">
        <f t="shared" si="0"/>
        <v>11</v>
      </c>
      <c r="G164" s="1161">
        <f t="shared" si="1"/>
        <v>3</v>
      </c>
      <c r="H164" s="1162">
        <f t="shared" si="2"/>
        <v>3</v>
      </c>
      <c r="I164" s="1163">
        <f t="shared" si="3"/>
        <v>5</v>
      </c>
      <c r="J164" s="1155"/>
      <c r="K164" s="446"/>
      <c r="L164" s="446"/>
      <c r="M164" s="446"/>
      <c r="N164" s="446"/>
      <c r="O164" s="321"/>
      <c r="P164" s="321"/>
      <c r="Q164" s="321"/>
      <c r="R164" s="321"/>
      <c r="S164" s="321"/>
      <c r="T164" s="321"/>
      <c r="U164" s="321"/>
      <c r="V164" s="321"/>
    </row>
    <row r="165" spans="1:22" ht="16.5" thickBot="1">
      <c r="A165" s="321"/>
      <c r="B165" s="360"/>
      <c r="C165" s="1609"/>
      <c r="D165" s="1154"/>
      <c r="E165" s="470" t="s">
        <v>54</v>
      </c>
      <c r="F165" s="1164">
        <f t="shared" si="0"/>
        <v>0</v>
      </c>
      <c r="G165" s="1165">
        <f t="shared" si="1"/>
        <v>0</v>
      </c>
      <c r="H165" s="1166">
        <f t="shared" si="2"/>
        <v>0</v>
      </c>
      <c r="I165" s="1167">
        <f t="shared" si="3"/>
        <v>0</v>
      </c>
      <c r="J165" s="1155"/>
      <c r="K165" s="446"/>
      <c r="L165" s="446"/>
      <c r="M165" s="446"/>
      <c r="N165" s="488"/>
      <c r="O165" s="321"/>
      <c r="P165" s="321"/>
      <c r="Q165" s="321"/>
      <c r="R165" s="321"/>
      <c r="S165" s="321"/>
      <c r="T165" s="321"/>
      <c r="U165" s="321"/>
      <c r="V165" s="321"/>
    </row>
    <row r="166" spans="1:22">
      <c r="A166" s="321"/>
      <c r="B166" s="321"/>
      <c r="C166" s="1609"/>
      <c r="D166" s="1154"/>
      <c r="E166" s="1154"/>
      <c r="F166" s="1154"/>
      <c r="G166" s="1154"/>
      <c r="H166" s="1154"/>
      <c r="I166" s="1154"/>
      <c r="J166" s="1155"/>
      <c r="K166" s="446"/>
      <c r="L166" s="446"/>
      <c r="M166" s="446"/>
      <c r="N166" s="446"/>
      <c r="O166" s="321"/>
      <c r="P166" s="321"/>
      <c r="Q166" s="321"/>
      <c r="R166" s="321"/>
      <c r="S166" s="321"/>
      <c r="T166" s="321"/>
      <c r="U166" s="321"/>
      <c r="V166" s="321"/>
    </row>
    <row r="167" spans="1:22" ht="16.5" thickBot="1">
      <c r="A167" s="321"/>
      <c r="B167" s="360"/>
      <c r="C167" s="1610"/>
      <c r="D167" s="1156"/>
      <c r="E167" s="1156"/>
      <c r="F167" s="1156"/>
      <c r="G167" s="1156"/>
      <c r="H167" s="1156"/>
      <c r="I167" s="1156"/>
      <c r="J167" s="1157"/>
      <c r="K167" s="446"/>
      <c r="L167" s="446"/>
      <c r="M167" s="446"/>
      <c r="N167" s="488"/>
      <c r="O167" s="321"/>
      <c r="P167" s="321"/>
      <c r="Q167" s="321"/>
      <c r="R167" s="321"/>
      <c r="S167" s="321"/>
      <c r="T167" s="321"/>
      <c r="U167" s="321"/>
      <c r="V167" s="321"/>
    </row>
    <row r="168" spans="1:22">
      <c r="A168" s="321"/>
      <c r="B168" s="360"/>
      <c r="C168" s="488"/>
      <c r="D168" s="446"/>
      <c r="E168" s="446"/>
      <c r="F168" s="446"/>
      <c r="G168" s="446"/>
      <c r="H168" s="446"/>
      <c r="I168" s="446"/>
      <c r="J168" s="446"/>
      <c r="K168" s="446"/>
      <c r="L168" s="446"/>
      <c r="M168" s="446"/>
      <c r="N168" s="488"/>
      <c r="O168" s="321"/>
      <c r="P168" s="321"/>
      <c r="Q168" s="321"/>
      <c r="R168" s="321"/>
      <c r="S168" s="321"/>
      <c r="T168" s="321"/>
      <c r="U168" s="321"/>
      <c r="V168" s="321"/>
    </row>
    <row r="169" spans="1:22" ht="16.5" thickBot="1">
      <c r="A169" s="321"/>
      <c r="B169" s="360"/>
      <c r="C169" s="488"/>
      <c r="D169" s="446"/>
      <c r="E169" s="446"/>
      <c r="F169" s="446"/>
      <c r="G169" s="446"/>
      <c r="H169" s="446"/>
      <c r="I169" s="446"/>
      <c r="J169" s="446"/>
      <c r="K169" s="446"/>
      <c r="L169" s="446"/>
      <c r="M169" s="446"/>
      <c r="N169" s="488"/>
      <c r="O169" s="321"/>
      <c r="P169" s="321"/>
      <c r="Q169" s="321"/>
      <c r="R169" s="321"/>
      <c r="S169" s="321"/>
      <c r="T169" s="321"/>
      <c r="U169" s="321"/>
      <c r="V169" s="321"/>
    </row>
    <row r="170" spans="1:22" ht="16.5" customHeight="1" thickBot="1">
      <c r="A170" s="321"/>
      <c r="B170" s="360"/>
      <c r="C170" s="1600" t="s">
        <v>138</v>
      </c>
      <c r="D170" s="471"/>
      <c r="E170" s="472"/>
      <c r="F170" s="472"/>
      <c r="G170" s="472"/>
      <c r="H170" s="472"/>
      <c r="I170" s="472"/>
      <c r="J170" s="472"/>
      <c r="K170" s="472"/>
      <c r="L170" s="472"/>
      <c r="M170" s="472"/>
      <c r="N170" s="473"/>
      <c r="O170" s="321"/>
      <c r="P170" s="321"/>
      <c r="Q170" s="321"/>
      <c r="R170" s="321"/>
      <c r="S170" s="321"/>
      <c r="T170" s="321"/>
      <c r="U170" s="321"/>
      <c r="V170" s="321"/>
    </row>
    <row r="171" spans="1:22">
      <c r="A171" s="321"/>
      <c r="B171" s="360"/>
      <c r="C171" s="1601"/>
      <c r="D171" s="474"/>
      <c r="E171" s="1220" t="s">
        <v>160</v>
      </c>
      <c r="F171" s="1221"/>
      <c r="G171" s="1221"/>
      <c r="H171" s="1221"/>
      <c r="I171" s="1221"/>
      <c r="J171" s="1221"/>
      <c r="K171" s="1221"/>
      <c r="L171" s="1221"/>
      <c r="M171" s="1222"/>
      <c r="N171" s="1168"/>
      <c r="O171" s="321"/>
      <c r="P171" s="321"/>
      <c r="Q171" s="321"/>
      <c r="R171" s="321"/>
      <c r="S171" s="321"/>
      <c r="T171" s="321"/>
      <c r="U171" s="321"/>
      <c r="V171" s="321"/>
    </row>
    <row r="172" spans="1:22">
      <c r="A172" s="321"/>
      <c r="B172" s="360"/>
      <c r="C172" s="1601"/>
      <c r="D172" s="474"/>
      <c r="E172" s="1223"/>
      <c r="F172" s="1224"/>
      <c r="G172" s="1224"/>
      <c r="H172" s="1224"/>
      <c r="I172" s="1224"/>
      <c r="J172" s="1224"/>
      <c r="K172" s="1224"/>
      <c r="L172" s="1224"/>
      <c r="M172" s="1225"/>
      <c r="N172" s="475"/>
      <c r="O172" s="321"/>
      <c r="P172" s="321"/>
      <c r="Q172" s="321"/>
      <c r="R172" s="321"/>
      <c r="S172" s="321"/>
      <c r="T172" s="321"/>
      <c r="U172" s="321"/>
      <c r="V172" s="321"/>
    </row>
    <row r="173" spans="1:22">
      <c r="A173" s="321"/>
      <c r="B173" s="360"/>
      <c r="C173" s="1601"/>
      <c r="D173" s="474"/>
      <c r="E173" s="464" t="s">
        <v>161</v>
      </c>
      <c r="F173" s="1603" t="s">
        <v>159</v>
      </c>
      <c r="G173" s="1604"/>
      <c r="H173" s="1605" t="s">
        <v>143</v>
      </c>
      <c r="I173" s="1606"/>
      <c r="J173" s="1605" t="s">
        <v>162</v>
      </c>
      <c r="K173" s="1606"/>
      <c r="L173" s="1030" t="s">
        <v>163</v>
      </c>
      <c r="M173" s="1032"/>
      <c r="N173" s="475"/>
      <c r="O173" s="321"/>
      <c r="P173" s="321"/>
      <c r="Q173" s="321"/>
      <c r="R173" s="321"/>
      <c r="S173" s="321"/>
      <c r="T173" s="321"/>
      <c r="U173" s="321"/>
      <c r="V173" s="321"/>
    </row>
    <row r="174" spans="1:22">
      <c r="A174" s="321"/>
      <c r="B174" s="321"/>
      <c r="C174" s="1601"/>
      <c r="D174" s="474"/>
      <c r="E174" s="476" t="s">
        <v>47</v>
      </c>
      <c r="F174" s="1169">
        <f t="shared" ref="F174:G181" si="4">SUM(H174,J174,L174)</f>
        <v>3</v>
      </c>
      <c r="G174" s="1170">
        <f t="shared" si="4"/>
        <v>0</v>
      </c>
      <c r="H174" s="1169">
        <f t="shared" ref="H174:H181" si="5">COUNTIFS(I$1:I$136, E174,J$1:J$136, "Positif",G$1:G$136, 40)</f>
        <v>3</v>
      </c>
      <c r="I174" s="1170">
        <f t="shared" ref="I174:I181" si="6">COUNTIFS(I$1:I$136,E174,J$1:J$136,"Negatif",G$1:G$136,40)+COUNTIFS(I$1:I$136,E174,J$1:J$136,"Négatif",G$1:G$136,40)</f>
        <v>0</v>
      </c>
      <c r="J174" s="1169">
        <f t="shared" ref="J174:J181" si="7">COUNTIFS(I$1:I$136, E174,J$1:J$136, "Positif",G$1:G$136, 65)</f>
        <v>0</v>
      </c>
      <c r="K174" s="1170">
        <f t="shared" ref="K174:K181" si="8">COUNTIFS(I$1:I$136,E174,J$1:J$136,"Negatif",G$1:G$136,65)+COUNTIFS(I$1:I$136,E174,J$1:J$136,"Négatif",G$1:G$136,65)</f>
        <v>0</v>
      </c>
      <c r="L174" s="1169">
        <f t="shared" ref="L174:L181" si="9">COUNTIFS(I$1:I$136, E174,J$1:J$136, "Positif",G$1:G$136,64)</f>
        <v>0</v>
      </c>
      <c r="M174" s="1171">
        <f t="shared" ref="M174:M181" si="10">COUNTIFS(I$1:I$136,E174,J$1:J$136,"Negatif",G$1:G$136,64)+COUNTIFS(I$1:I$136,E174,J$1:J$136,"Négatif",G$1:G$136,64)</f>
        <v>0</v>
      </c>
      <c r="N174" s="475"/>
      <c r="O174" s="321"/>
      <c r="P174" s="321"/>
      <c r="Q174" s="321"/>
      <c r="R174" s="321"/>
      <c r="S174" s="321"/>
      <c r="T174" s="321"/>
      <c r="U174" s="321"/>
      <c r="V174" s="321"/>
    </row>
    <row r="175" spans="1:22">
      <c r="A175" s="321"/>
      <c r="B175" s="321"/>
      <c r="C175" s="1601"/>
      <c r="D175" s="474"/>
      <c r="E175" s="476" t="s">
        <v>48</v>
      </c>
      <c r="F175" s="1169">
        <f t="shared" si="4"/>
        <v>0</v>
      </c>
      <c r="G175" s="1170">
        <f t="shared" si="4"/>
        <v>0</v>
      </c>
      <c r="H175" s="1169">
        <f t="shared" si="5"/>
        <v>0</v>
      </c>
      <c r="I175" s="1170">
        <f t="shared" si="6"/>
        <v>0</v>
      </c>
      <c r="J175" s="1169">
        <f t="shared" si="7"/>
        <v>0</v>
      </c>
      <c r="K175" s="1170">
        <f t="shared" si="8"/>
        <v>0</v>
      </c>
      <c r="L175" s="1169">
        <f t="shared" si="9"/>
        <v>0</v>
      </c>
      <c r="M175" s="1171">
        <f t="shared" si="10"/>
        <v>0</v>
      </c>
      <c r="N175" s="475"/>
      <c r="O175" s="321"/>
      <c r="P175" s="321"/>
      <c r="Q175" s="321"/>
      <c r="R175" s="321"/>
      <c r="S175" s="321"/>
      <c r="T175" s="321"/>
      <c r="U175" s="321"/>
      <c r="V175" s="321"/>
    </row>
    <row r="176" spans="1:22">
      <c r="A176" s="321"/>
      <c r="B176" s="321"/>
      <c r="C176" s="1601"/>
      <c r="D176" s="474"/>
      <c r="E176" s="476" t="s">
        <v>49</v>
      </c>
      <c r="F176" s="1169">
        <f t="shared" si="4"/>
        <v>20</v>
      </c>
      <c r="G176" s="1170">
        <f t="shared" si="4"/>
        <v>0</v>
      </c>
      <c r="H176" s="1169">
        <f t="shared" si="5"/>
        <v>5</v>
      </c>
      <c r="I176" s="1170">
        <f t="shared" si="6"/>
        <v>0</v>
      </c>
      <c r="J176" s="1169">
        <f t="shared" si="7"/>
        <v>10</v>
      </c>
      <c r="K176" s="1170">
        <f t="shared" si="8"/>
        <v>0</v>
      </c>
      <c r="L176" s="1169">
        <f t="shared" si="9"/>
        <v>5</v>
      </c>
      <c r="M176" s="1171">
        <f t="shared" si="10"/>
        <v>0</v>
      </c>
      <c r="N176" s="475"/>
      <c r="O176" s="321"/>
      <c r="P176" s="321"/>
      <c r="Q176" s="321"/>
      <c r="R176" s="321"/>
      <c r="S176" s="321"/>
      <c r="T176" s="321"/>
      <c r="U176" s="321"/>
      <c r="V176" s="321"/>
    </row>
    <row r="177" spans="1:22">
      <c r="A177" s="321"/>
      <c r="B177" s="321"/>
      <c r="C177" s="1601"/>
      <c r="D177" s="474"/>
      <c r="E177" s="476" t="s">
        <v>50</v>
      </c>
      <c r="F177" s="1169">
        <f t="shared" si="4"/>
        <v>0</v>
      </c>
      <c r="G177" s="1170">
        <f t="shared" si="4"/>
        <v>0</v>
      </c>
      <c r="H177" s="1169">
        <f t="shared" si="5"/>
        <v>0</v>
      </c>
      <c r="I177" s="1170">
        <f t="shared" si="6"/>
        <v>0</v>
      </c>
      <c r="J177" s="1169">
        <f t="shared" si="7"/>
        <v>0</v>
      </c>
      <c r="K177" s="1170">
        <f t="shared" si="8"/>
        <v>0</v>
      </c>
      <c r="L177" s="1169">
        <f t="shared" si="9"/>
        <v>0</v>
      </c>
      <c r="M177" s="1171">
        <f t="shared" si="10"/>
        <v>0</v>
      </c>
      <c r="N177" s="475"/>
      <c r="O177" s="321"/>
      <c r="P177" s="321"/>
      <c r="Q177" s="321"/>
      <c r="R177" s="321"/>
      <c r="S177" s="321"/>
      <c r="T177" s="321"/>
      <c r="U177" s="321"/>
      <c r="V177" s="321"/>
    </row>
    <row r="178" spans="1:22">
      <c r="A178" s="321"/>
      <c r="B178" s="360"/>
      <c r="C178" s="1601"/>
      <c r="D178" s="474"/>
      <c r="E178" s="476" t="s">
        <v>51</v>
      </c>
      <c r="F178" s="1169">
        <f t="shared" si="4"/>
        <v>5</v>
      </c>
      <c r="G178" s="1170">
        <f t="shared" si="4"/>
        <v>0</v>
      </c>
      <c r="H178" s="1169">
        <f t="shared" si="5"/>
        <v>0</v>
      </c>
      <c r="I178" s="1170">
        <f t="shared" si="6"/>
        <v>0</v>
      </c>
      <c r="J178" s="1169">
        <f t="shared" si="7"/>
        <v>0</v>
      </c>
      <c r="K178" s="1170">
        <f t="shared" si="8"/>
        <v>0</v>
      </c>
      <c r="L178" s="1169">
        <f t="shared" si="9"/>
        <v>5</v>
      </c>
      <c r="M178" s="1171">
        <f t="shared" si="10"/>
        <v>0</v>
      </c>
      <c r="N178" s="475"/>
      <c r="O178" s="321"/>
      <c r="P178" s="321"/>
      <c r="Q178" s="321"/>
      <c r="R178" s="321"/>
      <c r="S178" s="321"/>
      <c r="T178" s="321"/>
      <c r="U178" s="321"/>
      <c r="V178" s="321"/>
    </row>
    <row r="179" spans="1:22">
      <c r="A179" s="321"/>
      <c r="B179" s="360"/>
      <c r="C179" s="1601"/>
      <c r="D179" s="474"/>
      <c r="E179" s="476" t="s">
        <v>52</v>
      </c>
      <c r="F179" s="1169">
        <f t="shared" si="4"/>
        <v>11</v>
      </c>
      <c r="G179" s="1170">
        <f t="shared" si="4"/>
        <v>0</v>
      </c>
      <c r="H179" s="1169">
        <f t="shared" si="5"/>
        <v>0</v>
      </c>
      <c r="I179" s="1170">
        <f t="shared" si="6"/>
        <v>0</v>
      </c>
      <c r="J179" s="1169">
        <f t="shared" si="7"/>
        <v>1</v>
      </c>
      <c r="K179" s="1170">
        <f t="shared" si="8"/>
        <v>0</v>
      </c>
      <c r="L179" s="1169">
        <f t="shared" si="9"/>
        <v>10</v>
      </c>
      <c r="M179" s="1171">
        <f t="shared" si="10"/>
        <v>0</v>
      </c>
      <c r="N179" s="475"/>
      <c r="O179" s="321"/>
      <c r="P179" s="321"/>
      <c r="Q179" s="321"/>
      <c r="R179" s="321"/>
      <c r="S179" s="321"/>
      <c r="T179" s="321"/>
      <c r="U179" s="321"/>
      <c r="V179" s="321"/>
    </row>
    <row r="180" spans="1:22">
      <c r="A180" s="321"/>
      <c r="B180" s="360"/>
      <c r="C180" s="1601"/>
      <c r="D180" s="474"/>
      <c r="E180" s="476" t="s">
        <v>53</v>
      </c>
      <c r="F180" s="1169">
        <f t="shared" si="4"/>
        <v>11</v>
      </c>
      <c r="G180" s="1170">
        <f t="shared" si="4"/>
        <v>0</v>
      </c>
      <c r="H180" s="1169">
        <f t="shared" si="5"/>
        <v>3</v>
      </c>
      <c r="I180" s="1170">
        <f t="shared" si="6"/>
        <v>0</v>
      </c>
      <c r="J180" s="1169">
        <f t="shared" si="7"/>
        <v>3</v>
      </c>
      <c r="K180" s="1170">
        <f t="shared" si="8"/>
        <v>0</v>
      </c>
      <c r="L180" s="1169">
        <f t="shared" si="9"/>
        <v>5</v>
      </c>
      <c r="M180" s="1171">
        <f t="shared" si="10"/>
        <v>0</v>
      </c>
      <c r="N180" s="475"/>
      <c r="O180" s="321"/>
      <c r="P180" s="321"/>
      <c r="Q180" s="321"/>
      <c r="R180" s="321"/>
      <c r="S180" s="321"/>
      <c r="T180" s="321"/>
      <c r="U180" s="321"/>
      <c r="V180" s="321"/>
    </row>
    <row r="181" spans="1:22" ht="16.5" thickBot="1">
      <c r="A181" s="321"/>
      <c r="B181" s="360"/>
      <c r="C181" s="1601"/>
      <c r="D181" s="474"/>
      <c r="E181" s="477" t="s">
        <v>54</v>
      </c>
      <c r="F181" s="1172">
        <f t="shared" si="4"/>
        <v>0</v>
      </c>
      <c r="G181" s="1173">
        <f t="shared" si="4"/>
        <v>0</v>
      </c>
      <c r="H181" s="1172">
        <f t="shared" si="5"/>
        <v>0</v>
      </c>
      <c r="I181" s="1173">
        <f t="shared" si="6"/>
        <v>0</v>
      </c>
      <c r="J181" s="1172">
        <f t="shared" si="7"/>
        <v>0</v>
      </c>
      <c r="K181" s="1173">
        <f t="shared" si="8"/>
        <v>0</v>
      </c>
      <c r="L181" s="1172">
        <f t="shared" si="9"/>
        <v>0</v>
      </c>
      <c r="M181" s="1174">
        <f t="shared" si="10"/>
        <v>0</v>
      </c>
      <c r="N181" s="475"/>
      <c r="O181" s="321"/>
      <c r="P181" s="321"/>
      <c r="Q181" s="321"/>
      <c r="R181" s="321"/>
      <c r="S181" s="321"/>
      <c r="T181" s="321"/>
      <c r="U181" s="321"/>
      <c r="V181" s="321"/>
    </row>
    <row r="182" spans="1:22">
      <c r="A182" s="321"/>
      <c r="B182" s="360"/>
      <c r="C182" s="1601"/>
      <c r="D182" s="474"/>
      <c r="E182" s="478"/>
      <c r="F182" s="479"/>
      <c r="G182" s="479"/>
      <c r="H182" s="479"/>
      <c r="I182" s="479"/>
      <c r="J182" s="480"/>
      <c r="K182" s="480"/>
      <c r="L182" s="480"/>
      <c r="M182" s="480"/>
      <c r="N182" s="475"/>
      <c r="O182" s="321"/>
      <c r="P182" s="321"/>
      <c r="Q182" s="321"/>
      <c r="R182" s="321"/>
      <c r="S182" s="321"/>
      <c r="T182" s="321"/>
      <c r="U182" s="321"/>
      <c r="V182" s="321"/>
    </row>
    <row r="183" spans="1:22" ht="16.5" thickBot="1">
      <c r="A183" s="321"/>
      <c r="B183" s="360"/>
      <c r="C183" s="1602"/>
      <c r="D183" s="481"/>
      <c r="E183" s="482"/>
      <c r="F183" s="482"/>
      <c r="G183" s="482"/>
      <c r="H183" s="482"/>
      <c r="I183" s="482"/>
      <c r="J183" s="482"/>
      <c r="K183" s="482"/>
      <c r="L183" s="482"/>
      <c r="M183" s="482"/>
      <c r="N183" s="483"/>
      <c r="O183" s="321"/>
      <c r="P183" s="321"/>
      <c r="Q183" s="321"/>
      <c r="R183" s="321"/>
      <c r="S183" s="321"/>
      <c r="T183" s="321"/>
      <c r="U183" s="321"/>
      <c r="V183" s="321"/>
    </row>
    <row r="184" spans="1:22">
      <c r="A184" s="321"/>
      <c r="B184" s="321"/>
      <c r="C184" s="351"/>
      <c r="D184" s="323"/>
      <c r="E184" s="324"/>
      <c r="F184" s="321"/>
      <c r="G184" s="325"/>
      <c r="H184" s="321"/>
      <c r="I184" s="321"/>
      <c r="J184" s="322"/>
      <c r="K184" s="321"/>
      <c r="L184" s="360"/>
      <c r="M184" s="392"/>
      <c r="N184" s="321"/>
      <c r="O184" s="321"/>
      <c r="P184" s="321"/>
      <c r="Q184" s="321"/>
      <c r="R184" s="321"/>
      <c r="S184" s="321"/>
      <c r="T184" s="321"/>
      <c r="U184" s="321"/>
      <c r="V184" s="321"/>
    </row>
    <row r="185" spans="1:22">
      <c r="A185" s="321"/>
      <c r="B185" s="321"/>
      <c r="C185" s="351"/>
      <c r="D185" s="323"/>
      <c r="E185" s="324"/>
      <c r="F185" s="321"/>
      <c r="G185" s="325"/>
      <c r="H185" s="321"/>
      <c r="I185" s="321"/>
      <c r="J185" s="322"/>
      <c r="K185" s="321"/>
      <c r="L185" s="360"/>
      <c r="M185" s="392"/>
      <c r="N185" s="321"/>
      <c r="O185" s="321"/>
      <c r="P185" s="321"/>
      <c r="Q185" s="321"/>
      <c r="R185" s="321"/>
      <c r="S185" s="321"/>
      <c r="T185" s="321"/>
      <c r="U185" s="321"/>
      <c r="V185" s="321"/>
    </row>
    <row r="186" spans="1:22">
      <c r="A186" s="321"/>
      <c r="B186" s="321"/>
      <c r="C186" s="351"/>
      <c r="D186" s="323"/>
      <c r="E186" s="324"/>
      <c r="F186" s="321"/>
      <c r="G186" s="325"/>
      <c r="H186" s="321"/>
      <c r="I186" s="321"/>
      <c r="J186" s="322"/>
      <c r="K186" s="321"/>
      <c r="L186" s="360"/>
      <c r="M186" s="392"/>
      <c r="N186" s="321"/>
      <c r="O186" s="321"/>
      <c r="P186" s="321"/>
      <c r="Q186" s="321"/>
      <c r="R186" s="321"/>
      <c r="S186" s="321"/>
      <c r="T186" s="321"/>
      <c r="U186" s="321"/>
      <c r="V186" s="321"/>
    </row>
    <row r="187" spans="1:22">
      <c r="A187" s="321"/>
      <c r="B187" s="321"/>
      <c r="C187" s="351"/>
      <c r="D187" s="323"/>
      <c r="E187" s="324"/>
      <c r="F187" s="321"/>
      <c r="G187" s="325"/>
      <c r="H187" s="321"/>
      <c r="I187" s="321"/>
      <c r="J187" s="322"/>
      <c r="K187" s="321"/>
      <c r="L187" s="360"/>
      <c r="M187" s="392"/>
      <c r="N187" s="321"/>
      <c r="O187" s="321"/>
      <c r="P187" s="321"/>
      <c r="Q187" s="321"/>
      <c r="R187" s="321"/>
      <c r="S187" s="321"/>
      <c r="T187" s="321"/>
      <c r="U187" s="321"/>
      <c r="V187" s="321"/>
    </row>
    <row r="188" spans="1:22">
      <c r="A188" s="321"/>
      <c r="B188" s="321"/>
      <c r="C188" s="351"/>
      <c r="D188" s="323"/>
      <c r="E188" s="324"/>
      <c r="F188" s="321"/>
      <c r="G188" s="325"/>
      <c r="H188" s="321"/>
      <c r="I188" s="321"/>
      <c r="J188" s="322"/>
      <c r="K188" s="321"/>
      <c r="L188" s="360"/>
      <c r="M188" s="392"/>
      <c r="N188" s="321"/>
      <c r="O188" s="321"/>
      <c r="P188" s="321"/>
      <c r="Q188" s="321"/>
      <c r="R188" s="321"/>
      <c r="S188" s="321"/>
      <c r="T188" s="321"/>
      <c r="U188" s="321"/>
      <c r="V188" s="321"/>
    </row>
    <row r="189" spans="1:22">
      <c r="A189" s="321"/>
      <c r="B189" s="321"/>
      <c r="C189" s="351"/>
      <c r="D189" s="323"/>
      <c r="E189" s="324"/>
      <c r="F189" s="321"/>
      <c r="G189" s="325"/>
      <c r="H189" s="321"/>
      <c r="I189" s="321"/>
      <c r="J189" s="322"/>
      <c r="K189" s="321"/>
      <c r="L189" s="360"/>
      <c r="M189" s="392"/>
      <c r="N189" s="321"/>
      <c r="O189" s="321"/>
      <c r="P189" s="321"/>
      <c r="Q189" s="321"/>
      <c r="R189" s="321"/>
      <c r="S189" s="321"/>
      <c r="T189" s="321"/>
      <c r="U189" s="321"/>
      <c r="V189" s="321"/>
    </row>
    <row r="190" spans="1:22">
      <c r="A190" s="321"/>
      <c r="B190" s="321"/>
      <c r="C190" s="351"/>
      <c r="D190" s="323"/>
      <c r="E190" s="324"/>
      <c r="F190" s="321"/>
      <c r="G190" s="325"/>
      <c r="H190" s="321"/>
      <c r="I190" s="321"/>
      <c r="J190" s="322"/>
      <c r="K190" s="321"/>
      <c r="L190" s="360"/>
      <c r="M190" s="392"/>
      <c r="N190" s="321"/>
      <c r="O190" s="321"/>
      <c r="P190" s="321"/>
      <c r="Q190" s="321"/>
      <c r="R190" s="321"/>
      <c r="S190" s="321"/>
      <c r="T190" s="321"/>
      <c r="U190" s="321"/>
      <c r="V190" s="321"/>
    </row>
    <row r="191" spans="1:22">
      <c r="A191" s="321"/>
      <c r="B191" s="321"/>
      <c r="C191" s="351"/>
      <c r="D191" s="323"/>
      <c r="E191" s="324"/>
      <c r="F191" s="321"/>
      <c r="G191" s="325"/>
      <c r="H191" s="321"/>
      <c r="I191" s="321"/>
      <c r="J191" s="322"/>
      <c r="K191" s="321"/>
      <c r="L191" s="360"/>
      <c r="M191" s="392"/>
      <c r="N191" s="321"/>
      <c r="O191" s="321"/>
      <c r="P191" s="321"/>
      <c r="Q191" s="321"/>
      <c r="R191" s="321"/>
      <c r="S191" s="321"/>
      <c r="T191" s="321"/>
      <c r="U191" s="321"/>
      <c r="V191" s="321"/>
    </row>
    <row r="192" spans="1:22">
      <c r="A192" s="321"/>
      <c r="B192" s="321"/>
      <c r="C192" s="351"/>
      <c r="D192" s="323"/>
      <c r="E192" s="324"/>
      <c r="F192" s="321"/>
      <c r="G192" s="325"/>
      <c r="H192" s="321"/>
      <c r="I192" s="321"/>
      <c r="J192" s="322"/>
      <c r="K192" s="321"/>
      <c r="L192" s="360"/>
      <c r="M192" s="392"/>
      <c r="N192" s="321"/>
      <c r="O192" s="321"/>
      <c r="P192" s="321"/>
      <c r="Q192" s="321"/>
      <c r="R192" s="321"/>
      <c r="S192" s="321"/>
      <c r="T192" s="321"/>
      <c r="U192" s="321"/>
      <c r="V192" s="321"/>
    </row>
    <row r="193" spans="1:22">
      <c r="A193" s="321"/>
      <c r="B193" s="321"/>
      <c r="C193" s="351"/>
      <c r="D193" s="323"/>
      <c r="E193" s="324"/>
      <c r="F193" s="321"/>
      <c r="G193" s="325"/>
      <c r="H193" s="321"/>
      <c r="I193" s="321"/>
      <c r="J193" s="322"/>
      <c r="K193" s="321"/>
      <c r="L193" s="360"/>
      <c r="M193" s="392"/>
      <c r="N193" s="321"/>
      <c r="O193" s="321"/>
      <c r="P193" s="321"/>
      <c r="Q193" s="321"/>
      <c r="R193" s="321"/>
      <c r="S193" s="321"/>
      <c r="T193" s="321"/>
      <c r="U193" s="321"/>
      <c r="V193" s="321"/>
    </row>
    <row r="194" spans="1:22">
      <c r="A194" s="321"/>
      <c r="B194" s="321"/>
      <c r="C194" s="351"/>
      <c r="D194" s="323"/>
      <c r="E194" s="324"/>
      <c r="F194" s="321"/>
      <c r="G194" s="325"/>
      <c r="H194" s="321"/>
      <c r="I194" s="321"/>
      <c r="J194" s="322"/>
      <c r="K194" s="321"/>
      <c r="L194" s="360"/>
      <c r="M194" s="392"/>
      <c r="N194" s="321"/>
      <c r="O194" s="321"/>
      <c r="P194" s="321"/>
      <c r="Q194" s="321"/>
      <c r="R194" s="321"/>
      <c r="S194" s="321"/>
      <c r="T194" s="321"/>
      <c r="U194" s="321"/>
      <c r="V194" s="321"/>
    </row>
    <row r="195" spans="1:22">
      <c r="A195" s="321"/>
      <c r="B195" s="321"/>
      <c r="C195" s="351"/>
      <c r="D195" s="323"/>
      <c r="E195" s="324"/>
      <c r="F195" s="321"/>
      <c r="G195" s="325"/>
      <c r="H195" s="321"/>
      <c r="I195" s="321"/>
      <c r="J195" s="322"/>
      <c r="K195" s="321"/>
      <c r="L195" s="360"/>
      <c r="M195" s="392"/>
      <c r="N195" s="321"/>
      <c r="O195" s="321"/>
      <c r="P195" s="321"/>
      <c r="Q195" s="321"/>
      <c r="R195" s="321"/>
      <c r="S195" s="321"/>
      <c r="T195" s="321"/>
      <c r="U195" s="321"/>
      <c r="V195" s="321"/>
    </row>
    <row r="196" spans="1:22">
      <c r="A196" s="321"/>
      <c r="B196" s="321"/>
      <c r="C196" s="351"/>
      <c r="D196" s="323"/>
      <c r="E196" s="324"/>
      <c r="F196" s="321"/>
      <c r="G196" s="325"/>
      <c r="H196" s="321"/>
      <c r="I196" s="321"/>
      <c r="J196" s="322"/>
      <c r="K196" s="321"/>
      <c r="L196" s="360"/>
      <c r="M196" s="392"/>
      <c r="N196" s="321"/>
      <c r="O196" s="321"/>
      <c r="P196" s="321"/>
      <c r="Q196" s="321"/>
      <c r="R196" s="321"/>
      <c r="S196" s="321"/>
      <c r="T196" s="321"/>
      <c r="U196" s="321"/>
      <c r="V196" s="321"/>
    </row>
    <row r="197" spans="1:22">
      <c r="A197" s="321"/>
      <c r="B197" s="321"/>
      <c r="C197" s="351"/>
      <c r="D197" s="323"/>
      <c r="E197" s="324"/>
      <c r="F197" s="321"/>
      <c r="G197" s="325"/>
      <c r="H197" s="321"/>
      <c r="I197" s="321"/>
      <c r="J197" s="322"/>
      <c r="K197" s="321"/>
      <c r="L197" s="360"/>
      <c r="M197" s="392"/>
      <c r="N197" s="321"/>
      <c r="O197" s="321"/>
      <c r="P197" s="321"/>
      <c r="Q197" s="321"/>
      <c r="R197" s="321"/>
      <c r="S197" s="321"/>
      <c r="T197" s="321"/>
      <c r="U197" s="321"/>
      <c r="V197" s="321"/>
    </row>
    <row r="198" spans="1:22">
      <c r="A198" s="321"/>
      <c r="B198" s="321"/>
      <c r="C198" s="351"/>
      <c r="D198" s="323"/>
      <c r="E198" s="324"/>
      <c r="F198" s="321"/>
      <c r="G198" s="325"/>
      <c r="H198" s="321"/>
      <c r="I198" s="321"/>
      <c r="J198" s="322"/>
      <c r="K198" s="321"/>
      <c r="L198" s="360"/>
      <c r="M198" s="392"/>
      <c r="N198" s="321"/>
      <c r="O198" s="321"/>
      <c r="P198" s="321"/>
      <c r="Q198" s="321"/>
      <c r="R198" s="321"/>
      <c r="S198" s="321"/>
      <c r="T198" s="321"/>
      <c r="U198" s="321"/>
      <c r="V198" s="321"/>
    </row>
    <row r="199" spans="1:22">
      <c r="A199" s="321"/>
      <c r="B199" s="321"/>
      <c r="C199" s="351"/>
      <c r="D199" s="323"/>
      <c r="E199" s="324"/>
      <c r="F199" s="321"/>
      <c r="G199" s="325"/>
      <c r="H199" s="321"/>
      <c r="I199" s="321"/>
      <c r="J199" s="322"/>
      <c r="K199" s="321"/>
      <c r="L199" s="360"/>
      <c r="M199" s="392"/>
      <c r="N199" s="321"/>
      <c r="O199" s="321"/>
      <c r="P199" s="321"/>
      <c r="Q199" s="321"/>
      <c r="R199" s="321"/>
      <c r="S199" s="321"/>
      <c r="T199" s="321"/>
      <c r="U199" s="321"/>
      <c r="V199" s="321"/>
    </row>
    <row r="200" spans="1:22">
      <c r="A200" s="321"/>
      <c r="B200" s="321"/>
      <c r="C200" s="351"/>
      <c r="D200" s="323"/>
      <c r="E200" s="324"/>
      <c r="F200" s="321"/>
      <c r="G200" s="325"/>
      <c r="H200" s="321"/>
      <c r="I200" s="321"/>
      <c r="J200" s="322"/>
      <c r="K200" s="321"/>
      <c r="L200" s="360"/>
      <c r="M200" s="392"/>
      <c r="N200" s="321"/>
      <c r="O200" s="321"/>
      <c r="P200" s="321"/>
      <c r="Q200" s="321"/>
      <c r="R200" s="321"/>
      <c r="S200" s="321"/>
      <c r="T200" s="321"/>
      <c r="U200" s="321"/>
      <c r="V200" s="321"/>
    </row>
    <row r="201" spans="1:22">
      <c r="A201" s="321"/>
      <c r="B201" s="321"/>
      <c r="C201" s="351"/>
      <c r="D201" s="323"/>
      <c r="E201" s="324"/>
      <c r="F201" s="321"/>
      <c r="G201" s="325"/>
      <c r="H201" s="321"/>
      <c r="I201" s="321"/>
      <c r="J201" s="322"/>
      <c r="K201" s="321"/>
      <c r="L201" s="360"/>
      <c r="M201" s="392"/>
      <c r="N201" s="321"/>
      <c r="O201" s="321"/>
      <c r="P201" s="321"/>
      <c r="Q201" s="321"/>
      <c r="R201" s="321"/>
      <c r="S201" s="321"/>
      <c r="T201" s="321"/>
      <c r="U201" s="321"/>
      <c r="V201" s="321"/>
    </row>
    <row r="202" spans="1:22">
      <c r="A202" s="321"/>
      <c r="B202" s="321"/>
      <c r="C202" s="351"/>
      <c r="D202" s="323"/>
      <c r="E202" s="324"/>
      <c r="F202" s="321"/>
      <c r="G202" s="325"/>
      <c r="H202" s="321"/>
      <c r="I202" s="321"/>
      <c r="J202" s="322"/>
      <c r="K202" s="321"/>
      <c r="L202" s="360"/>
      <c r="M202" s="392"/>
      <c r="N202" s="321"/>
      <c r="O202" s="321"/>
      <c r="P202" s="321"/>
      <c r="Q202" s="321"/>
      <c r="R202" s="321"/>
      <c r="S202" s="321"/>
      <c r="T202" s="321"/>
      <c r="U202" s="321"/>
      <c r="V202" s="321"/>
    </row>
    <row r="203" spans="1:22">
      <c r="A203" s="321"/>
      <c r="B203" s="321"/>
      <c r="C203" s="351"/>
      <c r="D203" s="323"/>
      <c r="E203" s="324"/>
      <c r="F203" s="321"/>
      <c r="G203" s="325"/>
      <c r="H203" s="321"/>
      <c r="I203" s="321"/>
      <c r="J203" s="322"/>
      <c r="K203" s="321"/>
      <c r="L203" s="360"/>
      <c r="M203" s="392"/>
      <c r="N203" s="321"/>
      <c r="O203" s="321"/>
      <c r="P203" s="321"/>
      <c r="Q203" s="321"/>
      <c r="R203" s="321"/>
      <c r="S203" s="321"/>
      <c r="T203" s="321"/>
      <c r="U203" s="321"/>
      <c r="V203" s="321"/>
    </row>
    <row r="204" spans="1:22">
      <c r="A204" s="321"/>
      <c r="B204" s="321"/>
      <c r="C204" s="351"/>
      <c r="D204" s="323"/>
      <c r="E204" s="324"/>
      <c r="F204" s="321"/>
      <c r="G204" s="325"/>
      <c r="H204" s="321"/>
      <c r="I204" s="321"/>
      <c r="J204" s="322"/>
      <c r="K204" s="321"/>
      <c r="L204" s="360"/>
      <c r="M204" s="392"/>
      <c r="N204" s="321"/>
      <c r="O204" s="321"/>
      <c r="P204" s="321"/>
      <c r="Q204" s="321"/>
      <c r="R204" s="321"/>
      <c r="S204" s="321"/>
      <c r="T204" s="321"/>
      <c r="U204" s="321"/>
      <c r="V204" s="321"/>
    </row>
    <row r="205" spans="1:22">
      <c r="A205" s="321"/>
      <c r="B205" s="321"/>
      <c r="C205" s="351"/>
      <c r="D205" s="323"/>
      <c r="E205" s="324"/>
      <c r="F205" s="321"/>
      <c r="G205" s="325"/>
      <c r="H205" s="321"/>
      <c r="I205" s="321"/>
      <c r="J205" s="322"/>
      <c r="K205" s="321"/>
      <c r="L205" s="360"/>
      <c r="M205" s="392"/>
      <c r="N205" s="321"/>
      <c r="O205" s="321"/>
      <c r="P205" s="321"/>
      <c r="Q205" s="321"/>
      <c r="R205" s="321"/>
      <c r="S205" s="321"/>
      <c r="T205" s="321"/>
      <c r="U205" s="321"/>
      <c r="V205" s="321"/>
    </row>
    <row r="206" spans="1:22">
      <c r="A206" s="321"/>
      <c r="B206" s="321"/>
      <c r="C206" s="351"/>
      <c r="D206" s="323"/>
      <c r="E206" s="324"/>
      <c r="F206" s="321"/>
      <c r="G206" s="325"/>
      <c r="H206" s="321"/>
      <c r="I206" s="321"/>
      <c r="J206" s="322"/>
      <c r="K206" s="321"/>
      <c r="L206" s="360"/>
      <c r="M206" s="392"/>
      <c r="N206" s="321"/>
      <c r="O206" s="321"/>
      <c r="P206" s="321"/>
      <c r="Q206" s="321"/>
      <c r="R206" s="321"/>
      <c r="S206" s="321"/>
      <c r="T206" s="321"/>
      <c r="U206" s="321"/>
      <c r="V206" s="321"/>
    </row>
    <row r="207" spans="1:22">
      <c r="A207" s="321"/>
      <c r="B207" s="321"/>
      <c r="C207" s="351"/>
      <c r="D207" s="323"/>
      <c r="E207" s="324"/>
      <c r="F207" s="321"/>
      <c r="G207" s="325"/>
      <c r="H207" s="321"/>
      <c r="I207" s="321"/>
      <c r="J207" s="322"/>
      <c r="K207" s="321"/>
      <c r="L207" s="360"/>
      <c r="M207" s="392"/>
      <c r="N207" s="321"/>
      <c r="O207" s="321"/>
      <c r="P207" s="321"/>
      <c r="Q207" s="321"/>
      <c r="R207" s="321"/>
      <c r="S207" s="321"/>
      <c r="T207" s="321"/>
      <c r="U207" s="321"/>
      <c r="V207" s="321"/>
    </row>
    <row r="208" spans="1:22">
      <c r="A208" s="321"/>
      <c r="B208" s="321"/>
      <c r="C208" s="351"/>
      <c r="D208" s="323"/>
      <c r="E208" s="324"/>
      <c r="F208" s="321"/>
      <c r="G208" s="325"/>
      <c r="H208" s="321"/>
      <c r="I208" s="321"/>
      <c r="J208" s="322"/>
      <c r="K208" s="321"/>
      <c r="L208" s="360"/>
      <c r="M208" s="392"/>
      <c r="N208" s="321"/>
      <c r="O208" s="321"/>
      <c r="P208" s="321"/>
      <c r="Q208" s="321"/>
      <c r="R208" s="321"/>
      <c r="S208" s="321"/>
      <c r="T208" s="321"/>
      <c r="U208" s="321"/>
      <c r="V208" s="321"/>
    </row>
    <row r="209" spans="1:22">
      <c r="A209" s="321"/>
      <c r="B209" s="321"/>
      <c r="C209" s="351"/>
      <c r="D209" s="323"/>
      <c r="E209" s="324"/>
      <c r="F209" s="321"/>
      <c r="G209" s="325"/>
      <c r="H209" s="321"/>
      <c r="I209" s="321"/>
      <c r="J209" s="322"/>
      <c r="K209" s="321"/>
      <c r="L209" s="360"/>
      <c r="M209" s="392"/>
      <c r="N209" s="321"/>
      <c r="O209" s="321"/>
      <c r="P209" s="321"/>
      <c r="Q209" s="321"/>
      <c r="R209" s="321"/>
      <c r="S209" s="321"/>
      <c r="T209" s="321"/>
      <c r="U209" s="321"/>
      <c r="V209" s="321"/>
    </row>
    <row r="210" spans="1:22">
      <c r="A210" s="321"/>
      <c r="B210" s="321"/>
      <c r="C210" s="351"/>
      <c r="D210" s="323"/>
      <c r="E210" s="324"/>
      <c r="F210" s="321"/>
      <c r="G210" s="325"/>
      <c r="H210" s="321"/>
      <c r="I210" s="321"/>
      <c r="J210" s="322"/>
      <c r="K210" s="321"/>
      <c r="L210" s="360"/>
      <c r="M210" s="392"/>
      <c r="N210" s="321"/>
      <c r="O210" s="321"/>
      <c r="P210" s="321"/>
      <c r="Q210" s="321"/>
      <c r="R210" s="321"/>
      <c r="S210" s="321"/>
      <c r="T210" s="321"/>
      <c r="U210" s="321"/>
      <c r="V210" s="321"/>
    </row>
    <row r="211" spans="1:22">
      <c r="A211" s="321"/>
      <c r="B211" s="321"/>
      <c r="C211" s="351"/>
      <c r="D211" s="323"/>
      <c r="E211" s="324"/>
      <c r="F211" s="321"/>
      <c r="G211" s="325"/>
      <c r="H211" s="321"/>
      <c r="I211" s="321"/>
      <c r="J211" s="322"/>
      <c r="K211" s="321"/>
      <c r="L211" s="360"/>
      <c r="M211" s="392"/>
      <c r="N211" s="321"/>
      <c r="O211" s="321"/>
      <c r="P211" s="321"/>
      <c r="Q211" s="321"/>
      <c r="R211" s="321"/>
      <c r="S211" s="321"/>
      <c r="T211" s="321"/>
      <c r="U211" s="321"/>
      <c r="V211" s="321"/>
    </row>
    <row r="212" spans="1:22">
      <c r="A212" s="321"/>
      <c r="B212" s="321"/>
      <c r="C212" s="351"/>
      <c r="D212" s="323"/>
      <c r="E212" s="324"/>
      <c r="F212" s="321"/>
      <c r="G212" s="325"/>
      <c r="H212" s="321"/>
      <c r="I212" s="321"/>
      <c r="J212" s="322"/>
      <c r="K212" s="321"/>
      <c r="L212" s="360"/>
      <c r="M212" s="392"/>
      <c r="N212" s="321"/>
      <c r="O212" s="321"/>
      <c r="P212" s="321"/>
      <c r="Q212" s="321"/>
      <c r="R212" s="321"/>
      <c r="S212" s="321"/>
      <c r="T212" s="321"/>
      <c r="U212" s="321"/>
      <c r="V212" s="321"/>
    </row>
    <row r="213" spans="1:22">
      <c r="A213" s="321"/>
      <c r="B213" s="321"/>
      <c r="C213" s="351"/>
      <c r="D213" s="323"/>
      <c r="E213" s="324"/>
      <c r="F213" s="321"/>
      <c r="G213" s="325"/>
      <c r="H213" s="321"/>
      <c r="I213" s="321"/>
      <c r="J213" s="322"/>
      <c r="K213" s="321"/>
      <c r="L213" s="360"/>
      <c r="M213" s="392"/>
      <c r="N213" s="321"/>
      <c r="O213" s="321"/>
      <c r="P213" s="321"/>
      <c r="Q213" s="321"/>
      <c r="R213" s="321"/>
      <c r="S213" s="321"/>
      <c r="T213" s="321"/>
      <c r="U213" s="321"/>
      <c r="V213" s="321"/>
    </row>
    <row r="214" spans="1:22">
      <c r="A214" s="321"/>
      <c r="B214" s="321"/>
      <c r="C214" s="351"/>
      <c r="D214" s="323"/>
      <c r="E214" s="324"/>
      <c r="F214" s="321"/>
      <c r="G214" s="325"/>
      <c r="H214" s="321"/>
      <c r="I214" s="321"/>
      <c r="J214" s="322"/>
      <c r="K214" s="321"/>
      <c r="L214" s="360"/>
      <c r="M214" s="392"/>
      <c r="N214" s="321"/>
      <c r="O214" s="321"/>
      <c r="P214" s="321"/>
      <c r="Q214" s="321"/>
      <c r="R214" s="321"/>
      <c r="S214" s="321"/>
      <c r="T214" s="321"/>
      <c r="U214" s="321"/>
      <c r="V214" s="321"/>
    </row>
    <row r="215" spans="1:22">
      <c r="A215" s="321"/>
      <c r="B215" s="321"/>
      <c r="C215" s="351"/>
      <c r="D215" s="323"/>
      <c r="E215" s="324"/>
      <c r="F215" s="321"/>
      <c r="G215" s="325"/>
      <c r="H215" s="321"/>
      <c r="I215" s="321"/>
      <c r="J215" s="322"/>
      <c r="K215" s="321"/>
      <c r="L215" s="360"/>
      <c r="M215" s="392"/>
      <c r="N215" s="321"/>
      <c r="O215" s="321"/>
      <c r="P215" s="321"/>
      <c r="Q215" s="321"/>
      <c r="R215" s="321"/>
      <c r="S215" s="321"/>
      <c r="T215" s="321"/>
      <c r="U215" s="321"/>
      <c r="V215" s="321"/>
    </row>
    <row r="216" spans="1:22">
      <c r="A216" s="321"/>
      <c r="B216" s="321"/>
      <c r="C216" s="351"/>
      <c r="D216" s="323"/>
      <c r="E216" s="324"/>
      <c r="F216" s="321"/>
      <c r="G216" s="325"/>
      <c r="H216" s="321"/>
      <c r="I216" s="321"/>
      <c r="J216" s="322"/>
      <c r="K216" s="321"/>
      <c r="L216" s="360"/>
      <c r="M216" s="392"/>
      <c r="N216" s="321"/>
      <c r="O216" s="321"/>
      <c r="P216" s="321"/>
      <c r="Q216" s="321"/>
      <c r="R216" s="321"/>
      <c r="S216" s="321"/>
      <c r="T216" s="321"/>
      <c r="U216" s="321"/>
      <c r="V216" s="321"/>
    </row>
    <row r="217" spans="1:22">
      <c r="A217" s="321"/>
      <c r="B217" s="321"/>
      <c r="C217" s="351"/>
      <c r="D217" s="323"/>
      <c r="E217" s="324"/>
      <c r="F217" s="321"/>
      <c r="G217" s="325"/>
      <c r="H217" s="321"/>
      <c r="I217" s="321"/>
      <c r="J217" s="322"/>
      <c r="K217" s="321"/>
      <c r="L217" s="360"/>
      <c r="M217" s="392"/>
      <c r="N217" s="321"/>
      <c r="O217" s="321"/>
      <c r="P217" s="321"/>
      <c r="Q217" s="321"/>
      <c r="R217" s="321"/>
      <c r="S217" s="321"/>
      <c r="T217" s="321"/>
      <c r="U217" s="321"/>
      <c r="V217" s="321"/>
    </row>
    <row r="218" spans="1:22">
      <c r="A218" s="321"/>
      <c r="B218" s="321"/>
      <c r="C218" s="351"/>
      <c r="D218" s="323"/>
      <c r="E218" s="324"/>
      <c r="F218" s="321"/>
      <c r="G218" s="325"/>
      <c r="H218" s="321"/>
      <c r="I218" s="321"/>
      <c r="J218" s="322"/>
      <c r="K218" s="321"/>
      <c r="L218" s="360"/>
      <c r="M218" s="392"/>
      <c r="N218" s="321"/>
      <c r="O218" s="321"/>
      <c r="P218" s="321"/>
      <c r="Q218" s="321"/>
      <c r="R218" s="321"/>
      <c r="S218" s="321"/>
      <c r="T218" s="321"/>
      <c r="U218" s="321"/>
      <c r="V218" s="321"/>
    </row>
    <row r="219" spans="1:22">
      <c r="A219" s="321"/>
      <c r="B219" s="321"/>
      <c r="C219" s="351"/>
      <c r="D219" s="323"/>
      <c r="E219" s="324"/>
      <c r="F219" s="321"/>
      <c r="G219" s="325"/>
      <c r="H219" s="321"/>
      <c r="I219" s="321"/>
      <c r="J219" s="322"/>
      <c r="K219" s="321"/>
      <c r="L219" s="360"/>
      <c r="M219" s="392"/>
      <c r="N219" s="321"/>
      <c r="O219" s="321"/>
      <c r="P219" s="321"/>
      <c r="Q219" s="321"/>
      <c r="R219" s="321"/>
      <c r="S219" s="321"/>
      <c r="T219" s="321"/>
      <c r="U219" s="321"/>
      <c r="V219" s="321"/>
    </row>
    <row r="220" spans="1:22">
      <c r="A220" s="321"/>
      <c r="B220" s="321"/>
      <c r="C220" s="351"/>
      <c r="D220" s="323"/>
      <c r="E220" s="324"/>
      <c r="F220" s="321"/>
      <c r="G220" s="325"/>
      <c r="H220" s="321"/>
      <c r="I220" s="321"/>
      <c r="J220" s="322"/>
      <c r="K220" s="321"/>
      <c r="L220" s="360"/>
      <c r="M220" s="392"/>
      <c r="N220" s="321"/>
      <c r="O220" s="321"/>
      <c r="P220" s="321"/>
      <c r="Q220" s="321"/>
      <c r="R220" s="321"/>
      <c r="S220" s="321"/>
      <c r="T220" s="321"/>
      <c r="U220" s="321"/>
      <c r="V220" s="321"/>
    </row>
    <row r="221" spans="1:22">
      <c r="A221" s="321"/>
      <c r="B221" s="321"/>
      <c r="C221" s="351"/>
      <c r="D221" s="323"/>
      <c r="E221" s="324"/>
      <c r="F221" s="321"/>
      <c r="G221" s="325"/>
      <c r="H221" s="321"/>
      <c r="I221" s="321"/>
      <c r="J221" s="322"/>
      <c r="K221" s="321"/>
      <c r="L221" s="360"/>
      <c r="M221" s="392"/>
      <c r="N221" s="321"/>
      <c r="O221" s="321"/>
      <c r="P221" s="321"/>
      <c r="Q221" s="321"/>
      <c r="R221" s="321"/>
      <c r="S221" s="321"/>
      <c r="T221" s="321"/>
      <c r="U221" s="321"/>
      <c r="V221" s="321"/>
    </row>
    <row r="222" spans="1:22">
      <c r="A222" s="321"/>
      <c r="B222" s="321"/>
      <c r="C222" s="351"/>
      <c r="D222" s="323"/>
      <c r="E222" s="324"/>
      <c r="F222" s="321"/>
      <c r="G222" s="325"/>
      <c r="H222" s="321"/>
      <c r="I222" s="321"/>
      <c r="J222" s="322"/>
      <c r="K222" s="321"/>
      <c r="L222" s="360"/>
      <c r="M222" s="392"/>
      <c r="N222" s="321"/>
      <c r="O222" s="321"/>
      <c r="P222" s="321"/>
      <c r="Q222" s="321"/>
      <c r="R222" s="321"/>
      <c r="S222" s="321"/>
      <c r="T222" s="321"/>
      <c r="U222" s="321"/>
      <c r="V222" s="321"/>
    </row>
    <row r="223" spans="1:22">
      <c r="A223" s="321"/>
      <c r="B223" s="321"/>
    </row>
    <row r="224" spans="1:22">
      <c r="A224" s="321"/>
      <c r="B224" s="321"/>
    </row>
    <row r="225" spans="1:2">
      <c r="A225" s="321"/>
      <c r="B225" s="321"/>
    </row>
    <row r="226" spans="1:2">
      <c r="A226" s="321"/>
      <c r="B226" s="321"/>
    </row>
    <row r="227" spans="1:2">
      <c r="A227" s="321"/>
      <c r="B227" s="321"/>
    </row>
    <row r="228" spans="1:2">
      <c r="A228" s="321"/>
      <c r="B228" s="321"/>
    </row>
    <row r="229" spans="1:2">
      <c r="A229" s="321"/>
      <c r="B229" s="321"/>
    </row>
    <row r="230" spans="1:2">
      <c r="A230" s="321"/>
      <c r="B230" s="321"/>
    </row>
    <row r="231" spans="1:2">
      <c r="A231" s="321"/>
      <c r="B231" s="321"/>
    </row>
    <row r="232" spans="1:2">
      <c r="A232" s="321"/>
      <c r="B232" s="321"/>
    </row>
    <row r="233" spans="1:2">
      <c r="A233" s="321"/>
      <c r="B233" s="321"/>
    </row>
    <row r="234" spans="1:2">
      <c r="A234" s="321"/>
      <c r="B234" s="321"/>
    </row>
    <row r="235" spans="1:2">
      <c r="A235" s="321"/>
      <c r="B235" s="321"/>
    </row>
    <row r="236" spans="1:2">
      <c r="A236" s="321"/>
      <c r="B236" s="321"/>
    </row>
    <row r="237" spans="1:2">
      <c r="A237" s="321"/>
      <c r="B237" s="321"/>
    </row>
    <row r="238" spans="1:2">
      <c r="A238" s="321"/>
      <c r="B238" s="321"/>
    </row>
    <row r="239" spans="1:2">
      <c r="A239" s="321"/>
      <c r="B239" s="321"/>
    </row>
    <row r="240" spans="1:2">
      <c r="A240" s="321"/>
      <c r="B240" s="321"/>
    </row>
    <row r="241" spans="1:2">
      <c r="A241" s="321"/>
      <c r="B241" s="321"/>
    </row>
    <row r="242" spans="1:2">
      <c r="A242" s="321"/>
      <c r="B242" s="321"/>
    </row>
    <row r="243" spans="1:2">
      <c r="A243" s="321"/>
      <c r="B243" s="321"/>
    </row>
    <row r="244" spans="1:2">
      <c r="A244" s="321"/>
      <c r="B244" s="321"/>
    </row>
    <row r="245" spans="1:2">
      <c r="A245" s="321"/>
      <c r="B245" s="321"/>
    </row>
    <row r="246" spans="1:2">
      <c r="A246" s="321"/>
      <c r="B246" s="321"/>
    </row>
    <row r="247" spans="1:2">
      <c r="A247" s="321"/>
      <c r="B247" s="321"/>
    </row>
    <row r="248" spans="1:2">
      <c r="A248" s="321"/>
      <c r="B248" s="321"/>
    </row>
    <row r="249" spans="1:2">
      <c r="A249" s="321"/>
      <c r="B249" s="321"/>
    </row>
    <row r="250" spans="1:2">
      <c r="A250" s="321"/>
      <c r="B250" s="321"/>
    </row>
    <row r="251" spans="1:2">
      <c r="A251" s="321"/>
      <c r="B251" s="321"/>
    </row>
    <row r="252" spans="1:2">
      <c r="A252" s="321"/>
      <c r="B252" s="321"/>
    </row>
    <row r="253" spans="1:2">
      <c r="A253" s="321"/>
      <c r="B253" s="321"/>
    </row>
    <row r="254" spans="1:2">
      <c r="A254" s="321"/>
      <c r="B254" s="321"/>
    </row>
    <row r="255" spans="1:2">
      <c r="A255" s="321"/>
      <c r="B255" s="321"/>
    </row>
    <row r="256" spans="1:2">
      <c r="A256" s="321"/>
      <c r="B256" s="321"/>
    </row>
    <row r="257" spans="1:2">
      <c r="A257" s="321"/>
      <c r="B257" s="321"/>
    </row>
    <row r="258" spans="1:2">
      <c r="A258" s="321"/>
      <c r="B258" s="321"/>
    </row>
    <row r="259" spans="1:2">
      <c r="A259" s="321"/>
      <c r="B259" s="321"/>
    </row>
    <row r="260" spans="1:2">
      <c r="A260" s="321"/>
      <c r="B260" s="321"/>
    </row>
    <row r="261" spans="1:2">
      <c r="A261" s="321"/>
      <c r="B261" s="321"/>
    </row>
    <row r="262" spans="1:2">
      <c r="A262" s="321"/>
      <c r="B262" s="321"/>
    </row>
    <row r="263" spans="1:2">
      <c r="A263" s="321"/>
      <c r="B263" s="321"/>
    </row>
    <row r="264" spans="1:2">
      <c r="A264" s="321"/>
      <c r="B264" s="321"/>
    </row>
    <row r="265" spans="1:2">
      <c r="A265" s="321"/>
      <c r="B265" s="321"/>
    </row>
    <row r="266" spans="1:2">
      <c r="A266" s="321"/>
      <c r="B266" s="321"/>
    </row>
    <row r="267" spans="1:2">
      <c r="A267" s="321"/>
      <c r="B267" s="321"/>
    </row>
    <row r="268" spans="1:2">
      <c r="A268" s="321"/>
      <c r="B268" s="321"/>
    </row>
    <row r="269" spans="1:2">
      <c r="A269" s="321"/>
      <c r="B269" s="321"/>
    </row>
    <row r="270" spans="1:2">
      <c r="A270" s="321"/>
      <c r="B270" s="321"/>
    </row>
    <row r="271" spans="1:2">
      <c r="A271" s="321"/>
      <c r="B271" s="321"/>
    </row>
    <row r="272" spans="1:2">
      <c r="A272" s="321"/>
      <c r="B272" s="321"/>
    </row>
    <row r="273" spans="1:2">
      <c r="A273" s="321"/>
      <c r="B273" s="321"/>
    </row>
    <row r="274" spans="1:2">
      <c r="A274" s="321"/>
      <c r="B274" s="321"/>
    </row>
    <row r="275" spans="1:2">
      <c r="A275" s="321"/>
      <c r="B275" s="321"/>
    </row>
    <row r="276" spans="1:2">
      <c r="A276" s="321"/>
      <c r="B276" s="321"/>
    </row>
    <row r="277" spans="1:2">
      <c r="A277" s="321"/>
      <c r="B277" s="321"/>
    </row>
    <row r="278" spans="1:2">
      <c r="A278" s="321"/>
      <c r="B278" s="321"/>
    </row>
    <row r="279" spans="1:2">
      <c r="A279" s="321"/>
      <c r="B279" s="321"/>
    </row>
    <row r="280" spans="1:2">
      <c r="A280" s="321"/>
      <c r="B280" s="321"/>
    </row>
    <row r="281" spans="1:2">
      <c r="A281" s="321"/>
      <c r="B281" s="321"/>
    </row>
    <row r="282" spans="1:2">
      <c r="A282" s="321"/>
      <c r="B282" s="321"/>
    </row>
    <row r="283" spans="1:2">
      <c r="A283" s="321"/>
      <c r="B283" s="321"/>
    </row>
    <row r="284" spans="1:2">
      <c r="A284" s="321"/>
      <c r="B284" s="321"/>
    </row>
    <row r="285" spans="1:2">
      <c r="A285" s="321"/>
      <c r="B285" s="321"/>
    </row>
    <row r="286" spans="1:2">
      <c r="A286" s="321"/>
      <c r="B286" s="321"/>
    </row>
    <row r="287" spans="1:2">
      <c r="A287" s="321"/>
      <c r="B287" s="321"/>
    </row>
    <row r="288" spans="1:2">
      <c r="A288" s="321"/>
      <c r="B288" s="321"/>
    </row>
    <row r="289" spans="1:2">
      <c r="A289" s="321"/>
      <c r="B289" s="321"/>
    </row>
    <row r="290" spans="1:2">
      <c r="A290" s="321"/>
      <c r="B290" s="321"/>
    </row>
    <row r="291" spans="1:2">
      <c r="A291" s="321"/>
      <c r="B291" s="321"/>
    </row>
    <row r="292" spans="1:2">
      <c r="A292" s="321"/>
      <c r="B292" s="321"/>
    </row>
    <row r="293" spans="1:2">
      <c r="A293" s="321"/>
      <c r="B293" s="321"/>
    </row>
    <row r="294" spans="1:2">
      <c r="A294" s="321"/>
      <c r="B294" s="321"/>
    </row>
    <row r="295" spans="1:2">
      <c r="A295" s="321"/>
      <c r="B295" s="321"/>
    </row>
    <row r="296" spans="1:2">
      <c r="A296" s="321"/>
      <c r="B296" s="321"/>
    </row>
    <row r="297" spans="1:2">
      <c r="A297" s="321"/>
      <c r="B297" s="321"/>
    </row>
    <row r="298" spans="1:2">
      <c r="A298" s="321"/>
      <c r="B298" s="321"/>
    </row>
    <row r="299" spans="1:2">
      <c r="A299" s="321"/>
      <c r="B299" s="321"/>
    </row>
    <row r="300" spans="1:2">
      <c r="A300" s="321"/>
      <c r="B300" s="321"/>
    </row>
    <row r="301" spans="1:2">
      <c r="A301" s="321"/>
      <c r="B301" s="321"/>
    </row>
    <row r="302" spans="1:2">
      <c r="A302" s="321"/>
      <c r="B302" s="321"/>
    </row>
    <row r="303" spans="1:2">
      <c r="A303" s="321"/>
      <c r="B303" s="321"/>
    </row>
    <row r="304" spans="1:2">
      <c r="A304" s="321"/>
      <c r="B304" s="321"/>
    </row>
    <row r="305" spans="1:2">
      <c r="A305" s="321"/>
      <c r="B305" s="321"/>
    </row>
    <row r="306" spans="1:2">
      <c r="A306" s="321"/>
      <c r="B306" s="321"/>
    </row>
    <row r="307" spans="1:2">
      <c r="A307" s="321"/>
      <c r="B307" s="321"/>
    </row>
    <row r="308" spans="1:2">
      <c r="A308" s="321"/>
      <c r="B308" s="321"/>
    </row>
    <row r="309" spans="1:2">
      <c r="A309" s="321"/>
      <c r="B309" s="321"/>
    </row>
    <row r="310" spans="1:2">
      <c r="A310" s="321"/>
      <c r="B310" s="321"/>
    </row>
    <row r="311" spans="1:2">
      <c r="A311" s="321"/>
      <c r="B311" s="321"/>
    </row>
    <row r="312" spans="1:2">
      <c r="A312" s="321"/>
      <c r="B312" s="321"/>
    </row>
    <row r="313" spans="1:2">
      <c r="A313" s="321"/>
      <c r="B313" s="321"/>
    </row>
    <row r="314" spans="1:2">
      <c r="A314" s="321"/>
      <c r="B314" s="321"/>
    </row>
    <row r="315" spans="1:2">
      <c r="A315" s="321"/>
      <c r="B315" s="321"/>
    </row>
    <row r="316" spans="1:2">
      <c r="A316" s="321"/>
      <c r="B316" s="321"/>
    </row>
    <row r="317" spans="1:2">
      <c r="A317" s="321"/>
      <c r="B317" s="321"/>
    </row>
    <row r="318" spans="1:2">
      <c r="A318" s="321"/>
      <c r="B318" s="321"/>
    </row>
    <row r="319" spans="1:2">
      <c r="A319" s="321"/>
      <c r="B319" s="321"/>
    </row>
    <row r="320" spans="1:2">
      <c r="A320" s="321"/>
      <c r="B320" s="321"/>
    </row>
    <row r="321" spans="1:2">
      <c r="A321" s="321"/>
      <c r="B321" s="321"/>
    </row>
    <row r="322" spans="1:2">
      <c r="A322" s="321"/>
      <c r="B322" s="321"/>
    </row>
    <row r="323" spans="1:2">
      <c r="A323" s="321"/>
      <c r="B323" s="321"/>
    </row>
    <row r="324" spans="1:2">
      <c r="A324" s="321"/>
      <c r="B324" s="321"/>
    </row>
    <row r="325" spans="1:2">
      <c r="A325" s="321"/>
      <c r="B325" s="321"/>
    </row>
    <row r="326" spans="1:2">
      <c r="A326" s="321"/>
      <c r="B326" s="321"/>
    </row>
    <row r="327" spans="1:2">
      <c r="A327" s="321"/>
      <c r="B327" s="321"/>
    </row>
    <row r="328" spans="1:2">
      <c r="A328" s="321"/>
      <c r="B328" s="321"/>
    </row>
    <row r="329" spans="1:2">
      <c r="A329" s="321"/>
      <c r="B329" s="321"/>
    </row>
    <row r="330" spans="1:2">
      <c r="A330" s="321"/>
      <c r="B330" s="321"/>
    </row>
    <row r="331" spans="1:2">
      <c r="A331" s="321"/>
      <c r="B331" s="321"/>
    </row>
    <row r="332" spans="1:2">
      <c r="A332" s="321"/>
      <c r="B332" s="321"/>
    </row>
    <row r="333" spans="1:2">
      <c r="A333" s="321"/>
      <c r="B333" s="321"/>
    </row>
    <row r="334" spans="1:2">
      <c r="A334" s="321"/>
      <c r="B334" s="321"/>
    </row>
    <row r="335" spans="1:2">
      <c r="A335" s="321"/>
      <c r="B335" s="321"/>
    </row>
    <row r="336" spans="1:2">
      <c r="A336" s="321"/>
      <c r="B336" s="321"/>
    </row>
    <row r="337" spans="1:2">
      <c r="A337" s="321"/>
      <c r="B337" s="321"/>
    </row>
    <row r="338" spans="1:2">
      <c r="A338" s="321"/>
      <c r="B338" s="321"/>
    </row>
    <row r="339" spans="1:2">
      <c r="A339" s="321"/>
      <c r="B339" s="321"/>
    </row>
    <row r="340" spans="1:2">
      <c r="A340" s="321"/>
      <c r="B340" s="321"/>
    </row>
    <row r="341" spans="1:2">
      <c r="A341" s="321"/>
      <c r="B341" s="321"/>
    </row>
    <row r="342" spans="1:2">
      <c r="A342" s="321"/>
      <c r="B342" s="321"/>
    </row>
    <row r="343" spans="1:2">
      <c r="A343" s="321"/>
      <c r="B343" s="321"/>
    </row>
    <row r="344" spans="1:2">
      <c r="A344" s="321"/>
      <c r="B344" s="321"/>
    </row>
    <row r="345" spans="1:2">
      <c r="A345" s="321"/>
      <c r="B345" s="321"/>
    </row>
    <row r="346" spans="1:2">
      <c r="A346" s="321"/>
      <c r="B346" s="321"/>
    </row>
    <row r="347" spans="1:2">
      <c r="A347" s="321"/>
      <c r="B347" s="321"/>
    </row>
    <row r="348" spans="1:2">
      <c r="A348" s="321"/>
      <c r="B348" s="321"/>
    </row>
    <row r="349" spans="1:2">
      <c r="A349" s="321"/>
      <c r="B349" s="321"/>
    </row>
    <row r="350" spans="1:2">
      <c r="A350" s="321"/>
      <c r="B350" s="321"/>
    </row>
    <row r="351" spans="1:2">
      <c r="A351" s="321"/>
      <c r="B351" s="321"/>
    </row>
  </sheetData>
  <sheetProtection formatColumns="0" formatRows="0" insertRows="0" insertHyperlinks="0"/>
  <autoFilter ref="C10:J70" xr:uid="{00000000-0009-0000-0000-00000C000000}">
    <sortState xmlns:xlrd2="http://schemas.microsoft.com/office/spreadsheetml/2017/richdata2" ref="C11:J68">
      <sortCondition ref="C10:C68"/>
    </sortState>
  </autoFilter>
  <mergeCells count="16">
    <mergeCell ref="J173:K173"/>
    <mergeCell ref="B2:L4"/>
    <mergeCell ref="C8:K9"/>
    <mergeCell ref="M8:T9"/>
    <mergeCell ref="C137:C144"/>
    <mergeCell ref="C146:C153"/>
    <mergeCell ref="E147:F149"/>
    <mergeCell ref="H147:I148"/>
    <mergeCell ref="M12:M13"/>
    <mergeCell ref="R12:R13"/>
    <mergeCell ref="S12:S13"/>
    <mergeCell ref="C155:C167"/>
    <mergeCell ref="E156:I156"/>
    <mergeCell ref="C170:C183"/>
    <mergeCell ref="F173:G173"/>
    <mergeCell ref="H173:I173"/>
  </mergeCells>
  <conditionalFormatting sqref="K137">
    <cfRule type="cellIs" dxfId="319" priority="245" operator="equal">
      <formula>"Positif"</formula>
    </cfRule>
    <cfRule type="cellIs" dxfId="318" priority="246" operator="equal">
      <formula>"Negatif"</formula>
    </cfRule>
  </conditionalFormatting>
  <conditionalFormatting sqref="J63">
    <cfRule type="cellIs" dxfId="317" priority="137" operator="equal">
      <formula>"Positif"</formula>
    </cfRule>
    <cfRule type="cellIs" dxfId="316" priority="138" operator="equal">
      <formula>"Negatif"</formula>
    </cfRule>
  </conditionalFormatting>
  <conditionalFormatting sqref="J63">
    <cfRule type="cellIs" dxfId="315" priority="136" operator="equal">
      <formula>"négatif"</formula>
    </cfRule>
  </conditionalFormatting>
  <conditionalFormatting sqref="J62">
    <cfRule type="cellIs" dxfId="314" priority="125" operator="equal">
      <formula>"Positif"</formula>
    </cfRule>
    <cfRule type="cellIs" dxfId="313" priority="126" operator="equal">
      <formula>"Negatif"</formula>
    </cfRule>
  </conditionalFormatting>
  <conditionalFormatting sqref="J62">
    <cfRule type="cellIs" dxfId="312" priority="124" operator="equal">
      <formula>"négatif"</formula>
    </cfRule>
  </conditionalFormatting>
  <conditionalFormatting sqref="J62:J64">
    <cfRule type="cellIs" dxfId="311" priority="149" operator="equal">
      <formula>"Positif"</formula>
    </cfRule>
    <cfRule type="cellIs" dxfId="310" priority="150" operator="equal">
      <formula>"Negatif"</formula>
    </cfRule>
  </conditionalFormatting>
  <conditionalFormatting sqref="J62:J64">
    <cfRule type="cellIs" dxfId="309" priority="148" operator="equal">
      <formula>"négatif"</formula>
    </cfRule>
  </conditionalFormatting>
  <conditionalFormatting sqref="J6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8" priority="134" operator="equal">
      <formula>"Negatif"</formula>
    </cfRule>
    <cfRule type="colorScale" priority="135">
      <colorScale>
        <cfvo type="min"/>
        <cfvo type="max"/>
        <color rgb="FFFF7128"/>
        <color rgb="FFFFEF9C"/>
      </colorScale>
    </cfRule>
  </conditionalFormatting>
  <conditionalFormatting sqref="J6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7" priority="131" operator="equal">
      <formula>"Negatif"</formula>
    </cfRule>
    <cfRule type="colorScale" priority="132">
      <colorScale>
        <cfvo type="min"/>
        <cfvo type="max"/>
        <color rgb="FFFF7128"/>
        <color rgb="FFFFEF9C"/>
      </colorScale>
    </cfRule>
  </conditionalFormatting>
  <conditionalFormatting sqref="J6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6" priority="128" operator="equal">
      <formula>"Negatif"</formula>
    </cfRule>
    <cfRule type="colorScale" priority="129">
      <colorScale>
        <cfvo type="min"/>
        <cfvo type="max"/>
        <color rgb="FFFF7128"/>
        <color rgb="FFFFEF9C"/>
      </colorScale>
    </cfRule>
  </conditionalFormatting>
  <conditionalFormatting sqref="J6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5" priority="122" operator="equal">
      <formula>"Negatif"</formula>
    </cfRule>
    <cfRule type="colorScale" priority="123">
      <colorScale>
        <cfvo type="min"/>
        <cfvo type="max"/>
        <color rgb="FFFF7128"/>
        <color rgb="FFFFEF9C"/>
      </colorScale>
    </cfRule>
  </conditionalFormatting>
  <conditionalFormatting sqref="J62:J64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4" priority="2774" operator="equal">
      <formula>"Negatif"</formula>
    </cfRule>
    <cfRule type="colorScale" priority="2775">
      <colorScale>
        <cfvo type="min"/>
        <cfvo type="max"/>
        <color rgb="FFFF7128"/>
        <color rgb="FFFFEF9C"/>
      </colorScale>
    </cfRule>
  </conditionalFormatting>
  <conditionalFormatting sqref="J24">
    <cfRule type="cellIs" dxfId="303" priority="26" operator="equal">
      <formula>"Positif"</formula>
    </cfRule>
    <cfRule type="cellIs" dxfId="302" priority="27" operator="equal">
      <formula>"Negatif"</formula>
    </cfRule>
  </conditionalFormatting>
  <conditionalFormatting sqref="J24">
    <cfRule type="cellIs" dxfId="301" priority="25" operator="equal">
      <formula>"négatif"</formula>
    </cfRule>
  </conditionalFormatting>
  <conditionalFormatting sqref="J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0" priority="29" operator="equal">
      <formula>"Negatif"</formula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J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9" priority="32" operator="equal">
      <formula>"Negatif"</formula>
    </cfRule>
    <cfRule type="colorScale" priority="33">
      <colorScale>
        <cfvo type="min"/>
        <cfvo type="max"/>
        <color rgb="FFFF7128"/>
        <color rgb="FFFFEF9C"/>
      </colorScale>
    </cfRule>
  </conditionalFormatting>
  <conditionalFormatting sqref="J2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8" priority="35" operator="equal">
      <formula>"Negatif"</formula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J30">
    <cfRule type="cellIs" dxfId="297" priority="14" operator="equal">
      <formula>"Positif"</formula>
    </cfRule>
    <cfRule type="cellIs" dxfId="296" priority="15" operator="equal">
      <formula>"Negatif"</formula>
    </cfRule>
  </conditionalFormatting>
  <conditionalFormatting sqref="J30">
    <cfRule type="cellIs" dxfId="295" priority="13" operator="equal">
      <formula>"négatif"</formula>
    </cfRule>
  </conditionalFormatting>
  <conditionalFormatting sqref="J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4" priority="17" operator="equal">
      <formula>"Negatif"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J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3" priority="20" operator="equal">
      <formula>"Negatif"</formula>
    </cfRule>
    <cfRule type="colorScale" priority="21">
      <colorScale>
        <cfvo type="min"/>
        <cfvo type="max"/>
        <color rgb="FFFF7128"/>
        <color rgb="FFFFEF9C"/>
      </colorScale>
    </cfRule>
  </conditionalFormatting>
  <conditionalFormatting sqref="J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2" priority="23" operator="equal">
      <formula>"Negatif"</formula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J34">
    <cfRule type="cellIs" dxfId="291" priority="2" operator="equal">
      <formula>"Positif"</formula>
    </cfRule>
    <cfRule type="cellIs" dxfId="290" priority="3" operator="equal">
      <formula>"Negatif"</formula>
    </cfRule>
  </conditionalFormatting>
  <conditionalFormatting sqref="J34">
    <cfRule type="cellIs" dxfId="289" priority="1" operator="equal">
      <formula>"négatif"</formula>
    </cfRule>
  </conditionalFormatting>
  <conditionalFormatting sqref="J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8" priority="5" operator="equal">
      <formula>"Negatif"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7" priority="8" operator="equal">
      <formula>"Negatif"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J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6" priority="11" operator="equal">
      <formula>"Negatif"</formula>
    </cfRule>
    <cfRule type="colorScale" priority="12">
      <colorScale>
        <cfvo type="min"/>
        <cfvo type="max"/>
        <color rgb="FFFF7128"/>
        <color rgb="FFFFEF9C"/>
      </colorScale>
    </cfRule>
  </conditionalFormatting>
  <dataValidations count="3">
    <dataValidation type="list" allowBlank="1" showInputMessage="1" showErrorMessage="1" sqref="I11:I70" xr:uid="{00000000-0002-0000-0C00-000000000000}">
      <formula1>$E$158:$E$165</formula1>
    </dataValidation>
    <dataValidation type="list" allowBlank="1" showInputMessage="1" showErrorMessage="1" sqref="H11:H59 H61:H70" xr:uid="{00000000-0002-0000-0C00-000001000000}">
      <formula1>INDIRECT(F11)</formula1>
    </dataValidation>
    <dataValidation type="list" allowBlank="1" showInputMessage="1" showErrorMessage="1" sqref="F11:F59 F61:F70" xr:uid="{00000000-0002-0000-0C00-000002000000}">
      <formula1>Type</formula1>
    </dataValidation>
  </dataValidations>
  <hyperlinks>
    <hyperlink ref="K11" r:id="rId1" xr:uid="{00000000-0004-0000-0C00-000000000000}"/>
    <hyperlink ref="K13" r:id="rId2" xr:uid="{00000000-0004-0000-0C00-000001000000}"/>
    <hyperlink ref="K14" r:id="rId3" xr:uid="{00000000-0004-0000-0C00-000002000000}"/>
    <hyperlink ref="K16" r:id="rId4" display="PDF" xr:uid="{00000000-0004-0000-0C00-000003000000}"/>
    <hyperlink ref="K15" r:id="rId5" xr:uid="{00000000-0004-0000-0C00-000004000000}"/>
    <hyperlink ref="K18" r:id="rId6" xr:uid="{00000000-0004-0000-0C00-000005000000}"/>
    <hyperlink ref="K19" r:id="rId7" xr:uid="{00000000-0004-0000-0C00-000006000000}"/>
    <hyperlink ref="K20" r:id="rId8" xr:uid="{00000000-0004-0000-0C00-000007000000}"/>
    <hyperlink ref="K22" r:id="rId9" xr:uid="{00000000-0004-0000-0C00-000008000000}"/>
    <hyperlink ref="K23" r:id="rId10" xr:uid="{00000000-0004-0000-0C00-000009000000}"/>
    <hyperlink ref="K17" r:id="rId11" xr:uid="{00000000-0004-0000-0C00-00000A000000}"/>
    <hyperlink ref="K21" r:id="rId12" xr:uid="{00000000-0004-0000-0C00-00000B000000}"/>
    <hyperlink ref="K40" r:id="rId13" xr:uid="{00000000-0004-0000-0C00-00000C000000}"/>
    <hyperlink ref="K28" r:id="rId14" xr:uid="{00000000-0004-0000-0C00-00000D000000}"/>
    <hyperlink ref="K27" r:id="rId15" xr:uid="{00000000-0004-0000-0C00-00000E000000}"/>
    <hyperlink ref="K29" r:id="rId16" xr:uid="{00000000-0004-0000-0C00-00000F000000}"/>
    <hyperlink ref="K31" r:id="rId17" xr:uid="{00000000-0004-0000-0C00-000010000000}"/>
    <hyperlink ref="K32" r:id="rId18" xr:uid="{00000000-0004-0000-0C00-000011000000}"/>
    <hyperlink ref="K33" r:id="rId19" xr:uid="{00000000-0004-0000-0C00-000012000000}"/>
    <hyperlink ref="K37" r:id="rId20" xr:uid="{00000000-0004-0000-0C00-000013000000}"/>
    <hyperlink ref="K38" r:id="rId21" xr:uid="{00000000-0004-0000-0C00-000014000000}"/>
    <hyperlink ref="K41" r:id="rId22" xr:uid="{00000000-0004-0000-0C00-000015000000}"/>
    <hyperlink ref="K42" r:id="rId23" xr:uid="{00000000-0004-0000-0C00-000016000000}"/>
    <hyperlink ref="K43" r:id="rId24" display="\\Ntkd0\co\ZE0SF000\ENEDIS_COMMUNICATION_PYRENEES_LANDES\Relations presses\Mediascope - kantarmedPia\Articles presse\2020\SEPTEMBRE\2020-09-23 - L'Eclair des Pyrénées - Circulation interdite rue de Sègues N Du 25 septembre au 24 octobre.pdf" xr:uid="{00000000-0004-0000-0C00-000017000000}"/>
    <hyperlink ref="K44" r:id="rId25" xr:uid="{00000000-0004-0000-0C00-000018000000}"/>
    <hyperlink ref="K45" r:id="rId26" xr:uid="{00000000-0004-0000-0C00-000019000000}"/>
    <hyperlink ref="S22" r:id="rId27" xr:uid="{00000000-0004-0000-0C00-00001A000000}"/>
    <hyperlink ref="S23" r:id="rId28" xr:uid="{00000000-0004-0000-0C00-00001B000000}"/>
    <hyperlink ref="K61" r:id="rId29" xr:uid="{00000000-0004-0000-0C00-00001C000000}"/>
    <hyperlink ref="K56" r:id="rId30" xr:uid="{00000000-0004-0000-0C00-00001D000000}"/>
    <hyperlink ref="K54" r:id="rId31" xr:uid="{00000000-0004-0000-0C00-00001E000000}"/>
    <hyperlink ref="K55" r:id="rId32" display="PDF" xr:uid="{00000000-0004-0000-0C00-00001F000000}"/>
    <hyperlink ref="K46" r:id="rId33" xr:uid="{00000000-0004-0000-0C00-000020000000}"/>
    <hyperlink ref="K47" r:id="rId34" xr:uid="{00000000-0004-0000-0C00-000021000000}"/>
    <hyperlink ref="K52" r:id="rId35" xr:uid="{00000000-0004-0000-0C00-000022000000}"/>
    <hyperlink ref="K53" r:id="rId36" display="PDF" xr:uid="{00000000-0004-0000-0C00-000023000000}"/>
    <hyperlink ref="K60" r:id="rId37" xr:uid="{00000000-0004-0000-0C00-000024000000}"/>
    <hyperlink ref="K51" r:id="rId38" xr:uid="{00000000-0004-0000-0C00-000025000000}"/>
    <hyperlink ref="K50" r:id="rId39" xr:uid="{00000000-0004-0000-0C00-000026000000}"/>
    <hyperlink ref="K49" r:id="rId40" xr:uid="{00000000-0004-0000-0C00-000027000000}"/>
    <hyperlink ref="K48" r:id="rId41" xr:uid="{00000000-0004-0000-0C00-000028000000}"/>
    <hyperlink ref="K59" r:id="rId42" xr:uid="{00000000-0004-0000-0C00-000029000000}"/>
    <hyperlink ref="K58" r:id="rId43" xr:uid="{00000000-0004-0000-0C00-00002A000000}"/>
    <hyperlink ref="K57" r:id="rId44" xr:uid="{00000000-0004-0000-0C00-00002B000000}"/>
    <hyperlink ref="K12" r:id="rId45" xr:uid="{00000000-0004-0000-0C00-00002C000000}"/>
    <hyperlink ref="S12:S13" r:id="rId46" display="PDF" xr:uid="{00000000-0004-0000-0C00-00002D000000}"/>
    <hyperlink ref="K62" r:id="rId47" xr:uid="{00000000-0004-0000-0C00-00002E000000}"/>
    <hyperlink ref="K65" r:id="rId48" xr:uid="{00000000-0004-0000-0C00-00002F000000}"/>
    <hyperlink ref="K66" r:id="rId49" xr:uid="{00000000-0004-0000-0C00-000030000000}"/>
    <hyperlink ref="S17" r:id="rId50" xr:uid="{00000000-0004-0000-0C00-000031000000}"/>
    <hyperlink ref="K67" r:id="rId51" xr:uid="{00000000-0004-0000-0C00-000032000000}"/>
    <hyperlink ref="K68" r:id="rId52" xr:uid="{00000000-0004-0000-0C00-000033000000}"/>
    <hyperlink ref="S24" r:id="rId53" xr:uid="{00000000-0004-0000-0C00-000034000000}"/>
    <hyperlink ref="S25" r:id="rId54" xr:uid="{00000000-0004-0000-0C00-000035000000}"/>
    <hyperlink ref="K69" r:id="rId55" xr:uid="{00000000-0004-0000-0C00-000036000000}"/>
    <hyperlink ref="K70" r:id="rId56" xr:uid="{00000000-0004-0000-0C00-000037000000}"/>
  </hyperlinks>
  <pageMargins left="0.7" right="0.7" top="0.75" bottom="0.75" header="0.3" footer="0.3"/>
  <pageSetup paperSize="9" orientation="portrait" r:id="rId5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/>
  <dimension ref="A1:AH290"/>
  <sheetViews>
    <sheetView topLeftCell="H3" zoomScale="70" zoomScaleNormal="70" workbookViewId="0">
      <selection activeCell="E24" sqref="E24"/>
    </sheetView>
  </sheetViews>
  <sheetFormatPr defaultColWidth="11" defaultRowHeight="15.75"/>
  <cols>
    <col min="1" max="1" width="4.25" style="329" customWidth="1"/>
    <col min="2" max="2" width="3.125" style="329" customWidth="1"/>
    <col min="3" max="3" width="9.25" style="400" customWidth="1"/>
    <col min="4" max="4" width="7.25" style="401" customWidth="1"/>
    <col min="5" max="5" width="84.875" style="402" bestFit="1" customWidth="1"/>
    <col min="6" max="6" width="10.125" style="329" customWidth="1"/>
    <col min="7" max="7" width="8.75" style="403" customWidth="1"/>
    <col min="8" max="8" width="35.375" style="329" bestFit="1" customWidth="1"/>
    <col min="9" max="9" width="24" style="329" customWidth="1"/>
    <col min="10" max="10" width="12.25" style="400" customWidth="1"/>
    <col min="11" max="11" width="11.25" style="404" customWidth="1"/>
    <col min="12" max="12" width="6.125" style="362" customWidth="1"/>
    <col min="13" max="13" width="18.25" style="404" customWidth="1"/>
    <col min="14" max="14" width="8.125" style="329" customWidth="1"/>
    <col min="15" max="15" width="55.5" style="329" customWidth="1"/>
    <col min="16" max="16" width="8.125" style="329" customWidth="1"/>
    <col min="17" max="17" width="9" style="329" customWidth="1"/>
    <col min="18" max="18" width="11.625" style="329" customWidth="1"/>
    <col min="19" max="19" width="8.25" style="329" customWidth="1"/>
    <col min="20" max="20" width="15.625" style="329" customWidth="1"/>
    <col min="21" max="21" width="11" style="329"/>
    <col min="22" max="23" width="11" style="321"/>
    <col min="24" max="24" width="37.125" style="321" customWidth="1"/>
    <col min="25" max="25" width="9.75" style="321" customWidth="1"/>
    <col min="26" max="26" width="24.125" style="321" customWidth="1"/>
    <col min="27" max="27" width="13" style="321" customWidth="1"/>
    <col min="28" max="28" width="16.125" style="321" customWidth="1"/>
    <col min="29" max="29" width="14.625" style="321" customWidth="1"/>
    <col min="30" max="30" width="15.75" style="321" customWidth="1"/>
    <col min="31" max="31" width="11" style="321"/>
    <col min="32" max="16384" width="11" style="329"/>
  </cols>
  <sheetData>
    <row r="1" spans="1:31" ht="16.5" thickBot="1">
      <c r="A1" s="321"/>
      <c r="B1" s="321"/>
      <c r="C1" s="322"/>
      <c r="D1" s="323"/>
      <c r="E1" s="324"/>
      <c r="F1" s="321"/>
      <c r="G1" s="325"/>
      <c r="H1" s="321"/>
      <c r="I1" s="321"/>
      <c r="J1" s="322"/>
      <c r="K1" s="328"/>
      <c r="L1" s="327"/>
      <c r="M1" s="328"/>
      <c r="N1" s="321"/>
      <c r="O1" s="321"/>
      <c r="P1" s="321"/>
      <c r="Q1" s="321"/>
      <c r="R1" s="321"/>
      <c r="S1" s="321"/>
      <c r="T1" s="321"/>
      <c r="U1" s="321"/>
    </row>
    <row r="2" spans="1:31" ht="15.75" customHeight="1">
      <c r="A2" s="321"/>
      <c r="B2" s="1557" t="s">
        <v>704</v>
      </c>
      <c r="C2" s="1558"/>
      <c r="D2" s="1558"/>
      <c r="E2" s="1558"/>
      <c r="F2" s="1558"/>
      <c r="G2" s="1558"/>
      <c r="H2" s="1558"/>
      <c r="I2" s="1558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</row>
    <row r="3" spans="1:31" ht="15.75" customHeight="1">
      <c r="A3" s="321"/>
      <c r="B3" s="1560"/>
      <c r="C3" s="1561"/>
      <c r="D3" s="1561"/>
      <c r="E3" s="1561"/>
      <c r="F3" s="1561"/>
      <c r="G3" s="1561"/>
      <c r="H3" s="1561"/>
      <c r="I3" s="1561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</row>
    <row r="4" spans="1:31" ht="15.75" customHeight="1" thickBot="1">
      <c r="A4" s="321"/>
      <c r="B4" s="1563"/>
      <c r="C4" s="1564"/>
      <c r="D4" s="1564"/>
      <c r="E4" s="1564"/>
      <c r="F4" s="1564"/>
      <c r="G4" s="1564"/>
      <c r="H4" s="1564"/>
      <c r="I4" s="1564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</row>
    <row r="5" spans="1:31" ht="15.75" customHeight="1">
      <c r="A5" s="321"/>
      <c r="B5" s="326"/>
      <c r="C5" s="330"/>
      <c r="D5" s="331"/>
      <c r="E5" s="330"/>
      <c r="F5" s="330"/>
      <c r="G5" s="330"/>
      <c r="H5" s="330"/>
      <c r="I5" s="330"/>
      <c r="J5" s="330"/>
      <c r="K5" s="330"/>
      <c r="L5" s="332"/>
      <c r="M5" s="326"/>
      <c r="N5" s="321"/>
      <c r="O5" s="321"/>
      <c r="P5" s="321"/>
      <c r="Q5" s="321"/>
      <c r="R5" s="321"/>
      <c r="S5" s="321"/>
      <c r="T5" s="321"/>
      <c r="U5" s="321"/>
    </row>
    <row r="6" spans="1:31" ht="15.75" customHeight="1" thickBot="1">
      <c r="A6" s="321"/>
      <c r="B6" s="326"/>
      <c r="C6" s="330"/>
      <c r="D6" s="331"/>
      <c r="E6" s="330"/>
      <c r="F6" s="330"/>
      <c r="G6" s="330"/>
      <c r="H6" s="330"/>
      <c r="I6" s="330"/>
      <c r="J6" s="330"/>
      <c r="K6" s="330"/>
      <c r="L6" s="332"/>
      <c r="M6" s="326"/>
      <c r="N6" s="321"/>
      <c r="O6" s="321"/>
      <c r="P6" s="321"/>
      <c r="Q6" s="321"/>
      <c r="R6" s="321"/>
      <c r="S6" s="321"/>
      <c r="T6" s="321"/>
      <c r="U6" s="321"/>
    </row>
    <row r="7" spans="1:31" ht="15.75" customHeight="1" thickBot="1">
      <c r="A7" s="321"/>
      <c r="B7" s="333"/>
      <c r="C7" s="334"/>
      <c r="D7" s="335"/>
      <c r="E7" s="334"/>
      <c r="F7" s="334"/>
      <c r="G7" s="334"/>
      <c r="H7" s="334"/>
      <c r="I7" s="334"/>
      <c r="J7" s="334"/>
      <c r="K7" s="334"/>
      <c r="L7" s="336"/>
      <c r="M7" s="337"/>
      <c r="N7" s="337"/>
      <c r="O7" s="337"/>
      <c r="P7" s="337"/>
      <c r="Q7" s="337"/>
      <c r="R7" s="337"/>
      <c r="S7" s="337"/>
      <c r="T7" s="337"/>
      <c r="U7" s="338"/>
    </row>
    <row r="8" spans="1:31" ht="15.75" customHeight="1">
      <c r="A8" s="321"/>
      <c r="B8" s="339"/>
      <c r="C8" s="1551" t="s">
        <v>64</v>
      </c>
      <c r="D8" s="1552"/>
      <c r="E8" s="1552"/>
      <c r="F8" s="1552"/>
      <c r="G8" s="1552"/>
      <c r="H8" s="1552"/>
      <c r="I8" s="1552"/>
      <c r="J8" s="1552"/>
      <c r="K8" s="1553"/>
      <c r="L8" s="340"/>
      <c r="M8" s="1626" t="s">
        <v>65</v>
      </c>
      <c r="N8" s="1627"/>
      <c r="O8" s="1627"/>
      <c r="P8" s="1627"/>
      <c r="Q8" s="1627"/>
      <c r="R8" s="1627"/>
      <c r="S8" s="1627"/>
      <c r="T8" s="1628"/>
      <c r="U8" s="341"/>
    </row>
    <row r="9" spans="1:31" ht="15.75" customHeight="1">
      <c r="A9" s="321"/>
      <c r="B9" s="339"/>
      <c r="C9" s="1554"/>
      <c r="D9" s="1555"/>
      <c r="E9" s="1555"/>
      <c r="F9" s="1555"/>
      <c r="G9" s="1555"/>
      <c r="H9" s="1555"/>
      <c r="I9" s="1555"/>
      <c r="J9" s="1555"/>
      <c r="K9" s="1556"/>
      <c r="L9" s="340"/>
      <c r="M9" s="1629"/>
      <c r="N9" s="1630"/>
      <c r="O9" s="1630"/>
      <c r="P9" s="1630"/>
      <c r="Q9" s="1630"/>
      <c r="R9" s="1630"/>
      <c r="S9" s="1630"/>
      <c r="T9" s="1631"/>
      <c r="U9" s="341"/>
    </row>
    <row r="10" spans="1:31" ht="30" customHeight="1" thickBot="1">
      <c r="A10" s="321"/>
      <c r="B10" s="339"/>
      <c r="C10" s="880" t="s">
        <v>66</v>
      </c>
      <c r="D10" s="736" t="s">
        <v>67</v>
      </c>
      <c r="E10" s="591" t="s">
        <v>68</v>
      </c>
      <c r="F10" s="592" t="s">
        <v>69</v>
      </c>
      <c r="G10" s="592" t="s">
        <v>70</v>
      </c>
      <c r="H10" s="592" t="s">
        <v>71</v>
      </c>
      <c r="I10" s="592" t="s">
        <v>72</v>
      </c>
      <c r="J10" s="593" t="s">
        <v>73</v>
      </c>
      <c r="K10" s="737" t="s">
        <v>74</v>
      </c>
      <c r="L10" s="346"/>
      <c r="M10" s="735" t="s">
        <v>75</v>
      </c>
      <c r="N10" s="348" t="s">
        <v>76</v>
      </c>
      <c r="O10" s="349" t="s">
        <v>77</v>
      </c>
      <c r="P10" s="349" t="s">
        <v>69</v>
      </c>
      <c r="Q10" s="349" t="s">
        <v>70</v>
      </c>
      <c r="R10" s="349" t="s">
        <v>72</v>
      </c>
      <c r="S10" s="349" t="s">
        <v>74</v>
      </c>
      <c r="T10" s="350" t="s">
        <v>64</v>
      </c>
      <c r="U10" s="341"/>
    </row>
    <row r="11" spans="1:31" s="357" customFormat="1" ht="30">
      <c r="A11" s="351"/>
      <c r="B11" s="352"/>
      <c r="C11" s="1347">
        <v>44106</v>
      </c>
      <c r="D11" s="1348" t="s">
        <v>453</v>
      </c>
      <c r="E11" s="1349" t="s">
        <v>705</v>
      </c>
      <c r="F11" s="1350" t="s">
        <v>9</v>
      </c>
      <c r="G11" s="1351">
        <v>40</v>
      </c>
      <c r="H11" s="1200" t="s">
        <v>706</v>
      </c>
      <c r="I11" s="1200" t="s">
        <v>52</v>
      </c>
      <c r="J11" s="872" t="s">
        <v>80</v>
      </c>
      <c r="K11" s="947" t="s">
        <v>81</v>
      </c>
      <c r="L11" s="353"/>
      <c r="M11" s="1352">
        <v>44109</v>
      </c>
      <c r="N11" s="1065">
        <v>902</v>
      </c>
      <c r="O11" s="1066" t="s">
        <v>707</v>
      </c>
      <c r="P11" s="1067" t="s">
        <v>94</v>
      </c>
      <c r="Q11" s="1067">
        <v>40</v>
      </c>
      <c r="R11" s="1179" t="s">
        <v>708</v>
      </c>
      <c r="S11" s="945" t="s">
        <v>94</v>
      </c>
      <c r="T11" s="1068">
        <f>COUNTIF(D:D,N11)+COUNTIF(Nov!D:D,N11)</f>
        <v>7</v>
      </c>
      <c r="U11" s="356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</row>
    <row r="12" spans="1:31" s="357" customFormat="1">
      <c r="A12" s="351"/>
      <c r="B12" s="352"/>
      <c r="C12" s="1064">
        <v>44106</v>
      </c>
      <c r="D12" s="1065">
        <v>902</v>
      </c>
      <c r="E12" s="1353" t="s">
        <v>709</v>
      </c>
      <c r="F12" s="1340" t="s">
        <v>9</v>
      </c>
      <c r="G12" s="1133">
        <v>65</v>
      </c>
      <c r="H12" s="1179" t="s">
        <v>653</v>
      </c>
      <c r="I12" s="1179" t="s">
        <v>51</v>
      </c>
      <c r="J12" s="872" t="s">
        <v>80</v>
      </c>
      <c r="K12" s="838" t="s">
        <v>96</v>
      </c>
      <c r="L12" s="353"/>
      <c r="M12" s="1352">
        <v>44132</v>
      </c>
      <c r="N12" s="1067">
        <v>901</v>
      </c>
      <c r="O12" s="951" t="s">
        <v>710</v>
      </c>
      <c r="P12" s="1067" t="s">
        <v>94</v>
      </c>
      <c r="Q12" s="1067">
        <v>65</v>
      </c>
      <c r="R12" s="1067" t="s">
        <v>47</v>
      </c>
      <c r="S12" s="952" t="s">
        <v>81</v>
      </c>
      <c r="T12" s="1068">
        <f>COUNTIF(D:D,N12)+COUNTIF(Nov!D:D,N12)</f>
        <v>9</v>
      </c>
      <c r="U12" s="356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</row>
    <row r="13" spans="1:31" s="357" customFormat="1">
      <c r="A13" s="351"/>
      <c r="B13" s="352"/>
      <c r="C13" s="1064">
        <v>44107</v>
      </c>
      <c r="D13" s="1065">
        <v>903</v>
      </c>
      <c r="E13" s="1354" t="s">
        <v>711</v>
      </c>
      <c r="F13" s="1340" t="s">
        <v>9</v>
      </c>
      <c r="G13" s="1133">
        <v>40</v>
      </c>
      <c r="H13" s="1179" t="s">
        <v>577</v>
      </c>
      <c r="I13" s="1179" t="s">
        <v>51</v>
      </c>
      <c r="J13" s="872" t="s">
        <v>80</v>
      </c>
      <c r="K13" s="873" t="s">
        <v>96</v>
      </c>
      <c r="L13" s="353"/>
      <c r="M13" s="1352">
        <v>44107</v>
      </c>
      <c r="N13" s="1065">
        <v>902</v>
      </c>
      <c r="O13" s="1066" t="s">
        <v>712</v>
      </c>
      <c r="P13" s="1067" t="s">
        <v>83</v>
      </c>
      <c r="Q13" s="1067">
        <v>65</v>
      </c>
      <c r="R13" s="1179" t="s">
        <v>186</v>
      </c>
      <c r="S13" s="945"/>
      <c r="T13" s="1068">
        <f>COUNTIF(D:D,N13)+COUNTIF(Nov!D:D,N13)</f>
        <v>7</v>
      </c>
      <c r="U13" s="356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</row>
    <row r="14" spans="1:31" s="357" customFormat="1">
      <c r="A14" s="351"/>
      <c r="B14" s="352"/>
      <c r="C14" s="1064">
        <v>44107</v>
      </c>
      <c r="D14" s="1065">
        <v>904</v>
      </c>
      <c r="E14" s="1066" t="s">
        <v>713</v>
      </c>
      <c r="F14" s="1340" t="s">
        <v>9</v>
      </c>
      <c r="G14" s="1133">
        <v>64</v>
      </c>
      <c r="H14" s="1179" t="s">
        <v>605</v>
      </c>
      <c r="I14" s="1179" t="s">
        <v>51</v>
      </c>
      <c r="J14" s="872" t="s">
        <v>80</v>
      </c>
      <c r="K14" s="873" t="s">
        <v>96</v>
      </c>
      <c r="L14" s="353"/>
      <c r="M14" s="1352">
        <v>44107</v>
      </c>
      <c r="N14" s="1065">
        <v>903</v>
      </c>
      <c r="O14" s="1066" t="s">
        <v>712</v>
      </c>
      <c r="P14" s="1067" t="s">
        <v>83</v>
      </c>
      <c r="Q14" s="1067">
        <v>40</v>
      </c>
      <c r="R14" s="1179" t="s">
        <v>186</v>
      </c>
      <c r="S14" s="945"/>
      <c r="T14" s="1068">
        <f>COUNTIF(D:D,N14)+COUNTIF(Nov!D:D,N14)</f>
        <v>12</v>
      </c>
      <c r="U14" s="356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</row>
    <row r="15" spans="1:31" s="357" customFormat="1">
      <c r="A15" s="351"/>
      <c r="B15" s="352"/>
      <c r="C15" s="1064">
        <v>44109</v>
      </c>
      <c r="D15" s="1065">
        <v>80</v>
      </c>
      <c r="E15" s="1066" t="s">
        <v>714</v>
      </c>
      <c r="F15" s="1340" t="s">
        <v>9</v>
      </c>
      <c r="G15" s="1133">
        <v>40</v>
      </c>
      <c r="H15" s="1179"/>
      <c r="I15" s="1179" t="s">
        <v>49</v>
      </c>
      <c r="J15" s="1355" t="s">
        <v>356</v>
      </c>
      <c r="K15" s="838" t="s">
        <v>427</v>
      </c>
      <c r="L15" s="358"/>
      <c r="M15" s="1352">
        <v>44107</v>
      </c>
      <c r="N15" s="1065">
        <v>904</v>
      </c>
      <c r="O15" s="1066" t="s">
        <v>712</v>
      </c>
      <c r="P15" s="1067" t="s">
        <v>83</v>
      </c>
      <c r="Q15" s="1067">
        <v>64</v>
      </c>
      <c r="R15" s="1179" t="s">
        <v>186</v>
      </c>
      <c r="S15" s="946"/>
      <c r="T15" s="1068">
        <f>COUNTIF(D:D,N15)+COUNTIF(Nov!D:D,N15)</f>
        <v>7</v>
      </c>
      <c r="U15" s="341"/>
      <c r="V15" s="351"/>
      <c r="W15" s="351"/>
      <c r="X15" s="351"/>
      <c r="Y15" s="351"/>
      <c r="Z15" s="351"/>
      <c r="AA15" s="351"/>
      <c r="AB15" s="351"/>
      <c r="AC15" s="351"/>
      <c r="AD15" s="351"/>
      <c r="AE15" s="351"/>
    </row>
    <row r="16" spans="1:31">
      <c r="A16" s="321"/>
      <c r="B16" s="339"/>
      <c r="C16" s="1064">
        <v>44107</v>
      </c>
      <c r="D16" s="1065">
        <v>903</v>
      </c>
      <c r="E16" s="1354" t="s">
        <v>711</v>
      </c>
      <c r="F16" s="1340" t="s">
        <v>8</v>
      </c>
      <c r="G16" s="1133">
        <v>40</v>
      </c>
      <c r="H16" s="1179" t="s">
        <v>577</v>
      </c>
      <c r="I16" s="1179" t="s">
        <v>51</v>
      </c>
      <c r="J16" s="872" t="s">
        <v>80</v>
      </c>
      <c r="K16" s="873" t="s">
        <v>96</v>
      </c>
      <c r="L16" s="359"/>
      <c r="M16" s="1352">
        <v>44110</v>
      </c>
      <c r="N16" s="1065">
        <v>905</v>
      </c>
      <c r="O16" s="1066" t="s">
        <v>715</v>
      </c>
      <c r="P16" s="1067" t="s">
        <v>189</v>
      </c>
      <c r="Q16" s="1067">
        <v>64</v>
      </c>
      <c r="R16" s="1179" t="s">
        <v>114</v>
      </c>
      <c r="S16" s="946"/>
      <c r="T16" s="1068">
        <f>COUNTIF(D:D,N16)+COUNTIF(Nov!D:D,N16)</f>
        <v>4</v>
      </c>
      <c r="U16" s="341"/>
    </row>
    <row r="17" spans="1:31" s="362" customFormat="1" ht="30">
      <c r="A17" s="360"/>
      <c r="B17" s="361"/>
      <c r="C17" s="1064">
        <v>44107</v>
      </c>
      <c r="D17" s="1065">
        <v>903</v>
      </c>
      <c r="E17" s="1338" t="s">
        <v>716</v>
      </c>
      <c r="F17" s="1340" t="s">
        <v>9</v>
      </c>
      <c r="G17" s="1133">
        <v>40</v>
      </c>
      <c r="H17" s="1179" t="s">
        <v>601</v>
      </c>
      <c r="I17" s="1179" t="s">
        <v>51</v>
      </c>
      <c r="J17" s="872" t="s">
        <v>80</v>
      </c>
      <c r="K17" s="838" t="s">
        <v>96</v>
      </c>
      <c r="L17" s="358"/>
      <c r="M17" s="1340">
        <v>44113</v>
      </c>
      <c r="N17" s="1179">
        <v>906</v>
      </c>
      <c r="O17" s="1179" t="s">
        <v>717</v>
      </c>
      <c r="P17" s="1179" t="s">
        <v>94</v>
      </c>
      <c r="Q17" s="1067">
        <v>40</v>
      </c>
      <c r="R17" s="1179" t="s">
        <v>708</v>
      </c>
      <c r="S17" s="1179"/>
      <c r="T17" s="1068">
        <f>COUNTIF(D:D,N17)+COUNTIF(Nov!D:D,N17)</f>
        <v>2</v>
      </c>
      <c r="U17" s="341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</row>
    <row r="18" spans="1:31" s="362" customFormat="1">
      <c r="A18" s="360"/>
      <c r="B18" s="361"/>
      <c r="C18" s="1064">
        <v>44107</v>
      </c>
      <c r="D18" s="1065">
        <v>903</v>
      </c>
      <c r="E18" s="1066" t="s">
        <v>718</v>
      </c>
      <c r="F18" s="1340" t="s">
        <v>10</v>
      </c>
      <c r="G18" s="1133">
        <f>IF( F18="Radio", VLOOKUP(H18,radio!$A$2:$B$33,2), IF(F18="PQR",VLOOKUP(H18,pqr!$A$2:$B$20,2),IF(F18="INTERNET",VLOOKUP(H18,internet!$A$2:$C$43,2),IF(F18="TV",VLOOKUP(H18,tv!$A$2:$B$10,2),""))) )</f>
        <v>40</v>
      </c>
      <c r="H18" s="1179" t="s">
        <v>275</v>
      </c>
      <c r="I18" s="1179" t="s">
        <v>51</v>
      </c>
      <c r="J18" s="872" t="s">
        <v>80</v>
      </c>
      <c r="K18" s="838" t="s">
        <v>81</v>
      </c>
      <c r="L18" s="358"/>
      <c r="M18" s="1340">
        <v>44125</v>
      </c>
      <c r="N18" s="1179">
        <v>907</v>
      </c>
      <c r="O18" s="1179" t="s">
        <v>719</v>
      </c>
      <c r="P18" s="1179" t="s">
        <v>83</v>
      </c>
      <c r="Q18" s="1067">
        <v>65</v>
      </c>
      <c r="R18" s="1179" t="s">
        <v>186</v>
      </c>
      <c r="S18" s="1179"/>
      <c r="T18" s="1068">
        <f>COUNTIF(D:D,N18)+COUNTIF(Nov!D:D,N18)</f>
        <v>7</v>
      </c>
      <c r="U18" s="341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</row>
    <row r="19" spans="1:31" s="362" customFormat="1">
      <c r="A19" s="360"/>
      <c r="B19" s="361"/>
      <c r="C19" s="1064">
        <v>44107</v>
      </c>
      <c r="D19" s="1065">
        <v>904</v>
      </c>
      <c r="E19" s="1008" t="s">
        <v>720</v>
      </c>
      <c r="F19" s="1340" t="s">
        <v>10</v>
      </c>
      <c r="G19" s="1133">
        <f>IF( F19="Radio", VLOOKUP(H19,radio!$A$2:$B$33,2), IF(F19="PQR",VLOOKUP(H19,pqr!$A$2:$B$20,2),IF(F19="INTERNET",VLOOKUP(H19,internet!$A$2:$C$43,2),IF(F19="TV",VLOOKUP(H19,tv!$A$2:$B$10,2),""))) )</f>
        <v>64</v>
      </c>
      <c r="H19" s="1179" t="s">
        <v>261</v>
      </c>
      <c r="I19" s="1179" t="s">
        <v>51</v>
      </c>
      <c r="J19" s="872" t="s">
        <v>80</v>
      </c>
      <c r="K19" s="838" t="s">
        <v>81</v>
      </c>
      <c r="L19" s="358"/>
      <c r="M19" s="1356">
        <v>44125</v>
      </c>
      <c r="N19" s="1067">
        <v>908</v>
      </c>
      <c r="O19" s="1179" t="s">
        <v>719</v>
      </c>
      <c r="P19" s="1179" t="s">
        <v>83</v>
      </c>
      <c r="Q19" s="1232">
        <v>64</v>
      </c>
      <c r="R19" s="1179" t="s">
        <v>186</v>
      </c>
      <c r="S19" s="946"/>
      <c r="T19" s="1068">
        <f>COUNTIF(D:D,N19)+COUNTIF(Nov!D:D,N19)</f>
        <v>26</v>
      </c>
      <c r="U19" s="341"/>
      <c r="V19" s="360"/>
      <c r="W19" s="360"/>
      <c r="X19" s="360"/>
      <c r="Y19" s="360"/>
      <c r="Z19" s="360"/>
      <c r="AA19" s="360"/>
      <c r="AB19" s="360"/>
      <c r="AC19" s="360"/>
      <c r="AD19" s="360"/>
      <c r="AE19" s="360"/>
    </row>
    <row r="20" spans="1:31" s="365" customFormat="1">
      <c r="A20" s="363"/>
      <c r="B20" s="364"/>
      <c r="C20" s="1064">
        <v>44107</v>
      </c>
      <c r="D20" s="1065">
        <v>904</v>
      </c>
      <c r="E20" s="1008" t="s">
        <v>721</v>
      </c>
      <c r="F20" s="1340" t="s">
        <v>10</v>
      </c>
      <c r="G20" s="1133">
        <f>IF( F20="Radio", VLOOKUP(H20,radio!$A$2:$B$33,2), IF(F20="PQR",VLOOKUP(H20,pqr!$A$2:$B$20,2),IF(F20="INTERNET",VLOOKUP(H20,internet!$A$2:$C$43,2),IF(F20="TV",VLOOKUP(H20,tv!$A$2:$B$10,2),""))) )</f>
        <v>64</v>
      </c>
      <c r="H20" s="1179" t="s">
        <v>261</v>
      </c>
      <c r="I20" s="1179" t="s">
        <v>51</v>
      </c>
      <c r="J20" s="872" t="s">
        <v>80</v>
      </c>
      <c r="K20" s="838" t="s">
        <v>81</v>
      </c>
      <c r="L20" s="353"/>
      <c r="M20" s="1352">
        <v>44125</v>
      </c>
      <c r="N20" s="1067">
        <v>909</v>
      </c>
      <c r="O20" s="1179" t="s">
        <v>719</v>
      </c>
      <c r="P20" s="1179" t="s">
        <v>83</v>
      </c>
      <c r="Q20" s="1067">
        <v>40</v>
      </c>
      <c r="R20" s="1179" t="s">
        <v>186</v>
      </c>
      <c r="S20" s="946"/>
      <c r="T20" s="1068">
        <f>COUNTIF(D:D,N20)+COUNTIF(Nov!D:D,N20)</f>
        <v>7</v>
      </c>
      <c r="U20" s="341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</row>
    <row r="21" spans="1:31" s="362" customFormat="1" ht="45.75" thickBot="1">
      <c r="A21" s="360"/>
      <c r="B21" s="361"/>
      <c r="C21" s="1064">
        <v>44107</v>
      </c>
      <c r="D21" s="1065">
        <v>904</v>
      </c>
      <c r="E21" s="1066" t="s">
        <v>722</v>
      </c>
      <c r="F21" s="1340" t="s">
        <v>8</v>
      </c>
      <c r="G21" s="1133">
        <f>IF( F21="Radio", VLOOKUP(H21,radio!$A$2:$B$33,2), IF(F21="PQR",VLOOKUP(H21,pqr!$A$2:$B$20,2),IF(F21="INTERNET",VLOOKUP(H21,internet!$A$2:$C$43,2),IF(F21="TV",VLOOKUP(H21,tv!$A$2:$B$10,2),""))) )</f>
        <v>64</v>
      </c>
      <c r="H21" s="1179" t="s">
        <v>684</v>
      </c>
      <c r="I21" s="1179" t="s">
        <v>51</v>
      </c>
      <c r="J21" s="872" t="s">
        <v>80</v>
      </c>
      <c r="K21" s="838" t="s">
        <v>81</v>
      </c>
      <c r="L21" s="353"/>
      <c r="M21" s="1357">
        <v>44129</v>
      </c>
      <c r="N21" s="1138">
        <v>910</v>
      </c>
      <c r="O21" s="1075" t="s">
        <v>723</v>
      </c>
      <c r="P21" s="1138" t="s">
        <v>94</v>
      </c>
      <c r="Q21" s="1138">
        <v>65</v>
      </c>
      <c r="R21" s="1138" t="s">
        <v>47</v>
      </c>
      <c r="S21" s="1191"/>
      <c r="T21" s="1068">
        <f>COUNTIF(D:D,N21)+COUNTIF(Nov!D:D,N21)</f>
        <v>7</v>
      </c>
      <c r="U21" s="341"/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</row>
    <row r="22" spans="1:31" ht="30.75" thickBot="1">
      <c r="A22" s="321"/>
      <c r="B22" s="339"/>
      <c r="C22" s="1064">
        <v>44107</v>
      </c>
      <c r="D22" s="1065">
        <v>903</v>
      </c>
      <c r="E22" s="1008" t="s">
        <v>724</v>
      </c>
      <c r="F22" s="1340" t="s">
        <v>8</v>
      </c>
      <c r="G22" s="1133">
        <f>IF( F22="Radio", VLOOKUP(H22,radio!$A$2:$B$33,2), IF(F22="PQR",VLOOKUP(H22,pqr!$A$2:$B$20,2),IF(F22="INTERNET",VLOOKUP(H22,internet!$A$2:$C$43,2),IF(F22="TV",VLOOKUP(H22,tv!$A$2:$B$10,2),""))) )</f>
        <v>40</v>
      </c>
      <c r="H22" s="1179" t="s">
        <v>85</v>
      </c>
      <c r="I22" s="1179" t="s">
        <v>51</v>
      </c>
      <c r="J22" s="872" t="s">
        <v>80</v>
      </c>
      <c r="K22" s="838" t="s">
        <v>81</v>
      </c>
      <c r="L22" s="353"/>
      <c r="M22" s="1357">
        <v>44124</v>
      </c>
      <c r="N22" s="1138">
        <v>911</v>
      </c>
      <c r="O22" s="1075" t="s">
        <v>725</v>
      </c>
      <c r="P22" s="1138" t="s">
        <v>94</v>
      </c>
      <c r="Q22" s="1138">
        <v>65</v>
      </c>
      <c r="R22" s="1138" t="s">
        <v>708</v>
      </c>
      <c r="S22" s="1191"/>
      <c r="T22" s="1068">
        <f>COUNTIF(D:D,N22)+COUNTIF(Nov!D:D,N22)</f>
        <v>5</v>
      </c>
      <c r="U22" s="341"/>
    </row>
    <row r="23" spans="1:31" ht="16.5" thickBot="1">
      <c r="A23" s="321"/>
      <c r="B23" s="339"/>
      <c r="C23" s="1064">
        <v>44108</v>
      </c>
      <c r="D23" s="1065">
        <v>903</v>
      </c>
      <c r="E23" s="1354" t="s">
        <v>726</v>
      </c>
      <c r="F23" s="1340" t="s">
        <v>9</v>
      </c>
      <c r="G23" s="1133">
        <v>40</v>
      </c>
      <c r="H23" s="1179" t="s">
        <v>577</v>
      </c>
      <c r="I23" s="1179" t="s">
        <v>51</v>
      </c>
      <c r="J23" s="872" t="s">
        <v>80</v>
      </c>
      <c r="K23" s="838" t="s">
        <v>96</v>
      </c>
      <c r="L23" s="353"/>
      <c r="M23" s="1357">
        <v>44112</v>
      </c>
      <c r="N23" s="1138">
        <v>912</v>
      </c>
      <c r="O23" s="1075" t="s">
        <v>727</v>
      </c>
      <c r="P23" s="1138" t="s">
        <v>104</v>
      </c>
      <c r="Q23" s="1138">
        <v>64</v>
      </c>
      <c r="R23" s="1138" t="s">
        <v>186</v>
      </c>
      <c r="S23" s="1191"/>
      <c r="T23" s="1068">
        <f>COUNTIF(D:D,N23)+COUNTIF(Nov!D:D,N23)</f>
        <v>2</v>
      </c>
      <c r="U23" s="341"/>
    </row>
    <row r="24" spans="1:31" s="365" customFormat="1">
      <c r="A24" s="363"/>
      <c r="B24" s="364"/>
      <c r="C24" s="1064">
        <v>44108</v>
      </c>
      <c r="D24" s="1065">
        <v>903</v>
      </c>
      <c r="E24" s="1354" t="s">
        <v>728</v>
      </c>
      <c r="F24" s="1340" t="s">
        <v>10</v>
      </c>
      <c r="G24" s="1133">
        <f>IF( F24="Radio", VLOOKUP(H24,radio!$A$2:$B$33,2), IF(F24="PQR",VLOOKUP(H24,pqr!$A$2:$B$20,2),IF(F24="INTERNET",VLOOKUP(H24,internet!$A$2:$C$43,2),IF(F24="TV",VLOOKUP(H24,tv!$A$2:$B$10,2),""))) )</f>
        <v>40</v>
      </c>
      <c r="H24" s="1179" t="s">
        <v>275</v>
      </c>
      <c r="I24" s="1179" t="s">
        <v>51</v>
      </c>
      <c r="J24" s="872" t="s">
        <v>80</v>
      </c>
      <c r="K24" s="838" t="s">
        <v>81</v>
      </c>
      <c r="L24" s="353"/>
      <c r="U24" s="341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</row>
    <row r="25" spans="1:31" s="362" customFormat="1">
      <c r="A25" s="360"/>
      <c r="B25" s="361"/>
      <c r="C25" s="1064">
        <v>44108</v>
      </c>
      <c r="D25" s="1065">
        <v>903</v>
      </c>
      <c r="E25" s="1066" t="s">
        <v>729</v>
      </c>
      <c r="F25" s="1340" t="s">
        <v>8</v>
      </c>
      <c r="G25" s="1133">
        <f>IF( F25="Radio", VLOOKUP(H25,radio!$A$2:$B$33,2), IF(F25="PQR",VLOOKUP(H25,pqr!$A$2:$B$20,2),IF(F25="INTERNET",VLOOKUP(H25,internet!$A$2:$C$43,2),IF(F25="TV",VLOOKUP(H25,tv!$A$2:$B$10,2),""))) )</f>
        <v>40</v>
      </c>
      <c r="H25" s="1179" t="s">
        <v>85</v>
      </c>
      <c r="I25" s="1179" t="s">
        <v>51</v>
      </c>
      <c r="J25" s="872" t="s">
        <v>80</v>
      </c>
      <c r="K25" s="838" t="s">
        <v>81</v>
      </c>
      <c r="L25" s="358"/>
      <c r="M25" s="346"/>
      <c r="N25" s="346"/>
      <c r="O25" s="346"/>
      <c r="P25" s="346"/>
      <c r="Q25" s="346"/>
      <c r="R25" s="346"/>
      <c r="S25" s="346"/>
      <c r="T25" s="346"/>
      <c r="U25" s="341"/>
      <c r="V25" s="360"/>
      <c r="W25" s="360"/>
      <c r="X25" s="360"/>
      <c r="Y25" s="360"/>
      <c r="Z25" s="360"/>
      <c r="AA25" s="360"/>
      <c r="AB25" s="360"/>
      <c r="AC25" s="360"/>
      <c r="AD25" s="360"/>
      <c r="AE25" s="360"/>
    </row>
    <row r="26" spans="1:31" s="362" customFormat="1">
      <c r="A26" s="360"/>
      <c r="B26" s="361"/>
      <c r="C26" s="1358">
        <v>44109</v>
      </c>
      <c r="D26" s="1065">
        <v>904</v>
      </c>
      <c r="E26" s="1066" t="s">
        <v>730</v>
      </c>
      <c r="F26" s="1340" t="s">
        <v>8</v>
      </c>
      <c r="G26" s="1133">
        <f>IF( F26="Radio", VLOOKUP(H26,radio!$A$2:$B$33,2), IF(F26="PQR",VLOOKUP(H26,pqr!$A$2:$B$20,2),IF(F26="INTERNET",VLOOKUP(H26,internet!$A$2:$C$43,2),IF(F26="TV",VLOOKUP(H26,tv!$A$2:$B$10,2),""))) )</f>
        <v>64</v>
      </c>
      <c r="H26" s="1179" t="s">
        <v>396</v>
      </c>
      <c r="I26" s="1179" t="s">
        <v>51</v>
      </c>
      <c r="J26" s="872" t="s">
        <v>80</v>
      </c>
      <c r="K26" s="838" t="s">
        <v>81</v>
      </c>
      <c r="L26" s="370"/>
      <c r="M26" s="346"/>
      <c r="N26" s="346"/>
      <c r="O26" s="346"/>
      <c r="P26" s="346"/>
      <c r="Q26" s="346"/>
      <c r="R26" s="346"/>
      <c r="S26" s="346"/>
      <c r="T26" s="346"/>
      <c r="U26" s="341"/>
      <c r="V26" s="360"/>
      <c r="W26" s="360"/>
      <c r="X26" s="360"/>
      <c r="Y26" s="360"/>
      <c r="Z26" s="360"/>
      <c r="AA26" s="360"/>
      <c r="AB26" s="360"/>
      <c r="AC26" s="360"/>
      <c r="AD26" s="360"/>
      <c r="AE26" s="360"/>
    </row>
    <row r="27" spans="1:31">
      <c r="A27" s="321"/>
      <c r="B27" s="339"/>
      <c r="C27" s="1358">
        <v>44109</v>
      </c>
      <c r="D27" s="1065">
        <v>904</v>
      </c>
      <c r="E27" s="1066" t="s">
        <v>730</v>
      </c>
      <c r="F27" s="1340" t="s">
        <v>8</v>
      </c>
      <c r="G27" s="1133">
        <f>IF( F27="Radio", VLOOKUP(H27,radio!$A$2:$B$33,2), IF(F27="PQR",VLOOKUP(H27,pqr!$A$2:$B$20,2),IF(F27="INTERNET",VLOOKUP(H27,internet!$A$2:$C$43,2),IF(F27="TV",VLOOKUP(H27,tv!$A$2:$B$10,2),""))) )</f>
        <v>64</v>
      </c>
      <c r="H27" s="1179" t="s">
        <v>556</v>
      </c>
      <c r="I27" s="1179" t="s">
        <v>51</v>
      </c>
      <c r="J27" s="872" t="s">
        <v>80</v>
      </c>
      <c r="K27" s="838" t="s">
        <v>81</v>
      </c>
      <c r="L27" s="370"/>
      <c r="M27" s="369"/>
      <c r="N27" s="369"/>
      <c r="O27" s="697"/>
      <c r="P27" s="369"/>
      <c r="Q27" s="369"/>
      <c r="R27" s="369"/>
      <c r="S27" s="369"/>
      <c r="T27" s="369"/>
      <c r="U27" s="341"/>
    </row>
    <row r="28" spans="1:31">
      <c r="A28" s="321"/>
      <c r="B28" s="339"/>
      <c r="C28" s="1358">
        <v>44109</v>
      </c>
      <c r="D28" s="1065">
        <v>904</v>
      </c>
      <c r="E28" s="1354" t="s">
        <v>731</v>
      </c>
      <c r="F28" s="1340" t="s">
        <v>8</v>
      </c>
      <c r="G28" s="1133">
        <f>IF( F28="Radio", VLOOKUP(H28,radio!$A$2:$B$33,2), IF(F28="PQR",VLOOKUP(H28,pqr!$A$2:$B$20,2),IF(F28="INTERNET",VLOOKUP(H28,internet!$A$2:$C$43,2),IF(F28="TV",VLOOKUP(H28,tv!$A$2:$B$10,2),""))) )</f>
        <v>64</v>
      </c>
      <c r="H28" s="1179" t="s">
        <v>684</v>
      </c>
      <c r="I28" s="1179" t="s">
        <v>51</v>
      </c>
      <c r="J28" s="872" t="s">
        <v>80</v>
      </c>
      <c r="K28" s="838" t="s">
        <v>81</v>
      </c>
      <c r="L28" s="370"/>
      <c r="M28" s="369"/>
      <c r="N28" s="369"/>
      <c r="O28" s="346"/>
      <c r="P28" s="346"/>
      <c r="Q28" s="346"/>
      <c r="R28" s="346"/>
      <c r="S28" s="346"/>
      <c r="T28" s="346"/>
      <c r="U28" s="341"/>
    </row>
    <row r="29" spans="1:31">
      <c r="A29" s="321"/>
      <c r="B29" s="339"/>
      <c r="C29" s="1358">
        <v>44109</v>
      </c>
      <c r="D29" s="1065">
        <v>903</v>
      </c>
      <c r="E29" s="1066" t="s">
        <v>732</v>
      </c>
      <c r="F29" s="1340" t="s">
        <v>8</v>
      </c>
      <c r="G29" s="1133">
        <f>IF( F29="Radio", VLOOKUP(H29,radio!$A$2:$B$33,2), IF(F29="PQR",VLOOKUP(H29,pqr!$A$2:$B$20,2),IF(F29="INTERNET",VLOOKUP(H29,internet!$A$2:$C$43,2),IF(F29="TV",VLOOKUP(H29,tv!$A$2:$B$10,2),""))) )</f>
        <v>40</v>
      </c>
      <c r="H29" s="1179" t="s">
        <v>85</v>
      </c>
      <c r="I29" s="1179" t="s">
        <v>51</v>
      </c>
      <c r="J29" s="872" t="s">
        <v>80</v>
      </c>
      <c r="K29" s="838" t="s">
        <v>81</v>
      </c>
      <c r="L29" s="358"/>
      <c r="M29" s="369"/>
      <c r="N29" s="369"/>
      <c r="O29" s="346"/>
      <c r="P29" s="346"/>
      <c r="Q29" s="346"/>
      <c r="R29" s="346"/>
      <c r="S29" s="346"/>
      <c r="T29" s="346"/>
      <c r="U29" s="341"/>
    </row>
    <row r="30" spans="1:31" ht="24" customHeight="1">
      <c r="A30" s="321"/>
      <c r="B30" s="339"/>
      <c r="C30" s="1358">
        <v>44109</v>
      </c>
      <c r="D30" s="1065">
        <v>903</v>
      </c>
      <c r="E30" s="1066" t="s">
        <v>733</v>
      </c>
      <c r="F30" s="1340" t="s">
        <v>10</v>
      </c>
      <c r="G30" s="1133">
        <v>40</v>
      </c>
      <c r="H30" s="1179" t="s">
        <v>601</v>
      </c>
      <c r="I30" s="1179" t="s">
        <v>51</v>
      </c>
      <c r="J30" s="872" t="s">
        <v>80</v>
      </c>
      <c r="K30" s="838" t="s">
        <v>81</v>
      </c>
      <c r="L30" s="358"/>
      <c r="M30" s="1359"/>
      <c r="N30" s="904"/>
      <c r="O30" s="346"/>
      <c r="P30" s="346"/>
      <c r="Q30" s="346"/>
      <c r="R30" s="346"/>
      <c r="S30" s="346"/>
      <c r="T30" s="346"/>
      <c r="U30" s="341"/>
    </row>
    <row r="31" spans="1:31" ht="16.5" thickBot="1">
      <c r="A31" s="321"/>
      <c r="B31" s="339"/>
      <c r="C31" s="1064">
        <v>44108</v>
      </c>
      <c r="D31" s="1065">
        <v>903</v>
      </c>
      <c r="E31" s="1354" t="s">
        <v>726</v>
      </c>
      <c r="F31" s="1340" t="s">
        <v>8</v>
      </c>
      <c r="G31" s="1133">
        <v>40</v>
      </c>
      <c r="H31" s="1179" t="s">
        <v>577</v>
      </c>
      <c r="I31" s="1179" t="s">
        <v>51</v>
      </c>
      <c r="J31" s="872" t="s">
        <v>80</v>
      </c>
      <c r="K31" s="838" t="s">
        <v>96</v>
      </c>
      <c r="L31" s="358"/>
      <c r="M31" s="369"/>
      <c r="N31" s="369"/>
      <c r="O31" s="346"/>
      <c r="P31" s="346"/>
      <c r="Q31" s="346"/>
      <c r="R31" s="346"/>
      <c r="S31" s="346"/>
      <c r="T31" s="346"/>
      <c r="U31" s="341"/>
    </row>
    <row r="32" spans="1:31" s="362" customFormat="1">
      <c r="A32" s="360"/>
      <c r="B32" s="361"/>
      <c r="C32" s="1064">
        <v>44110</v>
      </c>
      <c r="D32" s="1065"/>
      <c r="E32" s="1354" t="s">
        <v>734</v>
      </c>
      <c r="F32" s="1340" t="s">
        <v>9</v>
      </c>
      <c r="G32" s="1133">
        <v>65</v>
      </c>
      <c r="H32" s="1179" t="s">
        <v>735</v>
      </c>
      <c r="I32" s="1179" t="s">
        <v>50</v>
      </c>
      <c r="J32" s="872" t="s">
        <v>80</v>
      </c>
      <c r="K32" s="838" t="s">
        <v>96</v>
      </c>
      <c r="L32" s="370"/>
      <c r="M32" s="1152" t="s">
        <v>266</v>
      </c>
      <c r="N32" s="489"/>
      <c r="O32" s="371"/>
      <c r="P32" s="371"/>
      <c r="Q32" s="371"/>
      <c r="R32" s="371"/>
      <c r="S32" s="371"/>
      <c r="T32" s="371"/>
      <c r="U32" s="372"/>
      <c r="V32" s="360"/>
      <c r="W32" s="360"/>
      <c r="X32" s="360"/>
      <c r="Y32" s="360"/>
      <c r="Z32" s="360"/>
      <c r="AA32" s="360"/>
      <c r="AB32" s="360"/>
      <c r="AC32" s="360"/>
      <c r="AD32" s="360"/>
      <c r="AE32" s="360"/>
    </row>
    <row r="33" spans="1:31" s="362" customFormat="1">
      <c r="A33" s="360"/>
      <c r="B33" s="361"/>
      <c r="C33" s="1064">
        <v>44110</v>
      </c>
      <c r="D33" s="1065">
        <v>905</v>
      </c>
      <c r="E33" s="1354" t="s">
        <v>736</v>
      </c>
      <c r="F33" s="1340" t="s">
        <v>8</v>
      </c>
      <c r="G33" s="1133">
        <f>IF( F33="Radio", VLOOKUP(H33,radio!$A$2:$B$33,2), IF(F33="PQR",VLOOKUP(H33,pqr!$A$2:$B$20,2),IF(F33="INTERNET",VLOOKUP(H33,internet!$A$2:$C$43,2),IF(F33="TV",VLOOKUP(H33,tv!$A$2:$B$10,2),""))) )</f>
        <v>64</v>
      </c>
      <c r="H33" s="1179" t="s">
        <v>611</v>
      </c>
      <c r="I33" s="1179" t="s">
        <v>50</v>
      </c>
      <c r="J33" s="872" t="s">
        <v>80</v>
      </c>
      <c r="K33" s="838" t="s">
        <v>81</v>
      </c>
      <c r="L33" s="370"/>
      <c r="M33" s="490" t="s">
        <v>128</v>
      </c>
      <c r="N33" s="450">
        <f>SUM(N34:N36)</f>
        <v>121</v>
      </c>
      <c r="O33" s="371"/>
      <c r="P33" s="371"/>
      <c r="Q33" s="371"/>
      <c r="R33" s="371"/>
      <c r="S33" s="371"/>
      <c r="T33" s="371"/>
      <c r="U33" s="372"/>
      <c r="V33" s="360"/>
      <c r="W33" s="360"/>
      <c r="X33" s="360"/>
      <c r="Y33" s="360"/>
      <c r="Z33" s="360"/>
      <c r="AA33" s="360"/>
      <c r="AB33" s="360"/>
      <c r="AC33" s="360"/>
      <c r="AD33" s="360"/>
      <c r="AE33" s="360"/>
    </row>
    <row r="34" spans="1:31" s="362" customFormat="1">
      <c r="A34" s="360"/>
      <c r="B34" s="361"/>
      <c r="C34" s="1064">
        <v>44110</v>
      </c>
      <c r="D34" s="1065">
        <v>902</v>
      </c>
      <c r="E34" s="1354" t="s">
        <v>737</v>
      </c>
      <c r="F34" s="1340" t="s">
        <v>8</v>
      </c>
      <c r="G34" s="1133">
        <f>IF( F34="Radio", VLOOKUP(H34,radio!$A$2:$B$33,2), IF(F34="PQR",VLOOKUP(H34,pqr!$A$2:$B$20,2),IF(F34="INTERNET",VLOOKUP(H34,internet!$A$2:$C$43,2),IF(F34="TV",VLOOKUP(H34,tv!$A$2:$B$10,2),""))) )</f>
        <v>40</v>
      </c>
      <c r="H34" s="1179" t="s">
        <v>85</v>
      </c>
      <c r="I34" s="1179" t="s">
        <v>52</v>
      </c>
      <c r="J34" s="872" t="s">
        <v>80</v>
      </c>
      <c r="K34" s="838" t="s">
        <v>81</v>
      </c>
      <c r="L34" s="370"/>
      <c r="M34" s="491" t="s">
        <v>132</v>
      </c>
      <c r="N34" s="450">
        <f>COUNTIF(G$1:G286,65)</f>
        <v>31</v>
      </c>
      <c r="O34" s="346"/>
      <c r="P34" s="346"/>
      <c r="Q34" s="346"/>
      <c r="R34" s="346"/>
      <c r="S34" s="346"/>
      <c r="T34" s="346"/>
      <c r="U34" s="372"/>
      <c r="V34" s="360"/>
      <c r="W34" s="360"/>
      <c r="X34" s="360"/>
      <c r="Y34" s="360"/>
      <c r="Z34" s="360"/>
      <c r="AA34" s="360"/>
      <c r="AB34" s="360"/>
      <c r="AC34" s="360"/>
      <c r="AD34" s="360"/>
      <c r="AE34" s="360"/>
    </row>
    <row r="35" spans="1:31">
      <c r="A35" s="321"/>
      <c r="B35" s="339"/>
      <c r="C35" s="739">
        <v>44111</v>
      </c>
      <c r="D35" s="919">
        <v>86</v>
      </c>
      <c r="E35" s="923" t="s">
        <v>738</v>
      </c>
      <c r="F35" s="924" t="s">
        <v>8</v>
      </c>
      <c r="G35" s="925">
        <f>IF( F35="Radio", VLOOKUP(H35,radio!$A$2:$B$33,2), IF(F35="PQR",VLOOKUP(H35,pqr!$A$2:$B$20,2),IF(F35="INTERNET",VLOOKUP(H35,internet!$A$2:$C$43,2),IF(F35="TV",VLOOKUP(H35,tv!$A$2:$B$10,2),""))) )</f>
        <v>65</v>
      </c>
      <c r="H35" s="921" t="s">
        <v>550</v>
      </c>
      <c r="I35" s="921" t="s">
        <v>47</v>
      </c>
      <c r="J35" s="872" t="s">
        <v>80</v>
      </c>
      <c r="K35" s="838" t="s">
        <v>81</v>
      </c>
      <c r="L35" s="370"/>
      <c r="M35" s="243" t="s">
        <v>129</v>
      </c>
      <c r="N35" s="225">
        <f>COUNTIF(G$1:G208,40)</f>
        <v>37</v>
      </c>
      <c r="O35" s="369"/>
      <c r="P35" s="369"/>
      <c r="Q35" s="369"/>
      <c r="R35" s="369"/>
      <c r="S35" s="369"/>
      <c r="T35" s="369"/>
      <c r="U35" s="341"/>
    </row>
    <row r="36" spans="1:31">
      <c r="A36" s="321"/>
      <c r="B36" s="339"/>
      <c r="C36" s="1064">
        <v>44111</v>
      </c>
      <c r="D36" s="1065">
        <v>912</v>
      </c>
      <c r="E36" s="1354" t="s">
        <v>739</v>
      </c>
      <c r="F36" s="1340" t="s">
        <v>9</v>
      </c>
      <c r="G36" s="1133">
        <v>64</v>
      </c>
      <c r="H36" s="1179" t="s">
        <v>605</v>
      </c>
      <c r="I36" s="1179" t="s">
        <v>51</v>
      </c>
      <c r="J36" s="872" t="s">
        <v>80</v>
      </c>
      <c r="K36" s="873" t="s">
        <v>96</v>
      </c>
      <c r="L36" s="370"/>
      <c r="M36" s="491" t="s">
        <v>134</v>
      </c>
      <c r="N36" s="888">
        <f>COUNTIF(G$1:G286,64)</f>
        <v>53</v>
      </c>
      <c r="O36" s="369"/>
      <c r="P36" s="369"/>
      <c r="Q36" s="369"/>
      <c r="R36" s="369"/>
      <c r="S36" s="369"/>
      <c r="T36" s="369"/>
      <c r="U36" s="341"/>
    </row>
    <row r="37" spans="1:31" s="362" customFormat="1">
      <c r="A37" s="360"/>
      <c r="B37" s="361"/>
      <c r="C37" s="1064">
        <v>44112</v>
      </c>
      <c r="D37" s="1065">
        <v>86</v>
      </c>
      <c r="E37" s="1354" t="s">
        <v>740</v>
      </c>
      <c r="F37" s="1340" t="s">
        <v>8</v>
      </c>
      <c r="G37" s="1133">
        <f>IF( F37="Radio", VLOOKUP(H37,radio!$A$2:$B$33,2), IF(F37="PQR",VLOOKUP(H37,pqr!$A$2:$B$20,2),IF(F37="INTERNET",VLOOKUP(H37,internet!$A$2:$C$43,2),IF(F37="TV",VLOOKUP(H37,tv!$A$2:$B$10,2),""))) )</f>
        <v>65</v>
      </c>
      <c r="H37" s="1179" t="s">
        <v>311</v>
      </c>
      <c r="I37" s="1179" t="s">
        <v>47</v>
      </c>
      <c r="J37" s="872" t="s">
        <v>80</v>
      </c>
      <c r="K37" s="873" t="s">
        <v>81</v>
      </c>
      <c r="L37" s="370"/>
      <c r="O37" s="346"/>
      <c r="P37" s="346"/>
      <c r="Q37" s="346"/>
      <c r="R37" s="346"/>
      <c r="S37" s="346"/>
      <c r="T37" s="346"/>
      <c r="U37" s="372"/>
      <c r="V37" s="360"/>
      <c r="W37" s="360"/>
      <c r="X37" s="360"/>
      <c r="Y37" s="360"/>
      <c r="Z37" s="360"/>
      <c r="AA37" s="360"/>
      <c r="AB37" s="360"/>
      <c r="AC37" s="360"/>
      <c r="AD37" s="360"/>
      <c r="AE37" s="360"/>
    </row>
    <row r="38" spans="1:31">
      <c r="A38" s="321"/>
      <c r="B38" s="339"/>
      <c r="C38" s="1064">
        <v>44112</v>
      </c>
      <c r="D38" s="1065">
        <v>86</v>
      </c>
      <c r="E38" s="1354" t="s">
        <v>740</v>
      </c>
      <c r="F38" s="1340" t="s">
        <v>8</v>
      </c>
      <c r="G38" s="1133">
        <f>IF( F38="Radio", VLOOKUP(H38,radio!$A$2:$B$33,2), IF(F38="PQR",VLOOKUP(H38,pqr!$A$2:$B$20,2),IF(F38="INTERNET",VLOOKUP(H38,internet!$A$2:$C$43,2),IF(F38="TV",VLOOKUP(H38,tv!$A$2:$B$10,2),""))) )</f>
        <v>65</v>
      </c>
      <c r="H38" s="1179" t="s">
        <v>91</v>
      </c>
      <c r="I38" s="1179" t="s">
        <v>47</v>
      </c>
      <c r="J38" s="872" t="s">
        <v>80</v>
      </c>
      <c r="K38" s="838" t="s">
        <v>81</v>
      </c>
      <c r="L38" s="358"/>
      <c r="M38" s="373"/>
      <c r="N38" s="369"/>
      <c r="O38" s="369"/>
      <c r="P38" s="369"/>
      <c r="Q38" s="369"/>
      <c r="R38" s="369"/>
      <c r="S38" s="369"/>
      <c r="T38" s="369"/>
      <c r="U38" s="341"/>
    </row>
    <row r="39" spans="1:31" s="362" customFormat="1">
      <c r="A39" s="360"/>
      <c r="B39" s="361"/>
      <c r="C39" s="1064">
        <v>44112</v>
      </c>
      <c r="D39" s="1065"/>
      <c r="E39" s="1353" t="s">
        <v>734</v>
      </c>
      <c r="F39" s="1340" t="s">
        <v>8</v>
      </c>
      <c r="G39" s="1133">
        <f>IF( F39="Radio", VLOOKUP(H39,radio!$A$2:$B$33,2), IF(F39="PQR",VLOOKUP(H39,pqr!$A$2:$B$20,2),IF(F39="INTERNET",VLOOKUP(H39,internet!$A$2:$C$43,2),IF(F39="TV",VLOOKUP(H39,tv!$A$2:$B$10,2),""))) )</f>
        <v>65</v>
      </c>
      <c r="H39" s="1179" t="s">
        <v>735</v>
      </c>
      <c r="I39" s="1179" t="s">
        <v>47</v>
      </c>
      <c r="J39" s="872" t="s">
        <v>80</v>
      </c>
      <c r="K39" s="838" t="s">
        <v>81</v>
      </c>
      <c r="L39" s="358"/>
      <c r="M39" s="373"/>
      <c r="N39" s="346"/>
      <c r="O39" s="346"/>
      <c r="P39" s="346"/>
      <c r="Q39" s="346"/>
      <c r="R39" s="346"/>
      <c r="S39" s="346"/>
      <c r="T39" s="346"/>
      <c r="U39" s="372"/>
      <c r="V39" s="360"/>
      <c r="W39" s="360"/>
      <c r="X39" s="360"/>
      <c r="Y39" s="360"/>
      <c r="Z39" s="360"/>
      <c r="AA39" s="360"/>
      <c r="AB39" s="360"/>
      <c r="AC39" s="360"/>
      <c r="AD39" s="360"/>
      <c r="AE39" s="360"/>
    </row>
    <row r="40" spans="1:31" s="362" customFormat="1">
      <c r="A40" s="360"/>
      <c r="B40" s="361"/>
      <c r="C40" s="1064">
        <v>44112</v>
      </c>
      <c r="D40" s="1065">
        <v>912</v>
      </c>
      <c r="E40" s="1353" t="s">
        <v>741</v>
      </c>
      <c r="F40" s="1340" t="s">
        <v>8</v>
      </c>
      <c r="G40" s="1133">
        <f>IF( F40="Radio", VLOOKUP(H40,radio!$A$2:$B$33,2), IF(F40="PQR",VLOOKUP(H40,pqr!$A$2:$B$20,2),IF(F40="INTERNET",VLOOKUP(H40,internet!$A$2:$C$43,2),IF(F40="TV",VLOOKUP(H40,tv!$A$2:$B$10,2),""))) )</f>
        <v>64</v>
      </c>
      <c r="H40" s="1179" t="s">
        <v>611</v>
      </c>
      <c r="I40" s="1179" t="s">
        <v>51</v>
      </c>
      <c r="J40" s="872" t="s">
        <v>80</v>
      </c>
      <c r="K40" s="838" t="s">
        <v>81</v>
      </c>
      <c r="L40" s="358"/>
      <c r="M40" s="373"/>
      <c r="N40" s="346"/>
      <c r="O40" s="346"/>
      <c r="P40" s="346"/>
      <c r="Q40" s="346"/>
      <c r="R40" s="346"/>
      <c r="S40" s="346"/>
      <c r="T40" s="346"/>
      <c r="U40" s="372"/>
      <c r="V40" s="360"/>
      <c r="W40" s="360"/>
      <c r="X40" s="360"/>
      <c r="Y40" s="360"/>
      <c r="Z40" s="360"/>
      <c r="AA40" s="360"/>
      <c r="AB40" s="360"/>
      <c r="AC40" s="360"/>
      <c r="AD40" s="360"/>
      <c r="AE40" s="360"/>
    </row>
    <row r="41" spans="1:31" s="362" customFormat="1">
      <c r="A41" s="360"/>
      <c r="B41" s="361"/>
      <c r="C41" s="1064">
        <v>44112</v>
      </c>
      <c r="D41" s="1065">
        <v>905</v>
      </c>
      <c r="E41" s="1354" t="s">
        <v>742</v>
      </c>
      <c r="F41" s="1340" t="s">
        <v>8</v>
      </c>
      <c r="G41" s="1133">
        <f>IF( F41="Radio", VLOOKUP(H41,radio!$A$2:$B$33,2), IF(F41="PQR",VLOOKUP(H41,pqr!$A$2:$B$20,2),IF(F41="INTERNET",VLOOKUP(H41,internet!$A$2:$C$43,2),IF(F41="TV",VLOOKUP(H41,tv!$A$2:$B$10,2),""))) )</f>
        <v>64</v>
      </c>
      <c r="H41" s="1179" t="s">
        <v>396</v>
      </c>
      <c r="I41" s="1179" t="s">
        <v>47</v>
      </c>
      <c r="J41" s="872" t="s">
        <v>80</v>
      </c>
      <c r="K41" s="873" t="s">
        <v>81</v>
      </c>
      <c r="L41" s="358"/>
      <c r="M41" s="373"/>
      <c r="N41" s="346"/>
      <c r="O41" s="346"/>
      <c r="P41" s="346"/>
      <c r="Q41" s="346"/>
      <c r="R41" s="346"/>
      <c r="S41" s="346"/>
      <c r="T41" s="346"/>
      <c r="U41" s="372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</row>
    <row r="42" spans="1:31" s="362" customFormat="1">
      <c r="A42" s="360"/>
      <c r="B42" s="361"/>
      <c r="C42" s="1064">
        <v>44112</v>
      </c>
      <c r="D42" s="1065">
        <v>79</v>
      </c>
      <c r="E42" s="1353" t="s">
        <v>743</v>
      </c>
      <c r="F42" s="1340" t="s">
        <v>8</v>
      </c>
      <c r="G42" s="1133">
        <f>IF( F42="Radio", VLOOKUP(H42,radio!$A$2:$B$33,2), IF(F42="PQR",VLOOKUP(H42,pqr!$A$2:$B$20,2),IF(F42="INTERNET",VLOOKUP(H42,internet!$A$2:$C$43,2),IF(F42="TV",VLOOKUP(H42,tv!$A$2:$B$10,2),""))) )</f>
        <v>40</v>
      </c>
      <c r="H42" s="1179" t="s">
        <v>85</v>
      </c>
      <c r="I42" s="1179" t="s">
        <v>47</v>
      </c>
      <c r="J42" s="872" t="s">
        <v>80</v>
      </c>
      <c r="K42" s="838" t="s">
        <v>81</v>
      </c>
      <c r="L42" s="358"/>
      <c r="M42" s="553"/>
      <c r="N42" s="554"/>
      <c r="O42" s="346"/>
      <c r="P42" s="346"/>
      <c r="Q42" s="346"/>
      <c r="R42" s="346"/>
      <c r="S42" s="346"/>
      <c r="T42" s="346"/>
      <c r="U42" s="372"/>
      <c r="V42" s="360"/>
      <c r="W42" s="360"/>
      <c r="X42" s="360"/>
      <c r="Y42" s="360"/>
      <c r="Z42" s="360"/>
      <c r="AA42" s="360"/>
      <c r="AB42" s="360"/>
      <c r="AC42" s="360"/>
      <c r="AD42" s="360"/>
      <c r="AE42" s="360"/>
    </row>
    <row r="43" spans="1:31" s="362" customFormat="1">
      <c r="A43" s="360"/>
      <c r="B43" s="361"/>
      <c r="C43" s="1064">
        <v>44112</v>
      </c>
      <c r="D43" s="1065">
        <v>79</v>
      </c>
      <c r="E43" s="1066" t="s">
        <v>743</v>
      </c>
      <c r="F43" s="1340" t="s">
        <v>9</v>
      </c>
      <c r="G43" s="1133">
        <v>40</v>
      </c>
      <c r="H43" s="1179" t="s">
        <v>577</v>
      </c>
      <c r="I43" s="1179" t="s">
        <v>47</v>
      </c>
      <c r="J43" s="872" t="s">
        <v>80</v>
      </c>
      <c r="K43" s="873" t="s">
        <v>96</v>
      </c>
      <c r="L43" s="358"/>
      <c r="M43" s="373"/>
      <c r="N43" s="346"/>
      <c r="O43" s="346"/>
      <c r="P43" s="346"/>
      <c r="Q43" s="346"/>
      <c r="R43" s="346"/>
      <c r="S43" s="346"/>
      <c r="T43" s="346"/>
      <c r="U43" s="372"/>
      <c r="V43" s="360"/>
      <c r="W43" s="360"/>
      <c r="X43" s="360"/>
      <c r="Y43" s="360"/>
      <c r="Z43" s="360"/>
      <c r="AA43" s="360"/>
      <c r="AB43" s="360"/>
      <c r="AC43" s="360"/>
      <c r="AD43" s="360"/>
      <c r="AE43" s="360"/>
    </row>
    <row r="44" spans="1:31" s="362" customFormat="1">
      <c r="A44" s="360"/>
      <c r="B44" s="361"/>
      <c r="C44" s="1064">
        <v>44113</v>
      </c>
      <c r="D44" s="1065"/>
      <c r="E44" s="1354" t="s">
        <v>744</v>
      </c>
      <c r="F44" s="1340" t="s">
        <v>8</v>
      </c>
      <c r="G44" s="1133">
        <f>IF( F44="Radio", VLOOKUP(H44,radio!$A$2:$B$33,2), IF(F44="PQR",VLOOKUP(H44,pqr!$A$2:$B$20,2),IF(F44="INTERNET",VLOOKUP(H44,internet!$A$2:$C$43,2),IF(F44="TV",VLOOKUP(H44,tv!$A$2:$B$10,2),""))) )</f>
        <v>65</v>
      </c>
      <c r="H44" s="1179" t="s">
        <v>311</v>
      </c>
      <c r="I44" s="1179" t="s">
        <v>50</v>
      </c>
      <c r="J44" s="872" t="s">
        <v>80</v>
      </c>
      <c r="K44" s="873" t="s">
        <v>81</v>
      </c>
      <c r="L44" s="358"/>
      <c r="M44" s="373"/>
      <c r="N44" s="346"/>
      <c r="O44" s="346"/>
      <c r="P44" s="346"/>
      <c r="Q44" s="346"/>
      <c r="R44" s="346"/>
      <c r="S44" s="346"/>
      <c r="T44" s="346"/>
      <c r="U44" s="372"/>
      <c r="V44" s="360"/>
      <c r="W44" s="360"/>
      <c r="X44" s="360"/>
      <c r="Y44" s="360"/>
      <c r="Z44" s="360"/>
      <c r="AA44" s="360"/>
      <c r="AB44" s="360"/>
      <c r="AC44" s="360"/>
      <c r="AD44" s="360"/>
      <c r="AE44" s="360"/>
    </row>
    <row r="45" spans="1:31" s="362" customFormat="1">
      <c r="A45" s="360"/>
      <c r="B45" s="361"/>
      <c r="C45" s="1064">
        <v>44113</v>
      </c>
      <c r="D45" s="1065"/>
      <c r="E45" s="1354" t="s">
        <v>745</v>
      </c>
      <c r="F45" s="1340" t="s">
        <v>8</v>
      </c>
      <c r="G45" s="1133">
        <f>IF( F45="Radio", VLOOKUP(H45,radio!$A$2:$B$33,2), IF(F45="PQR",VLOOKUP(H45,pqr!$A$2:$B$20,2),IF(F45="INTERNET",VLOOKUP(H45,internet!$A$2:$C$43,2),IF(F45="TV",VLOOKUP(H45,tv!$A$2:$B$10,2),""))) )</f>
        <v>65</v>
      </c>
      <c r="H45" s="1179" t="s">
        <v>91</v>
      </c>
      <c r="I45" s="1179" t="s">
        <v>50</v>
      </c>
      <c r="J45" s="872" t="s">
        <v>80</v>
      </c>
      <c r="K45" s="838" t="s">
        <v>81</v>
      </c>
      <c r="L45" s="358"/>
      <c r="M45" s="373"/>
      <c r="N45" s="346"/>
      <c r="O45" s="346"/>
      <c r="P45" s="346"/>
      <c r="Q45" s="346"/>
      <c r="R45" s="346"/>
      <c r="S45" s="346"/>
      <c r="T45" s="346"/>
      <c r="U45" s="372"/>
      <c r="V45" s="360"/>
      <c r="W45" s="360"/>
      <c r="X45" s="360"/>
      <c r="Y45" s="360"/>
      <c r="Z45" s="360"/>
      <c r="AA45" s="360"/>
      <c r="AB45" s="360"/>
      <c r="AC45" s="360"/>
      <c r="AD45" s="360"/>
      <c r="AE45" s="360"/>
    </row>
    <row r="46" spans="1:31" s="362" customFormat="1">
      <c r="A46" s="360"/>
      <c r="B46" s="361"/>
      <c r="C46" s="1064">
        <v>44113</v>
      </c>
      <c r="D46" s="1065">
        <v>906</v>
      </c>
      <c r="E46" s="1354" t="s">
        <v>746</v>
      </c>
      <c r="F46" s="1340" t="s">
        <v>9</v>
      </c>
      <c r="G46" s="1133">
        <v>40</v>
      </c>
      <c r="H46" s="1179" t="s">
        <v>706</v>
      </c>
      <c r="I46" s="1179" t="s">
        <v>52</v>
      </c>
      <c r="J46" s="872" t="s">
        <v>80</v>
      </c>
      <c r="K46" s="838" t="s">
        <v>81</v>
      </c>
      <c r="L46" s="358"/>
      <c r="M46" s="553"/>
      <c r="N46" s="554"/>
      <c r="O46" s="346"/>
      <c r="P46" s="346"/>
      <c r="Q46" s="346"/>
      <c r="R46" s="346"/>
      <c r="S46" s="346"/>
      <c r="T46" s="346"/>
      <c r="U46" s="372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</row>
    <row r="47" spans="1:31" s="362" customFormat="1">
      <c r="A47" s="360"/>
      <c r="B47" s="361"/>
      <c r="C47" s="1064">
        <v>44113</v>
      </c>
      <c r="D47" s="1065">
        <v>906</v>
      </c>
      <c r="E47" s="1354" t="s">
        <v>747</v>
      </c>
      <c r="F47" s="1340" t="s">
        <v>9</v>
      </c>
      <c r="G47" s="1133">
        <v>40</v>
      </c>
      <c r="H47" s="1179" t="s">
        <v>706</v>
      </c>
      <c r="I47" s="1179" t="s">
        <v>52</v>
      </c>
      <c r="J47" s="872" t="s">
        <v>80</v>
      </c>
      <c r="K47" s="838" t="s">
        <v>81</v>
      </c>
      <c r="L47" s="358"/>
      <c r="M47" s="373"/>
      <c r="N47" s="346"/>
      <c r="O47" s="346"/>
      <c r="P47" s="346"/>
      <c r="Q47" s="346"/>
      <c r="R47" s="346"/>
      <c r="S47" s="346"/>
      <c r="T47" s="346"/>
      <c r="U47" s="372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</row>
    <row r="48" spans="1:31" s="362" customFormat="1">
      <c r="A48" s="360"/>
      <c r="B48" s="361"/>
      <c r="C48" s="1064">
        <v>44113</v>
      </c>
      <c r="D48" s="1065">
        <v>902</v>
      </c>
      <c r="E48" s="1338" t="s">
        <v>748</v>
      </c>
      <c r="F48" s="1340" t="s">
        <v>8</v>
      </c>
      <c r="G48" s="1133">
        <f>IF( F48="Radio", VLOOKUP(H48,radio!$A$2:$B$33,2), IF(F48="PQR",VLOOKUP(H48,pqr!$A$2:$B$20,2),IF(F48="INTERNET",VLOOKUP(H48,internet!$A$2:$C$43,2),IF(F48="TV",VLOOKUP(H48,tv!$A$2:$B$10,2),""))) )</f>
        <v>40</v>
      </c>
      <c r="H48" s="1179" t="s">
        <v>85</v>
      </c>
      <c r="I48" s="1179" t="s">
        <v>52</v>
      </c>
      <c r="J48" s="872" t="s">
        <v>80</v>
      </c>
      <c r="K48" s="873" t="s">
        <v>81</v>
      </c>
      <c r="L48" s="358"/>
      <c r="M48" s="373"/>
      <c r="N48" s="346"/>
      <c r="O48" s="346"/>
      <c r="P48" s="346"/>
      <c r="Q48" s="346"/>
      <c r="R48" s="346"/>
      <c r="S48" s="346"/>
      <c r="T48" s="346"/>
      <c r="U48" s="372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</row>
    <row r="49" spans="1:34" s="362" customFormat="1">
      <c r="A49" s="360"/>
      <c r="B49" s="361"/>
      <c r="C49" s="1064">
        <v>44113</v>
      </c>
      <c r="D49" s="1065">
        <v>905</v>
      </c>
      <c r="E49" s="1354" t="s">
        <v>749</v>
      </c>
      <c r="F49" s="1340" t="s">
        <v>8</v>
      </c>
      <c r="G49" s="1133">
        <f>IF( F49="Radio", VLOOKUP(H49,radio!$A$2:$B$33,2), IF(F49="PQR",VLOOKUP(H49,pqr!$A$2:$B$20,2),IF(F49="INTERNET",VLOOKUP(H49,internet!$A$2:$C$43,2),IF(F49="TV",VLOOKUP(H49,tv!$A$2:$B$10,2),""))) )</f>
        <v>64</v>
      </c>
      <c r="H49" s="1179" t="s">
        <v>396</v>
      </c>
      <c r="I49" s="1179" t="s">
        <v>47</v>
      </c>
      <c r="J49" s="872" t="s">
        <v>80</v>
      </c>
      <c r="K49" s="873" t="s">
        <v>81</v>
      </c>
      <c r="L49" s="358"/>
      <c r="M49" s="373"/>
      <c r="N49" s="346"/>
      <c r="O49" s="346"/>
      <c r="P49" s="346"/>
      <c r="Q49" s="346"/>
      <c r="R49" s="346"/>
      <c r="S49" s="346"/>
      <c r="T49" s="346"/>
      <c r="U49" s="372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</row>
    <row r="50" spans="1:34" s="362" customFormat="1">
      <c r="A50" s="360"/>
      <c r="B50" s="361"/>
      <c r="C50" s="1064">
        <v>44113</v>
      </c>
      <c r="D50" s="1065">
        <v>905</v>
      </c>
      <c r="E50" s="1354" t="s">
        <v>749</v>
      </c>
      <c r="F50" s="1340" t="s">
        <v>8</v>
      </c>
      <c r="G50" s="1133">
        <f>IF( F50="Radio", VLOOKUP(H50,radio!$A$2:$B$33,2), IF(F50="PQR",VLOOKUP(H50,pqr!$A$2:$B$20,2),IF(F50="INTERNET",VLOOKUP(H50,internet!$A$2:$C$43,2),IF(F50="TV",VLOOKUP(H50,tv!$A$2:$B$10,2),""))) )</f>
        <v>64</v>
      </c>
      <c r="H50" s="1179" t="s">
        <v>556</v>
      </c>
      <c r="I50" s="1179" t="s">
        <v>47</v>
      </c>
      <c r="J50" s="872" t="s">
        <v>80</v>
      </c>
      <c r="K50" s="873" t="s">
        <v>81</v>
      </c>
      <c r="L50" s="358"/>
      <c r="M50" s="373"/>
      <c r="N50" s="346"/>
      <c r="O50" s="346"/>
      <c r="P50" s="346"/>
      <c r="Q50" s="346"/>
      <c r="R50" s="346"/>
      <c r="S50" s="346"/>
      <c r="T50" s="346"/>
      <c r="U50" s="372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</row>
    <row r="51" spans="1:34" s="362" customFormat="1">
      <c r="A51" s="360"/>
      <c r="B51" s="361"/>
      <c r="C51" s="1064"/>
      <c r="D51" s="1065"/>
      <c r="E51" s="1179"/>
      <c r="F51" s="1340"/>
      <c r="G51" s="1133"/>
      <c r="H51" s="1179"/>
      <c r="I51" s="1179"/>
      <c r="J51" s="1261"/>
      <c r="K51" s="873"/>
      <c r="L51" s="370"/>
      <c r="M51" s="373"/>
      <c r="N51" s="346"/>
      <c r="O51" s="346"/>
      <c r="P51" s="346"/>
      <c r="Q51" s="346"/>
      <c r="R51" s="346"/>
      <c r="S51" s="346"/>
      <c r="T51" s="346"/>
      <c r="U51" s="372"/>
      <c r="V51" s="360"/>
      <c r="W51" s="360"/>
      <c r="X51" s="360"/>
      <c r="Y51" s="360"/>
      <c r="Z51" s="360"/>
      <c r="AA51" s="360"/>
      <c r="AB51" s="360"/>
      <c r="AC51" s="360"/>
      <c r="AD51" s="360"/>
      <c r="AE51" s="360"/>
    </row>
    <row r="52" spans="1:34" s="362" customFormat="1">
      <c r="A52" s="360"/>
      <c r="B52" s="361"/>
      <c r="C52" s="1064">
        <v>44116</v>
      </c>
      <c r="D52" s="1065">
        <v>86</v>
      </c>
      <c r="E52" s="1354" t="s">
        <v>750</v>
      </c>
      <c r="F52" s="1340" t="s">
        <v>8</v>
      </c>
      <c r="G52" s="1133">
        <f>IF( F52="Radio", VLOOKUP(H52,radio!$A$2:$B$33,2), IF(F52="PQR",VLOOKUP(H52,pqr!$A$2:$B$20,2),IF(F52="INTERNET",VLOOKUP(H52,internet!$A$2:$C$43,2),IF(F52="TV",VLOOKUP(H52,tv!$A$2:$B$10,2),""))) )</f>
        <v>65</v>
      </c>
      <c r="H52" s="1179" t="s">
        <v>91</v>
      </c>
      <c r="I52" s="1179" t="s">
        <v>49</v>
      </c>
      <c r="J52" s="872" t="s">
        <v>80</v>
      </c>
      <c r="K52" s="873" t="s">
        <v>81</v>
      </c>
      <c r="L52" s="370"/>
      <c r="M52" s="373"/>
      <c r="N52" s="346"/>
      <c r="O52" s="346"/>
      <c r="P52" s="346"/>
      <c r="Q52" s="346"/>
      <c r="R52" s="346"/>
      <c r="S52" s="346"/>
      <c r="T52" s="346"/>
      <c r="U52" s="372"/>
      <c r="V52" s="360"/>
      <c r="W52" s="360"/>
      <c r="X52" s="360"/>
      <c r="Y52" s="360"/>
      <c r="Z52" s="360"/>
      <c r="AA52" s="360"/>
      <c r="AB52" s="360"/>
      <c r="AC52" s="360"/>
      <c r="AD52" s="360"/>
      <c r="AE52" s="360"/>
    </row>
    <row r="53" spans="1:34" s="362" customFormat="1">
      <c r="A53" s="360"/>
      <c r="B53" s="361"/>
      <c r="C53" s="1064">
        <v>44116</v>
      </c>
      <c r="D53" s="1065" t="s">
        <v>453</v>
      </c>
      <c r="E53" s="1354" t="s">
        <v>751</v>
      </c>
      <c r="F53" s="1340" t="s">
        <v>8</v>
      </c>
      <c r="G53" s="1133">
        <f>IF( F53="Radio", VLOOKUP(H53,radio!$A$2:$B$33,2), IF(F53="PQR",VLOOKUP(H53,pqr!$A$2:$B$20,2),IF(F53="INTERNET",VLOOKUP(H53,internet!$A$2:$C$43,2),IF(F53="TV",VLOOKUP(H53,tv!$A$2:$B$10,2),""))) )</f>
        <v>64</v>
      </c>
      <c r="H53" s="1179" t="s">
        <v>684</v>
      </c>
      <c r="I53" s="1179" t="s">
        <v>52</v>
      </c>
      <c r="J53" s="872" t="s">
        <v>80</v>
      </c>
      <c r="K53" s="873" t="s">
        <v>81</v>
      </c>
      <c r="L53" s="370"/>
      <c r="M53" s="373"/>
      <c r="N53" s="346"/>
      <c r="O53" s="346"/>
      <c r="P53" s="346"/>
      <c r="Q53" s="346"/>
      <c r="R53" s="346"/>
      <c r="S53" s="346"/>
      <c r="T53" s="346"/>
      <c r="U53" s="372"/>
      <c r="V53" s="360"/>
      <c r="W53" s="360"/>
      <c r="X53" s="360"/>
      <c r="Y53" s="360"/>
      <c r="Z53" s="360"/>
      <c r="AA53" s="360"/>
      <c r="AB53" s="360"/>
      <c r="AC53" s="360"/>
      <c r="AD53" s="360"/>
      <c r="AE53" s="360"/>
    </row>
    <row r="54" spans="1:34" s="362" customFormat="1">
      <c r="A54" s="360"/>
      <c r="B54" s="361"/>
      <c r="C54" s="1064">
        <v>44116</v>
      </c>
      <c r="D54" s="1065">
        <v>86</v>
      </c>
      <c r="E54" s="1353" t="s">
        <v>750</v>
      </c>
      <c r="F54" s="1340" t="s">
        <v>9</v>
      </c>
      <c r="G54" s="1133">
        <v>65</v>
      </c>
      <c r="H54" s="1179" t="s">
        <v>311</v>
      </c>
      <c r="I54" s="1179" t="s">
        <v>49</v>
      </c>
      <c r="J54" s="872" t="s">
        <v>80</v>
      </c>
      <c r="K54" s="873" t="s">
        <v>81</v>
      </c>
      <c r="L54" s="375"/>
      <c r="M54" s="373"/>
      <c r="N54" s="346"/>
      <c r="O54" s="346"/>
      <c r="P54" s="346"/>
      <c r="Q54" s="346"/>
      <c r="R54" s="346"/>
      <c r="S54" s="346"/>
      <c r="T54" s="346"/>
      <c r="U54" s="372"/>
      <c r="V54" s="327"/>
      <c r="W54" s="327"/>
      <c r="X54" s="689"/>
      <c r="Y54" s="326"/>
      <c r="Z54" s="328"/>
      <c r="AA54" s="1306"/>
      <c r="AB54" s="1306"/>
      <c r="AC54" s="1306"/>
      <c r="AD54" s="1306"/>
      <c r="AE54" s="326"/>
      <c r="AF54" s="326"/>
      <c r="AG54" s="329"/>
      <c r="AH54" s="329"/>
    </row>
    <row r="55" spans="1:34" s="362" customFormat="1">
      <c r="A55" s="360"/>
      <c r="B55" s="361"/>
      <c r="C55" s="1064">
        <v>44116</v>
      </c>
      <c r="D55" s="1065"/>
      <c r="E55" s="1353" t="s">
        <v>752</v>
      </c>
      <c r="F55" s="1340" t="s">
        <v>10</v>
      </c>
      <c r="G55" s="1133">
        <f>IF( F55="Radio", VLOOKUP(H55,radio!$A$2:$B$33,2), IF(F55="PQR",VLOOKUP(H55,pqr!$A$2:$B$20,2),IF(F55="INTERNET",VLOOKUP(H55,internet!$A$2:$C$43,2),IF(F55="TV",VLOOKUP(H55,tv!$A$2:$B$10,2),""))) )</f>
        <v>40</v>
      </c>
      <c r="H55" s="1179" t="s">
        <v>275</v>
      </c>
      <c r="I55" s="1179" t="s">
        <v>53</v>
      </c>
      <c r="J55" s="1261" t="s">
        <v>92</v>
      </c>
      <c r="K55" s="873"/>
      <c r="L55" s="375"/>
      <c r="M55" s="373"/>
      <c r="N55" s="346"/>
      <c r="O55" s="346"/>
      <c r="P55" s="346"/>
      <c r="Q55" s="346"/>
      <c r="R55" s="346"/>
      <c r="S55" s="346"/>
      <c r="T55" s="346"/>
      <c r="U55" s="372"/>
      <c r="V55" s="327"/>
      <c r="W55" s="327"/>
      <c r="X55" s="689"/>
      <c r="Y55" s="326"/>
      <c r="Z55" s="328"/>
      <c r="AA55" s="1306"/>
      <c r="AB55" s="1306"/>
      <c r="AC55" s="1306"/>
      <c r="AD55" s="1306"/>
      <c r="AE55" s="326"/>
      <c r="AF55" s="326"/>
      <c r="AG55" s="329"/>
      <c r="AH55" s="329"/>
    </row>
    <row r="56" spans="1:34" s="362" customFormat="1">
      <c r="A56" s="360"/>
      <c r="B56" s="361"/>
      <c r="C56" s="1064">
        <v>44118</v>
      </c>
      <c r="D56" s="1065"/>
      <c r="E56" s="1353" t="s">
        <v>753</v>
      </c>
      <c r="F56" s="1340" t="s">
        <v>8</v>
      </c>
      <c r="G56" s="1133">
        <f>IF( F56="Radio", VLOOKUP(H56,radio!$A$2:$B$33,2), IF(F56="PQR",VLOOKUP(H56,pqr!$A$2:$B$20,2),IF(F56="INTERNET",VLOOKUP(H56,internet!$A$2:$C$43,2),IF(F56="TV",VLOOKUP(H56,tv!$A$2:$B$10,2),""))) )</f>
        <v>64</v>
      </c>
      <c r="H56" s="1179" t="s">
        <v>684</v>
      </c>
      <c r="I56" s="1179" t="s">
        <v>53</v>
      </c>
      <c r="J56" s="872" t="s">
        <v>80</v>
      </c>
      <c r="K56" s="873" t="s">
        <v>81</v>
      </c>
      <c r="L56" s="358"/>
      <c r="M56" s="373"/>
      <c r="N56" s="346"/>
      <c r="O56" s="346"/>
      <c r="P56" s="346"/>
      <c r="Q56" s="346"/>
      <c r="R56" s="346"/>
      <c r="S56" s="346"/>
      <c r="T56" s="346"/>
      <c r="U56" s="372"/>
      <c r="V56" s="327"/>
      <c r="W56" s="327"/>
      <c r="X56" s="689"/>
      <c r="Y56" s="326"/>
      <c r="Z56" s="328"/>
      <c r="AA56" s="1306"/>
      <c r="AB56" s="1306"/>
      <c r="AC56" s="1306"/>
      <c r="AD56" s="1306"/>
      <c r="AE56" s="326"/>
      <c r="AF56" s="326"/>
      <c r="AG56" s="329"/>
      <c r="AH56" s="329"/>
    </row>
    <row r="57" spans="1:34" s="362" customFormat="1">
      <c r="A57" s="360"/>
      <c r="B57" s="361"/>
      <c r="C57" s="1353">
        <v>44119</v>
      </c>
      <c r="D57" s="1360"/>
      <c r="E57" s="1353" t="s">
        <v>754</v>
      </c>
      <c r="F57" s="1340" t="s">
        <v>8</v>
      </c>
      <c r="G57" s="1133">
        <f>IF( F57="Radio", VLOOKUP(H57,radio!$A$2:$B$33,2), IF(F57="PQR",VLOOKUP(H57,pqr!$A$2:$B$20,2),IF(F57="INTERNET",VLOOKUP(H57,internet!$A$2:$C$43,2),IF(F57="TV",VLOOKUP(H57,tv!$A$2:$B$10,2),""))) )</f>
        <v>64</v>
      </c>
      <c r="H57" s="1179" t="s">
        <v>755</v>
      </c>
      <c r="I57" s="1179" t="s">
        <v>54</v>
      </c>
      <c r="J57" s="872" t="s">
        <v>80</v>
      </c>
      <c r="K57" s="873" t="s">
        <v>81</v>
      </c>
      <c r="L57" s="358"/>
      <c r="M57" s="373"/>
      <c r="N57" s="346"/>
      <c r="O57" s="346"/>
      <c r="P57" s="346"/>
      <c r="Q57" s="346"/>
      <c r="R57" s="346"/>
      <c r="S57" s="346"/>
      <c r="T57" s="346"/>
      <c r="U57" s="372"/>
      <c r="V57" s="327"/>
      <c r="W57" s="327"/>
      <c r="X57" s="689"/>
      <c r="Y57" s="326"/>
      <c r="Z57" s="328"/>
      <c r="AA57" s="1306"/>
      <c r="AB57" s="1306"/>
      <c r="AC57" s="1306"/>
      <c r="AD57" s="1306"/>
      <c r="AE57" s="326"/>
      <c r="AF57" s="326"/>
      <c r="AG57" s="329"/>
      <c r="AH57" s="329"/>
    </row>
    <row r="58" spans="1:34" s="362" customFormat="1">
      <c r="A58" s="360"/>
      <c r="B58" s="361"/>
      <c r="C58" s="1353">
        <v>44120</v>
      </c>
      <c r="D58" s="1065"/>
      <c r="E58" s="1353" t="s">
        <v>756</v>
      </c>
      <c r="F58" s="1340" t="s">
        <v>9</v>
      </c>
      <c r="G58" s="1133">
        <v>65</v>
      </c>
      <c r="H58" s="1179" t="s">
        <v>757</v>
      </c>
      <c r="I58" s="1179" t="s">
        <v>47</v>
      </c>
      <c r="J58" s="872" t="s">
        <v>80</v>
      </c>
      <c r="K58" s="896" t="s">
        <v>81</v>
      </c>
      <c r="L58" s="358"/>
      <c r="M58" s="373"/>
      <c r="N58" s="346"/>
      <c r="O58" s="346"/>
      <c r="P58" s="346"/>
      <c r="Q58" s="346"/>
      <c r="R58" s="346"/>
      <c r="S58" s="346"/>
      <c r="T58" s="346"/>
      <c r="U58" s="372"/>
      <c r="V58" s="327"/>
      <c r="W58" s="327"/>
      <c r="X58" s="689"/>
      <c r="Y58" s="326"/>
      <c r="Z58" s="328"/>
      <c r="AA58" s="1306"/>
      <c r="AB58" s="1306"/>
      <c r="AC58" s="1306"/>
      <c r="AD58" s="1306"/>
      <c r="AE58" s="326"/>
      <c r="AF58" s="326"/>
      <c r="AG58" s="329"/>
      <c r="AH58" s="329"/>
    </row>
    <row r="59" spans="1:34" s="362" customFormat="1">
      <c r="A59" s="360"/>
      <c r="B59" s="361"/>
      <c r="C59" s="1353">
        <v>44122</v>
      </c>
      <c r="D59" s="1065"/>
      <c r="E59" s="1353" t="s">
        <v>758</v>
      </c>
      <c r="F59" s="1340" t="s">
        <v>9</v>
      </c>
      <c r="G59" s="1133">
        <v>40</v>
      </c>
      <c r="H59" s="1179" t="s">
        <v>577</v>
      </c>
      <c r="I59" s="1179" t="s">
        <v>49</v>
      </c>
      <c r="J59" s="872" t="s">
        <v>80</v>
      </c>
      <c r="K59" s="897"/>
      <c r="L59" s="358"/>
      <c r="M59" s="373"/>
      <c r="N59" s="346"/>
      <c r="O59" s="346"/>
      <c r="P59" s="346"/>
      <c r="Q59" s="346"/>
      <c r="R59" s="346"/>
      <c r="S59" s="346"/>
      <c r="T59" s="346"/>
      <c r="U59" s="372"/>
      <c r="V59" s="327"/>
      <c r="W59" s="327"/>
      <c r="X59" s="689"/>
      <c r="Y59" s="326"/>
      <c r="Z59" s="328"/>
      <c r="AA59" s="1306"/>
      <c r="AB59" s="1306"/>
      <c r="AC59" s="1306"/>
      <c r="AD59" s="1306"/>
      <c r="AE59" s="326"/>
      <c r="AF59" s="326"/>
      <c r="AG59" s="329"/>
      <c r="AH59" s="329"/>
    </row>
    <row r="60" spans="1:34" s="362" customFormat="1">
      <c r="A60" s="360"/>
      <c r="B60" s="361"/>
      <c r="C60" s="1353">
        <v>44123</v>
      </c>
      <c r="D60" s="1361"/>
      <c r="E60" s="1362" t="s">
        <v>759</v>
      </c>
      <c r="F60" s="1363" t="s">
        <v>9</v>
      </c>
      <c r="G60" s="1212">
        <v>64</v>
      </c>
      <c r="H60" s="1364" t="s">
        <v>605</v>
      </c>
      <c r="I60" s="1364" t="s">
        <v>50</v>
      </c>
      <c r="J60" s="1690" t="s">
        <v>80</v>
      </c>
      <c r="K60" s="897"/>
      <c r="L60" s="358"/>
      <c r="M60" s="373"/>
      <c r="N60" s="346"/>
      <c r="O60" s="346"/>
      <c r="P60" s="346"/>
      <c r="Q60" s="346"/>
      <c r="R60" s="346"/>
      <c r="S60" s="346"/>
      <c r="T60" s="346"/>
      <c r="U60" s="372"/>
      <c r="V60" s="327"/>
      <c r="W60" s="327"/>
      <c r="X60" s="689"/>
      <c r="Y60" s="326"/>
      <c r="Z60" s="328"/>
      <c r="AA60" s="1306"/>
      <c r="AB60" s="1306"/>
      <c r="AC60" s="1306"/>
      <c r="AD60" s="1306"/>
      <c r="AE60" s="326"/>
      <c r="AF60" s="326"/>
      <c r="AG60" s="329"/>
      <c r="AH60" s="329"/>
    </row>
    <row r="61" spans="1:34" s="362" customFormat="1">
      <c r="A61" s="360"/>
      <c r="B61" s="361"/>
      <c r="C61" s="1353">
        <v>44126</v>
      </c>
      <c r="D61" s="1065">
        <v>902</v>
      </c>
      <c r="E61" s="1353" t="s">
        <v>760</v>
      </c>
      <c r="F61" s="1340" t="s">
        <v>8</v>
      </c>
      <c r="G61" s="1133">
        <v>65</v>
      </c>
      <c r="H61" s="1179" t="s">
        <v>91</v>
      </c>
      <c r="I61" s="1179" t="s">
        <v>51</v>
      </c>
      <c r="J61" s="1691"/>
      <c r="K61" s="897"/>
      <c r="L61" s="358"/>
      <c r="M61" s="373"/>
      <c r="N61" s="346"/>
      <c r="O61" s="346"/>
      <c r="P61" s="346"/>
      <c r="Q61" s="346"/>
      <c r="R61" s="346"/>
      <c r="S61" s="346"/>
      <c r="T61" s="346"/>
      <c r="U61" s="372"/>
      <c r="V61" s="327"/>
      <c r="W61" s="327"/>
      <c r="X61" s="689"/>
      <c r="Y61" s="326"/>
      <c r="Z61" s="328"/>
      <c r="AA61" s="1306"/>
      <c r="AB61" s="1306"/>
      <c r="AC61" s="1306"/>
      <c r="AD61" s="1306"/>
      <c r="AE61" s="326"/>
      <c r="AF61" s="326"/>
      <c r="AG61" s="329"/>
      <c r="AH61" s="329"/>
    </row>
    <row r="62" spans="1:34" s="362" customFormat="1">
      <c r="A62" s="360"/>
      <c r="B62" s="361"/>
      <c r="C62" s="1365">
        <v>44123</v>
      </c>
      <c r="D62" s="1366">
        <v>80</v>
      </c>
      <c r="E62" s="1367" t="s">
        <v>761</v>
      </c>
      <c r="F62" s="1368" t="s">
        <v>9</v>
      </c>
      <c r="G62" s="1196">
        <v>40</v>
      </c>
      <c r="H62" s="1369" t="s">
        <v>577</v>
      </c>
      <c r="I62" s="1370" t="s">
        <v>49</v>
      </c>
      <c r="J62" s="1690" t="s">
        <v>80</v>
      </c>
      <c r="K62" s="897"/>
      <c r="L62" s="358"/>
      <c r="M62" s="373"/>
      <c r="N62" s="346"/>
      <c r="O62" s="346"/>
      <c r="P62" s="346"/>
      <c r="Q62" s="346"/>
      <c r="R62" s="346"/>
      <c r="S62" s="346"/>
      <c r="T62" s="346"/>
      <c r="U62" s="372"/>
      <c r="V62" s="327"/>
      <c r="W62" s="327"/>
      <c r="X62" s="689"/>
      <c r="Y62" s="326"/>
      <c r="Z62" s="328"/>
      <c r="AA62" s="1306"/>
      <c r="AB62" s="1306"/>
      <c r="AC62" s="1306"/>
      <c r="AD62" s="1306"/>
      <c r="AE62" s="326"/>
      <c r="AF62" s="326"/>
      <c r="AG62" s="329"/>
      <c r="AH62" s="329"/>
    </row>
    <row r="63" spans="1:34" s="362" customFormat="1">
      <c r="A63" s="360"/>
      <c r="B63" s="361"/>
      <c r="C63" s="1365">
        <v>44123</v>
      </c>
      <c r="D63" s="1065">
        <v>80</v>
      </c>
      <c r="E63" s="1371" t="s">
        <v>761</v>
      </c>
      <c r="F63" s="1340" t="s">
        <v>8</v>
      </c>
      <c r="G63" s="1133">
        <v>40</v>
      </c>
      <c r="H63" s="1179" t="s">
        <v>85</v>
      </c>
      <c r="I63" s="1364" t="s">
        <v>49</v>
      </c>
      <c r="J63" s="1696"/>
      <c r="K63" s="897"/>
      <c r="L63" s="358"/>
      <c r="M63" s="373"/>
      <c r="N63" s="346"/>
      <c r="O63" s="346"/>
      <c r="P63" s="346"/>
      <c r="Q63" s="346"/>
      <c r="R63" s="346"/>
      <c r="S63" s="346"/>
      <c r="T63" s="346"/>
      <c r="U63" s="372"/>
      <c r="V63" s="327"/>
      <c r="W63" s="327"/>
      <c r="X63" s="689"/>
      <c r="Y63" s="326"/>
      <c r="Z63" s="328"/>
      <c r="AA63" s="1306"/>
      <c r="AB63" s="1306"/>
      <c r="AC63" s="1306"/>
      <c r="AD63" s="1306"/>
      <c r="AE63" s="326"/>
      <c r="AF63" s="326"/>
      <c r="AG63" s="329"/>
      <c r="AH63" s="329"/>
    </row>
    <row r="64" spans="1:34" s="362" customFormat="1">
      <c r="A64" s="360"/>
      <c r="B64" s="361"/>
      <c r="C64" s="1353">
        <v>44123</v>
      </c>
      <c r="D64" s="1065"/>
      <c r="E64" s="1338" t="s">
        <v>762</v>
      </c>
      <c r="F64" s="1340" t="s">
        <v>10</v>
      </c>
      <c r="G64" s="1133">
        <f>IF( F64="Radio", VLOOKUP(H64,radio!$A$2:$B$33,2), IF(F64="PQR",VLOOKUP(H64,pqr!$A$2:$B$20,2),IF(F64="INTERNET",VLOOKUP(H64,internet!$A$2:$C$43,2),IF(F64="TV",VLOOKUP(H64,tv!$A$2:$B$10,2),""))) )</f>
        <v>40</v>
      </c>
      <c r="H64" s="1179" t="s">
        <v>275</v>
      </c>
      <c r="I64" s="1179" t="s">
        <v>53</v>
      </c>
      <c r="J64" s="872" t="s">
        <v>80</v>
      </c>
      <c r="K64" s="897"/>
      <c r="L64" s="358"/>
      <c r="M64" s="373"/>
      <c r="N64" s="369"/>
      <c r="O64" s="346"/>
      <c r="P64" s="346"/>
      <c r="Q64" s="346"/>
      <c r="R64" s="346"/>
      <c r="S64" s="346"/>
      <c r="T64" s="346"/>
      <c r="U64" s="372"/>
      <c r="V64" s="327"/>
      <c r="W64" s="327"/>
      <c r="X64" s="689"/>
      <c r="Y64" s="326"/>
      <c r="Z64" s="328"/>
      <c r="AA64" s="1306"/>
      <c r="AB64" s="1306"/>
      <c r="AC64" s="1306"/>
      <c r="AD64" s="1306"/>
      <c r="AE64" s="326"/>
      <c r="AF64" s="326"/>
      <c r="AG64" s="329"/>
      <c r="AH64" s="329"/>
    </row>
    <row r="65" spans="1:34" s="362" customFormat="1">
      <c r="A65" s="360"/>
      <c r="B65" s="361"/>
      <c r="C65" s="1353">
        <v>44110</v>
      </c>
      <c r="D65" s="1065" t="s">
        <v>453</v>
      </c>
      <c r="E65" s="1372" t="s">
        <v>763</v>
      </c>
      <c r="F65" s="1363" t="s">
        <v>8</v>
      </c>
      <c r="G65" s="1133">
        <v>40</v>
      </c>
      <c r="H65" s="1179" t="s">
        <v>85</v>
      </c>
      <c r="I65" s="1364" t="s">
        <v>52</v>
      </c>
      <c r="J65" s="872"/>
      <c r="K65" s="897"/>
      <c r="L65" s="358"/>
      <c r="M65" s="373"/>
      <c r="N65" s="369"/>
      <c r="O65" s="346"/>
      <c r="P65" s="346"/>
      <c r="Q65" s="346"/>
      <c r="R65" s="346"/>
      <c r="S65" s="346"/>
      <c r="T65" s="346"/>
      <c r="U65" s="372"/>
      <c r="V65" s="327"/>
      <c r="W65" s="327"/>
      <c r="X65" s="689"/>
      <c r="Y65" s="326"/>
      <c r="Z65" s="328"/>
      <c r="AA65" s="1306"/>
      <c r="AB65" s="1306"/>
      <c r="AC65" s="1306"/>
      <c r="AD65" s="1306"/>
      <c r="AE65" s="326"/>
      <c r="AF65" s="326"/>
      <c r="AG65" s="329"/>
      <c r="AH65" s="329"/>
    </row>
    <row r="66" spans="1:34" s="362" customFormat="1">
      <c r="A66" s="360"/>
      <c r="B66" s="361"/>
      <c r="C66" s="1353">
        <v>44111</v>
      </c>
      <c r="D66" s="1065">
        <v>913</v>
      </c>
      <c r="E66" s="1372" t="s">
        <v>764</v>
      </c>
      <c r="F66" s="1363" t="s">
        <v>8</v>
      </c>
      <c r="G66" s="1133">
        <v>65</v>
      </c>
      <c r="H66" s="1179" t="s">
        <v>550</v>
      </c>
      <c r="I66" s="1364" t="s">
        <v>48</v>
      </c>
      <c r="J66" s="872" t="s">
        <v>356</v>
      </c>
      <c r="K66" s="897"/>
      <c r="L66" s="358"/>
      <c r="M66" s="373"/>
      <c r="N66" s="369"/>
      <c r="O66" s="346"/>
      <c r="P66" s="346"/>
      <c r="Q66" s="346"/>
      <c r="R66" s="346"/>
      <c r="S66" s="346"/>
      <c r="T66" s="346"/>
      <c r="U66" s="372"/>
      <c r="V66" s="327"/>
      <c r="W66" s="327"/>
      <c r="X66" s="689"/>
      <c r="Y66" s="326"/>
      <c r="Z66" s="328"/>
      <c r="AA66" s="1306"/>
      <c r="AB66" s="1306"/>
      <c r="AC66" s="1306"/>
      <c r="AD66" s="1306"/>
      <c r="AE66" s="326"/>
      <c r="AF66" s="326"/>
      <c r="AG66" s="329"/>
      <c r="AH66" s="329"/>
    </row>
    <row r="67" spans="1:34" s="362" customFormat="1">
      <c r="A67" s="360"/>
      <c r="B67" s="361"/>
      <c r="C67" s="1064">
        <v>44116</v>
      </c>
      <c r="D67" s="1065">
        <v>86</v>
      </c>
      <c r="E67" s="1353" t="s">
        <v>750</v>
      </c>
      <c r="F67" s="1340" t="s">
        <v>8</v>
      </c>
      <c r="G67" s="1133">
        <v>65</v>
      </c>
      <c r="H67" s="1179" t="s">
        <v>311</v>
      </c>
      <c r="I67" s="1179" t="s">
        <v>49</v>
      </c>
      <c r="J67" s="872" t="s">
        <v>80</v>
      </c>
      <c r="K67" s="897"/>
      <c r="L67" s="358"/>
      <c r="M67" s="373"/>
      <c r="N67" s="369"/>
      <c r="O67" s="346"/>
      <c r="P67" s="346"/>
      <c r="Q67" s="346"/>
      <c r="R67" s="346"/>
      <c r="S67" s="346"/>
      <c r="T67" s="346"/>
      <c r="U67" s="372"/>
      <c r="V67" s="327"/>
      <c r="W67" s="327"/>
      <c r="X67" s="689"/>
      <c r="Y67" s="326"/>
      <c r="Z67" s="328"/>
      <c r="AA67" s="1306"/>
      <c r="AB67" s="1306"/>
      <c r="AC67" s="1306"/>
      <c r="AD67" s="1306"/>
      <c r="AE67" s="326"/>
      <c r="AF67" s="326"/>
      <c r="AG67" s="329"/>
      <c r="AH67" s="329"/>
    </row>
    <row r="68" spans="1:34" s="362" customFormat="1">
      <c r="A68" s="360"/>
      <c r="B68" s="361"/>
      <c r="C68" s="1353">
        <v>44109</v>
      </c>
      <c r="D68" s="1065">
        <v>902</v>
      </c>
      <c r="E68" s="1354" t="s">
        <v>765</v>
      </c>
      <c r="F68" s="1340" t="s">
        <v>10</v>
      </c>
      <c r="G68" s="1133">
        <v>40</v>
      </c>
      <c r="H68" s="1179" t="s">
        <v>766</v>
      </c>
      <c r="I68" s="1179" t="s">
        <v>52</v>
      </c>
      <c r="J68" s="872" t="s">
        <v>80</v>
      </c>
      <c r="K68" s="897"/>
      <c r="L68" s="358"/>
      <c r="M68" s="373"/>
      <c r="N68" s="369"/>
      <c r="O68" s="346"/>
      <c r="P68" s="346"/>
      <c r="Q68" s="346"/>
      <c r="R68" s="346"/>
      <c r="S68" s="346"/>
      <c r="T68" s="346"/>
      <c r="U68" s="372"/>
      <c r="V68" s="327"/>
      <c r="W68" s="327"/>
      <c r="X68" s="689"/>
      <c r="Y68" s="326"/>
      <c r="Z68" s="328"/>
      <c r="AA68" s="1306"/>
      <c r="AB68" s="1306"/>
      <c r="AC68" s="1306"/>
      <c r="AD68" s="1306"/>
      <c r="AE68" s="326"/>
      <c r="AF68" s="326"/>
      <c r="AG68" s="329"/>
      <c r="AH68" s="329"/>
    </row>
    <row r="69" spans="1:34" s="362" customFormat="1">
      <c r="A69" s="360"/>
      <c r="B69" s="361"/>
      <c r="C69" s="1064">
        <v>44113</v>
      </c>
      <c r="D69" s="1065">
        <v>902</v>
      </c>
      <c r="E69" s="1338" t="s">
        <v>748</v>
      </c>
      <c r="F69" s="1340" t="s">
        <v>9</v>
      </c>
      <c r="G69" s="1133">
        <v>40</v>
      </c>
      <c r="H69" s="1179" t="s">
        <v>85</v>
      </c>
      <c r="I69" s="1179" t="s">
        <v>52</v>
      </c>
      <c r="J69" s="872" t="s">
        <v>80</v>
      </c>
      <c r="K69" s="897"/>
      <c r="L69" s="358"/>
      <c r="M69" s="373"/>
      <c r="N69" s="369"/>
      <c r="O69" s="346"/>
      <c r="P69" s="346"/>
      <c r="Q69" s="346"/>
      <c r="R69" s="346"/>
      <c r="S69" s="346"/>
      <c r="T69" s="346"/>
      <c r="U69" s="372"/>
      <c r="V69" s="327"/>
      <c r="W69" s="327"/>
      <c r="X69" s="689"/>
      <c r="Y69" s="326"/>
      <c r="Z69" s="328"/>
      <c r="AA69" s="1306"/>
      <c r="AB69" s="1306"/>
      <c r="AC69" s="1306"/>
      <c r="AD69" s="1306"/>
      <c r="AE69" s="326"/>
      <c r="AF69" s="326"/>
      <c r="AG69" s="329"/>
      <c r="AH69" s="329"/>
    </row>
    <row r="70" spans="1:34" s="362" customFormat="1" ht="30">
      <c r="A70" s="360"/>
      <c r="B70" s="361"/>
      <c r="C70" s="1353">
        <v>44124</v>
      </c>
      <c r="D70" s="1065"/>
      <c r="E70" s="1338" t="s">
        <v>767</v>
      </c>
      <c r="F70" s="1340" t="s">
        <v>8</v>
      </c>
      <c r="G70" s="1133">
        <v>64</v>
      </c>
      <c r="H70" s="1179" t="s">
        <v>396</v>
      </c>
      <c r="I70" s="1008" t="s">
        <v>53</v>
      </c>
      <c r="J70" s="872" t="s">
        <v>80</v>
      </c>
      <c r="K70" s="897"/>
      <c r="L70" s="358"/>
      <c r="M70" s="373"/>
      <c r="N70" s="369"/>
      <c r="O70" s="346"/>
      <c r="P70" s="346"/>
      <c r="Q70" s="346"/>
      <c r="R70" s="346"/>
      <c r="S70" s="346"/>
      <c r="T70" s="346"/>
      <c r="U70" s="372"/>
      <c r="V70" s="327"/>
      <c r="W70" s="327"/>
      <c r="X70" s="689"/>
      <c r="Y70" s="326"/>
      <c r="Z70" s="328"/>
      <c r="AA70" s="1306"/>
      <c r="AB70" s="1306"/>
      <c r="AC70" s="1306"/>
      <c r="AD70" s="1306"/>
      <c r="AE70" s="326"/>
      <c r="AF70" s="326"/>
      <c r="AG70" s="329"/>
      <c r="AH70" s="329"/>
    </row>
    <row r="71" spans="1:34" s="362" customFormat="1" ht="30">
      <c r="A71" s="360"/>
      <c r="B71" s="361"/>
      <c r="C71" s="1353">
        <v>44125</v>
      </c>
      <c r="D71" s="1065"/>
      <c r="E71" s="1341" t="s">
        <v>768</v>
      </c>
      <c r="F71" s="1340" t="s">
        <v>8</v>
      </c>
      <c r="G71" s="1133">
        <v>64</v>
      </c>
      <c r="H71" s="1179" t="s">
        <v>611</v>
      </c>
      <c r="I71" s="1008" t="s">
        <v>53</v>
      </c>
      <c r="J71" s="872" t="s">
        <v>80</v>
      </c>
      <c r="K71" s="897"/>
      <c r="L71" s="358"/>
      <c r="M71" s="373"/>
      <c r="N71" s="369"/>
      <c r="O71" s="346"/>
      <c r="P71" s="346"/>
      <c r="Q71" s="346"/>
      <c r="R71" s="346"/>
      <c r="S71" s="346"/>
      <c r="T71" s="346"/>
      <c r="U71" s="372"/>
      <c r="V71" s="327"/>
      <c r="W71" s="327"/>
      <c r="X71" s="689"/>
      <c r="Y71" s="326"/>
      <c r="Z71" s="328"/>
      <c r="AA71" s="1306"/>
      <c r="AB71" s="1306"/>
      <c r="AC71" s="1306"/>
      <c r="AD71" s="1306"/>
      <c r="AE71" s="326"/>
      <c r="AF71" s="326"/>
      <c r="AG71" s="329"/>
      <c r="AH71" s="329"/>
    </row>
    <row r="72" spans="1:34" s="362" customFormat="1" ht="30">
      <c r="A72" s="360"/>
      <c r="B72" s="361"/>
      <c r="C72" s="1064">
        <v>44125</v>
      </c>
      <c r="D72" s="1065"/>
      <c r="E72" s="1341" t="s">
        <v>769</v>
      </c>
      <c r="F72" s="1368" t="s">
        <v>8</v>
      </c>
      <c r="G72" s="1133">
        <v>64</v>
      </c>
      <c r="H72" s="1179" t="s">
        <v>684</v>
      </c>
      <c r="I72" s="1373" t="s">
        <v>53</v>
      </c>
      <c r="J72" s="872" t="s">
        <v>80</v>
      </c>
      <c r="K72" s="948"/>
      <c r="L72" s="358"/>
      <c r="M72" s="373"/>
      <c r="N72" s="369"/>
      <c r="O72" s="346"/>
      <c r="P72" s="346"/>
      <c r="Q72" s="346"/>
      <c r="R72" s="346"/>
      <c r="S72" s="346"/>
      <c r="T72" s="346"/>
      <c r="U72" s="372"/>
      <c r="V72" s="327"/>
      <c r="W72" s="327"/>
      <c r="X72" s="689"/>
      <c r="Y72" s="326"/>
      <c r="Z72" s="328"/>
      <c r="AA72" s="1306"/>
      <c r="AB72" s="1306"/>
      <c r="AC72" s="1306"/>
      <c r="AD72" s="1306"/>
      <c r="AE72" s="326"/>
      <c r="AF72" s="326"/>
      <c r="AG72" s="329"/>
      <c r="AH72" s="329"/>
    </row>
    <row r="73" spans="1:34" s="362" customFormat="1">
      <c r="A73" s="360"/>
      <c r="B73" s="361"/>
      <c r="C73" s="1064">
        <v>44125</v>
      </c>
      <c r="D73" s="1065"/>
      <c r="E73" s="1338" t="s">
        <v>770</v>
      </c>
      <c r="F73" s="1368" t="s">
        <v>8</v>
      </c>
      <c r="G73" s="1133">
        <v>64</v>
      </c>
      <c r="H73" s="1179" t="s">
        <v>611</v>
      </c>
      <c r="I73" s="1374" t="s">
        <v>50</v>
      </c>
      <c r="J73" s="872" t="s">
        <v>80</v>
      </c>
      <c r="K73" s="897"/>
      <c r="L73" s="358"/>
      <c r="M73" s="373"/>
      <c r="N73" s="369"/>
      <c r="O73" s="346"/>
      <c r="P73" s="346"/>
      <c r="Q73" s="346"/>
      <c r="R73" s="346"/>
      <c r="S73" s="346"/>
      <c r="T73" s="346"/>
      <c r="U73" s="372"/>
      <c r="V73" s="327"/>
      <c r="W73" s="327"/>
      <c r="X73" s="689"/>
      <c r="Y73" s="326"/>
      <c r="Z73" s="328"/>
      <c r="AA73" s="1306"/>
      <c r="AB73" s="1306"/>
      <c r="AC73" s="1306"/>
      <c r="AD73" s="1306"/>
      <c r="AE73" s="326"/>
      <c r="AF73" s="326"/>
      <c r="AG73" s="329"/>
      <c r="AH73" s="329"/>
    </row>
    <row r="74" spans="1:34" s="362" customFormat="1">
      <c r="A74" s="360"/>
      <c r="B74" s="361"/>
      <c r="C74" s="1064">
        <v>44125</v>
      </c>
      <c r="D74" s="1065"/>
      <c r="E74" s="1338" t="s">
        <v>770</v>
      </c>
      <c r="F74" s="1368" t="s">
        <v>9</v>
      </c>
      <c r="G74" s="1133">
        <v>64</v>
      </c>
      <c r="H74" s="1179" t="s">
        <v>605</v>
      </c>
      <c r="I74" s="1374" t="s">
        <v>50</v>
      </c>
      <c r="J74" s="872" t="s">
        <v>80</v>
      </c>
      <c r="K74" s="897"/>
      <c r="L74" s="358"/>
      <c r="M74" s="373"/>
      <c r="N74" s="369"/>
      <c r="O74" s="346"/>
      <c r="P74" s="346"/>
      <c r="Q74" s="346"/>
      <c r="R74" s="346"/>
      <c r="S74" s="346"/>
      <c r="T74" s="346"/>
      <c r="U74" s="372"/>
      <c r="V74" s="327"/>
      <c r="W74" s="327"/>
      <c r="X74" s="689"/>
      <c r="Y74" s="326"/>
      <c r="Z74" s="328"/>
      <c r="AA74" s="1306"/>
      <c r="AB74" s="1306"/>
      <c r="AC74" s="1306"/>
      <c r="AD74" s="1306"/>
      <c r="AE74" s="326"/>
      <c r="AF74" s="326"/>
      <c r="AG74" s="329"/>
      <c r="AH74" s="329"/>
    </row>
    <row r="75" spans="1:34" s="362" customFormat="1" ht="30">
      <c r="A75" s="360"/>
      <c r="B75" s="361"/>
      <c r="C75" s="1064">
        <v>44125</v>
      </c>
      <c r="D75" s="1065"/>
      <c r="E75" s="1338" t="s">
        <v>771</v>
      </c>
      <c r="F75" s="1368" t="s">
        <v>8</v>
      </c>
      <c r="G75" s="1133">
        <v>64</v>
      </c>
      <c r="H75" s="1179" t="s">
        <v>396</v>
      </c>
      <c r="I75" s="1179" t="s">
        <v>49</v>
      </c>
      <c r="J75" s="872" t="s">
        <v>80</v>
      </c>
      <c r="K75" s="897"/>
      <c r="L75" s="358"/>
      <c r="M75" s="373"/>
      <c r="N75" s="369"/>
      <c r="O75" s="346"/>
      <c r="P75" s="346"/>
      <c r="Q75" s="346"/>
      <c r="R75" s="346"/>
      <c r="S75" s="346"/>
      <c r="T75" s="346"/>
      <c r="U75" s="372"/>
      <c r="V75" s="327"/>
      <c r="W75" s="327"/>
      <c r="X75" s="689"/>
      <c r="Y75" s="326"/>
      <c r="Z75" s="328"/>
      <c r="AA75" s="1306"/>
      <c r="AB75" s="1306"/>
      <c r="AC75" s="1306"/>
      <c r="AD75" s="1306"/>
      <c r="AE75" s="326"/>
      <c r="AF75" s="326"/>
      <c r="AG75" s="329"/>
      <c r="AH75" s="329"/>
    </row>
    <row r="76" spans="1:34" s="362" customFormat="1" ht="30">
      <c r="A76" s="360"/>
      <c r="B76" s="361"/>
      <c r="C76" s="1064">
        <v>44125</v>
      </c>
      <c r="D76" s="1065"/>
      <c r="E76" s="1338" t="s">
        <v>771</v>
      </c>
      <c r="F76" s="1368" t="s">
        <v>8</v>
      </c>
      <c r="G76" s="1133">
        <v>64</v>
      </c>
      <c r="H76" s="1179" t="s">
        <v>556</v>
      </c>
      <c r="I76" s="1179" t="s">
        <v>49</v>
      </c>
      <c r="J76" s="872" t="s">
        <v>80</v>
      </c>
      <c r="K76" s="897"/>
      <c r="L76" s="358"/>
      <c r="M76" s="373"/>
      <c r="N76" s="369"/>
      <c r="O76" s="346"/>
      <c r="P76" s="346"/>
      <c r="Q76" s="346"/>
      <c r="R76" s="346"/>
      <c r="S76" s="346"/>
      <c r="T76" s="346"/>
      <c r="U76" s="372"/>
      <c r="V76" s="327"/>
      <c r="W76" s="327"/>
      <c r="X76" s="689"/>
      <c r="Y76" s="326"/>
      <c r="Z76" s="328"/>
      <c r="AA76" s="1306"/>
      <c r="AB76" s="1306"/>
      <c r="AC76" s="1306"/>
      <c r="AD76" s="1306"/>
      <c r="AE76" s="326"/>
      <c r="AF76" s="326"/>
      <c r="AG76" s="329"/>
      <c r="AH76" s="329"/>
    </row>
    <row r="77" spans="1:34" s="362" customFormat="1">
      <c r="A77" s="360"/>
      <c r="B77" s="361"/>
      <c r="C77" s="1064">
        <v>44125</v>
      </c>
      <c r="D77" s="1065">
        <v>907</v>
      </c>
      <c r="E77" s="955" t="s">
        <v>772</v>
      </c>
      <c r="F77" s="1368" t="s">
        <v>9</v>
      </c>
      <c r="G77" s="1133">
        <v>65</v>
      </c>
      <c r="H77" s="1179" t="s">
        <v>653</v>
      </c>
      <c r="I77" s="1374" t="s">
        <v>51</v>
      </c>
      <c r="J77" s="872" t="s">
        <v>80</v>
      </c>
      <c r="K77" s="897"/>
      <c r="L77" s="358"/>
      <c r="M77" s="373"/>
      <c r="N77" s="369"/>
      <c r="O77" s="346"/>
      <c r="P77" s="346"/>
      <c r="Q77" s="346"/>
      <c r="R77" s="346"/>
      <c r="S77" s="346"/>
      <c r="T77" s="346"/>
      <c r="U77" s="372"/>
      <c r="V77" s="327"/>
      <c r="W77" s="327"/>
      <c r="X77" s="689"/>
      <c r="Y77" s="326"/>
      <c r="Z77" s="328"/>
      <c r="AA77" s="1306"/>
      <c r="AB77" s="1306"/>
      <c r="AC77" s="1306"/>
      <c r="AD77" s="1306"/>
      <c r="AE77" s="326"/>
      <c r="AF77" s="326"/>
      <c r="AG77" s="329"/>
      <c r="AH77" s="329"/>
    </row>
    <row r="78" spans="1:34" s="362" customFormat="1">
      <c r="A78" s="360"/>
      <c r="B78" s="361"/>
      <c r="C78" s="1064">
        <v>44125</v>
      </c>
      <c r="D78" s="1065">
        <v>908</v>
      </c>
      <c r="E78" s="1354" t="s">
        <v>773</v>
      </c>
      <c r="F78" s="1340" t="s">
        <v>8</v>
      </c>
      <c r="G78" s="1133">
        <f>IF( F78="Radio", VLOOKUP(H78,radio!$A$2:$B$33,2), IF(F78="PQR",VLOOKUP(H78,pqr!$A$2:$B$20,2),IF(F78="INTERNET",VLOOKUP(H78,internet!$A$2:$C$43,2),IF(F78="TV",VLOOKUP(H78,tv!$A$2:$B$10,2),""))) )</f>
        <v>64</v>
      </c>
      <c r="H78" s="1179" t="s">
        <v>396</v>
      </c>
      <c r="I78" s="1179" t="s">
        <v>51</v>
      </c>
      <c r="J78" s="872" t="s">
        <v>80</v>
      </c>
      <c r="K78" s="897"/>
      <c r="L78" s="358"/>
      <c r="M78" s="373"/>
      <c r="N78" s="369"/>
      <c r="O78" s="346"/>
      <c r="P78" s="346"/>
      <c r="Q78" s="346"/>
      <c r="R78" s="346"/>
      <c r="S78" s="346"/>
      <c r="T78" s="346"/>
      <c r="U78" s="372"/>
      <c r="V78" s="327"/>
      <c r="W78" s="327"/>
      <c r="X78" s="689"/>
      <c r="Y78" s="326"/>
      <c r="Z78" s="328"/>
      <c r="AA78" s="1306"/>
      <c r="AB78" s="1306"/>
      <c r="AC78" s="1306"/>
      <c r="AD78" s="1306"/>
      <c r="AE78" s="326"/>
      <c r="AF78" s="326"/>
      <c r="AG78" s="329"/>
      <c r="AH78" s="329"/>
    </row>
    <row r="79" spans="1:34" s="362" customFormat="1">
      <c r="A79" s="360"/>
      <c r="B79" s="361"/>
      <c r="C79" s="1064">
        <v>44125</v>
      </c>
      <c r="D79" s="1065">
        <v>908</v>
      </c>
      <c r="E79" s="1338" t="s">
        <v>774</v>
      </c>
      <c r="F79" s="1368" t="s">
        <v>8</v>
      </c>
      <c r="G79" s="1133">
        <v>64</v>
      </c>
      <c r="H79" s="1179" t="s">
        <v>755</v>
      </c>
      <c r="I79" s="1374" t="s">
        <v>51</v>
      </c>
      <c r="J79" s="872" t="s">
        <v>80</v>
      </c>
      <c r="K79" s="897"/>
      <c r="L79" s="358"/>
      <c r="M79" s="373"/>
      <c r="N79" s="369"/>
      <c r="O79" s="346"/>
      <c r="P79" s="346"/>
      <c r="Q79" s="346"/>
      <c r="R79" s="346"/>
      <c r="S79" s="346"/>
      <c r="T79" s="346"/>
      <c r="U79" s="372"/>
      <c r="V79" s="327"/>
      <c r="W79" s="327"/>
      <c r="X79" s="689"/>
      <c r="Y79" s="326"/>
      <c r="Z79" s="328"/>
      <c r="AA79" s="1306"/>
      <c r="AB79" s="1306"/>
      <c r="AC79" s="1306"/>
      <c r="AD79" s="1306"/>
      <c r="AE79" s="326"/>
      <c r="AF79" s="326"/>
      <c r="AG79" s="329"/>
      <c r="AH79" s="329"/>
    </row>
    <row r="80" spans="1:34" s="362" customFormat="1">
      <c r="A80" s="360"/>
      <c r="B80" s="361"/>
      <c r="C80" s="1064">
        <v>44125</v>
      </c>
      <c r="D80" s="1065">
        <v>908</v>
      </c>
      <c r="E80" s="1338" t="s">
        <v>775</v>
      </c>
      <c r="F80" s="1340" t="s">
        <v>10</v>
      </c>
      <c r="G80" s="1133">
        <f>IF( F80="Radio", VLOOKUP(H80,radio!$A$2:$B$33,2), IF(F80="PQR",VLOOKUP(H80,pqr!$A$2:$B$20,2),IF(F80="INTERNET",VLOOKUP(H80,internet!$A$2:$C$43,2),IF(F80="TV",VLOOKUP(H80,tv!$A$2:$B$10,2),""))) )</f>
        <v>64</v>
      </c>
      <c r="H80" s="1179" t="s">
        <v>776</v>
      </c>
      <c r="I80" s="1179" t="s">
        <v>51</v>
      </c>
      <c r="J80" s="872" t="s">
        <v>80</v>
      </c>
      <c r="K80" s="897"/>
      <c r="L80" s="353"/>
      <c r="M80" s="373"/>
      <c r="N80" s="369"/>
      <c r="O80" s="346"/>
      <c r="P80" s="346"/>
      <c r="Q80" s="346"/>
      <c r="R80" s="346"/>
      <c r="S80" s="346"/>
      <c r="T80" s="346"/>
      <c r="U80" s="372"/>
      <c r="V80" s="360"/>
      <c r="W80" s="360"/>
      <c r="X80" s="360"/>
      <c r="Y80" s="327"/>
      <c r="Z80" s="327"/>
      <c r="AA80" s="327"/>
      <c r="AB80" s="327"/>
      <c r="AC80" s="327"/>
      <c r="AD80" s="327"/>
      <c r="AE80" s="327"/>
      <c r="AF80" s="327"/>
    </row>
    <row r="81" spans="1:31" s="362" customFormat="1">
      <c r="A81" s="360"/>
      <c r="B81" s="361"/>
      <c r="C81" s="1064">
        <v>44125</v>
      </c>
      <c r="D81" s="1065">
        <v>908</v>
      </c>
      <c r="E81" s="1353" t="s">
        <v>777</v>
      </c>
      <c r="F81" s="1340" t="s">
        <v>10</v>
      </c>
      <c r="G81" s="1133">
        <v>64</v>
      </c>
      <c r="H81" s="1179" t="s">
        <v>331</v>
      </c>
      <c r="I81" s="1179" t="s">
        <v>51</v>
      </c>
      <c r="J81" s="872" t="s">
        <v>80</v>
      </c>
      <c r="K81" s="897"/>
      <c r="L81" s="346"/>
      <c r="M81" s="373"/>
      <c r="N81" s="369"/>
      <c r="O81" s="346"/>
      <c r="P81" s="346"/>
      <c r="Q81" s="346"/>
      <c r="R81" s="346"/>
      <c r="S81" s="346"/>
      <c r="T81" s="346"/>
      <c r="U81" s="372"/>
      <c r="V81" s="360"/>
      <c r="W81" s="360"/>
      <c r="X81" s="360"/>
      <c r="Y81" s="360"/>
      <c r="Z81" s="360"/>
      <c r="AA81" s="360"/>
      <c r="AB81" s="360"/>
      <c r="AC81" s="360"/>
      <c r="AD81" s="360"/>
      <c r="AE81" s="360"/>
    </row>
    <row r="82" spans="1:31" s="362" customFormat="1" ht="30">
      <c r="A82" s="360"/>
      <c r="B82" s="361"/>
      <c r="C82" s="1064">
        <v>44125</v>
      </c>
      <c r="D82" s="1065">
        <v>908</v>
      </c>
      <c r="E82" s="1338" t="s">
        <v>778</v>
      </c>
      <c r="F82" s="1340" t="s">
        <v>10</v>
      </c>
      <c r="G82" s="1133">
        <v>64</v>
      </c>
      <c r="H82" s="1179" t="s">
        <v>261</v>
      </c>
      <c r="I82" s="1179" t="s">
        <v>51</v>
      </c>
      <c r="J82" s="872" t="s">
        <v>80</v>
      </c>
      <c r="K82" s="897"/>
      <c r="L82" s="346"/>
      <c r="M82" s="346"/>
      <c r="N82" s="369"/>
      <c r="O82" s="346"/>
      <c r="P82" s="346"/>
      <c r="Q82" s="346"/>
      <c r="R82" s="346"/>
      <c r="S82" s="346"/>
      <c r="T82" s="346"/>
      <c r="U82" s="372"/>
      <c r="V82" s="360"/>
      <c r="W82" s="360"/>
      <c r="X82" s="360"/>
      <c r="Y82" s="360"/>
      <c r="Z82" s="360"/>
      <c r="AA82" s="360"/>
      <c r="AB82" s="360"/>
      <c r="AC82" s="360"/>
      <c r="AD82" s="360"/>
      <c r="AE82" s="360"/>
    </row>
    <row r="83" spans="1:31" s="362" customFormat="1">
      <c r="A83" s="360"/>
      <c r="B83" s="361"/>
      <c r="C83" s="1064">
        <v>44114</v>
      </c>
      <c r="D83" s="1065">
        <v>903</v>
      </c>
      <c r="E83" s="1338" t="s">
        <v>779</v>
      </c>
      <c r="F83" s="1340" t="s">
        <v>10</v>
      </c>
      <c r="G83" s="1133">
        <v>40</v>
      </c>
      <c r="H83" s="1179" t="s">
        <v>275</v>
      </c>
      <c r="I83" s="1179" t="s">
        <v>51</v>
      </c>
      <c r="J83" s="872" t="s">
        <v>356</v>
      </c>
      <c r="K83" s="897"/>
      <c r="L83" s="346"/>
      <c r="M83" s="346"/>
      <c r="N83" s="369"/>
      <c r="O83" s="346"/>
      <c r="P83" s="346"/>
      <c r="Q83" s="346"/>
      <c r="R83" s="346"/>
      <c r="S83" s="346"/>
      <c r="T83" s="346"/>
      <c r="U83" s="372"/>
      <c r="V83" s="360"/>
      <c r="W83" s="360"/>
      <c r="X83" s="360"/>
      <c r="Y83" s="360"/>
      <c r="Z83" s="360"/>
      <c r="AA83" s="360"/>
      <c r="AB83" s="360"/>
      <c r="AC83" s="360"/>
      <c r="AD83" s="360"/>
      <c r="AE83" s="360"/>
    </row>
    <row r="84" spans="1:31" s="362" customFormat="1">
      <c r="A84" s="360"/>
      <c r="B84" s="361"/>
      <c r="C84" s="1064">
        <v>44125</v>
      </c>
      <c r="D84" s="1065">
        <v>908</v>
      </c>
      <c r="E84" s="1353" t="s">
        <v>780</v>
      </c>
      <c r="F84" s="1340" t="s">
        <v>10</v>
      </c>
      <c r="G84" s="1133">
        <v>64</v>
      </c>
      <c r="H84" s="1179" t="s">
        <v>261</v>
      </c>
      <c r="I84" s="1179" t="s">
        <v>51</v>
      </c>
      <c r="J84" s="872" t="s">
        <v>80</v>
      </c>
      <c r="K84" s="897"/>
      <c r="L84" s="346"/>
      <c r="M84" s="346"/>
      <c r="N84" s="369"/>
      <c r="O84" s="346"/>
      <c r="P84" s="346"/>
      <c r="Q84" s="346"/>
      <c r="R84" s="346"/>
      <c r="S84" s="346"/>
      <c r="T84" s="346"/>
      <c r="U84" s="372"/>
      <c r="V84" s="360"/>
      <c r="W84" s="360"/>
      <c r="X84" s="360"/>
      <c r="Y84" s="360"/>
      <c r="Z84" s="360"/>
      <c r="AA84" s="360"/>
      <c r="AB84" s="360"/>
      <c r="AC84" s="360"/>
      <c r="AD84" s="360"/>
      <c r="AE84" s="360"/>
    </row>
    <row r="85" spans="1:31" s="362" customFormat="1" ht="30">
      <c r="A85" s="360"/>
      <c r="B85" s="361"/>
      <c r="C85" s="1064">
        <v>44125</v>
      </c>
      <c r="D85" s="1065">
        <v>909</v>
      </c>
      <c r="E85" s="1338" t="s">
        <v>781</v>
      </c>
      <c r="F85" s="1340" t="s">
        <v>10</v>
      </c>
      <c r="G85" s="1133">
        <v>40</v>
      </c>
      <c r="H85" s="1179" t="s">
        <v>601</v>
      </c>
      <c r="I85" s="1179" t="s">
        <v>51</v>
      </c>
      <c r="J85" s="872" t="s">
        <v>80</v>
      </c>
      <c r="K85" s="897"/>
      <c r="L85" s="346"/>
      <c r="M85" s="346"/>
      <c r="N85" s="369"/>
      <c r="O85" s="346"/>
      <c r="P85" s="346"/>
      <c r="Q85" s="346"/>
      <c r="R85" s="346"/>
      <c r="S85" s="346"/>
      <c r="T85" s="346"/>
      <c r="U85" s="372"/>
      <c r="V85" s="360"/>
      <c r="W85" s="360"/>
      <c r="X85" s="360"/>
      <c r="Y85" s="360"/>
      <c r="Z85" s="360"/>
      <c r="AA85" s="360"/>
      <c r="AB85" s="360"/>
      <c r="AC85" s="360"/>
      <c r="AD85" s="360"/>
      <c r="AE85" s="360"/>
    </row>
    <row r="86" spans="1:31" s="362" customFormat="1">
      <c r="A86" s="360"/>
      <c r="B86" s="361"/>
      <c r="C86" s="1064">
        <v>44125</v>
      </c>
      <c r="D86" s="1065">
        <v>909</v>
      </c>
      <c r="E86" s="1353" t="s">
        <v>782</v>
      </c>
      <c r="F86" s="1340" t="s">
        <v>10</v>
      </c>
      <c r="G86" s="1133">
        <v>40</v>
      </c>
      <c r="H86" s="1179" t="s">
        <v>601</v>
      </c>
      <c r="I86" s="1179" t="s">
        <v>51</v>
      </c>
      <c r="J86" s="872" t="s">
        <v>80</v>
      </c>
      <c r="K86" s="897"/>
      <c r="L86" s="346"/>
      <c r="M86" s="346"/>
      <c r="N86" s="369"/>
      <c r="O86" s="346"/>
      <c r="P86" s="346"/>
      <c r="Q86" s="346"/>
      <c r="R86" s="346"/>
      <c r="S86" s="346"/>
      <c r="T86" s="346"/>
      <c r="U86" s="372"/>
      <c r="V86" s="360"/>
      <c r="W86" s="360"/>
      <c r="X86" s="360"/>
      <c r="Y86" s="360"/>
      <c r="Z86" s="360"/>
      <c r="AA86" s="360"/>
      <c r="AB86" s="360"/>
      <c r="AC86" s="360"/>
      <c r="AD86" s="360"/>
      <c r="AE86" s="360"/>
    </row>
    <row r="87" spans="1:31" s="362" customFormat="1">
      <c r="A87" s="360"/>
      <c r="B87" s="361"/>
      <c r="C87" s="1064">
        <v>44125</v>
      </c>
      <c r="D87" s="1065">
        <v>908</v>
      </c>
      <c r="E87" s="1353" t="s">
        <v>783</v>
      </c>
      <c r="F87" s="1340" t="s">
        <v>10</v>
      </c>
      <c r="G87" s="1133">
        <v>64</v>
      </c>
      <c r="H87" s="1179" t="s">
        <v>261</v>
      </c>
      <c r="I87" s="1179" t="s">
        <v>51</v>
      </c>
      <c r="J87" s="872" t="s">
        <v>80</v>
      </c>
      <c r="K87" s="897"/>
      <c r="L87" s="346"/>
      <c r="M87" s="346"/>
      <c r="N87" s="369"/>
      <c r="O87" s="346"/>
      <c r="P87" s="346"/>
      <c r="Q87" s="346"/>
      <c r="R87" s="346"/>
      <c r="S87" s="346"/>
      <c r="T87" s="346"/>
      <c r="U87" s="372"/>
      <c r="V87" s="360"/>
      <c r="W87" s="360"/>
      <c r="X87" s="360"/>
      <c r="Y87" s="360"/>
      <c r="Z87" s="360"/>
      <c r="AA87" s="360"/>
      <c r="AB87" s="360"/>
      <c r="AC87" s="360"/>
      <c r="AD87" s="360"/>
      <c r="AE87" s="360"/>
    </row>
    <row r="88" spans="1:31">
      <c r="A88" s="321"/>
      <c r="B88" s="339"/>
      <c r="C88" s="1064">
        <v>44112</v>
      </c>
      <c r="D88" s="1065">
        <v>79</v>
      </c>
      <c r="E88" s="1353" t="s">
        <v>743</v>
      </c>
      <c r="F88" s="1340" t="s">
        <v>9</v>
      </c>
      <c r="G88" s="1133">
        <v>40</v>
      </c>
      <c r="H88" s="1179" t="s">
        <v>85</v>
      </c>
      <c r="I88" s="1179" t="s">
        <v>47</v>
      </c>
      <c r="J88" s="872" t="s">
        <v>80</v>
      </c>
      <c r="K88" s="897"/>
      <c r="L88" s="346"/>
      <c r="M88" s="373"/>
      <c r="N88" s="369"/>
      <c r="O88" s="353"/>
      <c r="P88" s="369"/>
      <c r="Q88" s="369"/>
      <c r="R88" s="369"/>
      <c r="S88" s="369"/>
      <c r="T88" s="369"/>
      <c r="U88" s="341"/>
    </row>
    <row r="89" spans="1:31" ht="25.5" customHeight="1">
      <c r="A89" s="321"/>
      <c r="B89" s="339"/>
      <c r="C89" s="1365"/>
      <c r="D89" s="1361"/>
      <c r="E89" s="1375"/>
      <c r="F89" s="1363"/>
      <c r="G89" s="1212"/>
      <c r="H89" s="1179"/>
      <c r="I89" s="1364"/>
      <c r="J89" s="962"/>
      <c r="K89" s="897"/>
      <c r="L89" s="346"/>
      <c r="M89" s="373"/>
      <c r="N89" s="369"/>
      <c r="O89" s="353"/>
      <c r="P89" s="369"/>
      <c r="Q89" s="369"/>
      <c r="R89" s="369"/>
      <c r="S89" s="369"/>
      <c r="T89" s="369"/>
      <c r="U89" s="341"/>
    </row>
    <row r="90" spans="1:31" ht="30">
      <c r="A90" s="321"/>
      <c r="B90" s="339"/>
      <c r="C90" s="1365">
        <v>44125</v>
      </c>
      <c r="D90" s="1361">
        <v>908</v>
      </c>
      <c r="E90" s="1375" t="s">
        <v>784</v>
      </c>
      <c r="F90" s="1363" t="s">
        <v>11</v>
      </c>
      <c r="G90" s="1212">
        <v>64</v>
      </c>
      <c r="H90" s="1179" t="s">
        <v>785</v>
      </c>
      <c r="I90" s="1364" t="s">
        <v>51</v>
      </c>
      <c r="J90" s="953" t="s">
        <v>80</v>
      </c>
      <c r="K90" s="897"/>
      <c r="L90" s="346"/>
      <c r="M90" s="373"/>
      <c r="N90" s="369"/>
      <c r="O90" s="353"/>
      <c r="P90" s="369"/>
      <c r="Q90" s="369"/>
      <c r="R90" s="369"/>
      <c r="S90" s="369"/>
      <c r="T90" s="369"/>
      <c r="U90" s="341"/>
    </row>
    <row r="91" spans="1:31">
      <c r="A91" s="321"/>
      <c r="B91" s="339"/>
      <c r="C91" s="1365"/>
      <c r="D91" s="1361"/>
      <c r="E91" s="1375"/>
      <c r="F91" s="1363"/>
      <c r="G91" s="1212"/>
      <c r="H91" s="1179"/>
      <c r="I91" s="1364"/>
      <c r="J91" s="953"/>
      <c r="K91" s="897"/>
      <c r="L91" s="346"/>
      <c r="M91" s="373"/>
      <c r="N91" s="369"/>
      <c r="O91" s="353"/>
      <c r="P91" s="369"/>
      <c r="Q91" s="369"/>
      <c r="R91" s="369"/>
      <c r="S91" s="369"/>
      <c r="T91" s="369"/>
      <c r="U91" s="341"/>
    </row>
    <row r="92" spans="1:31">
      <c r="A92" s="321"/>
      <c r="B92" s="339"/>
      <c r="C92" s="1376"/>
      <c r="D92" s="1361"/>
      <c r="E92" s="1375"/>
      <c r="F92" s="1363"/>
      <c r="G92" s="1212"/>
      <c r="H92" s="1179"/>
      <c r="I92" s="1364"/>
      <c r="J92" s="953"/>
      <c r="K92" s="897"/>
      <c r="L92" s="346"/>
      <c r="M92" s="373"/>
      <c r="N92" s="369"/>
      <c r="O92" s="353"/>
      <c r="P92" s="369"/>
      <c r="Q92" s="369"/>
      <c r="R92" s="369"/>
      <c r="S92" s="369"/>
      <c r="T92" s="369"/>
      <c r="U92" s="341"/>
    </row>
    <row r="93" spans="1:31">
      <c r="A93" s="321"/>
      <c r="B93" s="339"/>
      <c r="C93" s="1376"/>
      <c r="D93" s="1361"/>
      <c r="E93" s="1375"/>
      <c r="F93" s="1363"/>
      <c r="G93" s="1212"/>
      <c r="H93" s="1179"/>
      <c r="I93" s="1364"/>
      <c r="J93" s="953"/>
      <c r="K93" s="897"/>
      <c r="L93" s="346"/>
      <c r="M93" s="373"/>
      <c r="N93" s="369"/>
      <c r="O93" s="353"/>
      <c r="P93" s="369"/>
      <c r="Q93" s="369"/>
      <c r="R93" s="369"/>
      <c r="S93" s="369"/>
      <c r="T93" s="369"/>
      <c r="U93" s="341"/>
    </row>
    <row r="94" spans="1:31">
      <c r="A94" s="321"/>
      <c r="B94" s="339"/>
      <c r="C94" s="1376"/>
      <c r="D94" s="1361"/>
      <c r="E94" s="1375"/>
      <c r="F94" s="1363"/>
      <c r="G94" s="1212"/>
      <c r="H94" s="1179"/>
      <c r="I94" s="1364"/>
      <c r="J94" s="953"/>
      <c r="K94" s="897"/>
      <c r="L94" s="346"/>
      <c r="M94" s="373"/>
      <c r="N94" s="369"/>
      <c r="O94" s="353"/>
      <c r="P94" s="369"/>
      <c r="Q94" s="369"/>
      <c r="R94" s="369"/>
      <c r="S94" s="369"/>
      <c r="T94" s="369"/>
      <c r="U94" s="341"/>
    </row>
    <row r="95" spans="1:31" ht="30">
      <c r="A95" s="321"/>
      <c r="B95" s="339"/>
      <c r="C95" s="1064">
        <v>44125</v>
      </c>
      <c r="D95" s="1361">
        <v>908</v>
      </c>
      <c r="E95" s="1375" t="s">
        <v>786</v>
      </c>
      <c r="F95" s="1363" t="s">
        <v>11</v>
      </c>
      <c r="G95" s="1212">
        <v>64</v>
      </c>
      <c r="H95" s="921" t="s">
        <v>787</v>
      </c>
      <c r="I95" s="1377" t="s">
        <v>51</v>
      </c>
      <c r="J95" s="872" t="s">
        <v>80</v>
      </c>
      <c r="K95" s="897"/>
      <c r="L95" s="346"/>
      <c r="M95" s="373"/>
      <c r="N95" s="369"/>
      <c r="O95" s="353"/>
      <c r="P95" s="369"/>
      <c r="Q95" s="369"/>
      <c r="R95" s="369"/>
      <c r="S95" s="369"/>
      <c r="T95" s="369"/>
      <c r="U95" s="341"/>
    </row>
    <row r="96" spans="1:31">
      <c r="A96" s="321"/>
      <c r="B96" s="339"/>
      <c r="C96" s="1064">
        <v>44125</v>
      </c>
      <c r="D96" s="1065">
        <v>908</v>
      </c>
      <c r="E96" s="1354" t="s">
        <v>773</v>
      </c>
      <c r="F96" s="1340" t="s">
        <v>9</v>
      </c>
      <c r="G96" s="1133">
        <v>64</v>
      </c>
      <c r="H96" s="1179" t="s">
        <v>396</v>
      </c>
      <c r="I96" s="1179" t="s">
        <v>51</v>
      </c>
      <c r="J96" s="872" t="s">
        <v>80</v>
      </c>
      <c r="K96" s="897"/>
      <c r="L96" s="346"/>
      <c r="M96" s="373"/>
      <c r="N96" s="369"/>
      <c r="O96" s="353"/>
      <c r="P96" s="369"/>
      <c r="Q96" s="369"/>
      <c r="R96" s="369"/>
      <c r="S96" s="369"/>
      <c r="T96" s="369"/>
      <c r="U96" s="341"/>
    </row>
    <row r="97" spans="1:21">
      <c r="A97" s="321"/>
      <c r="B97" s="339"/>
      <c r="C97" s="1365">
        <v>44125</v>
      </c>
      <c r="D97" s="1361">
        <v>908</v>
      </c>
      <c r="E97" s="1375" t="s">
        <v>788</v>
      </c>
      <c r="F97" s="1371" t="s">
        <v>10</v>
      </c>
      <c r="G97" s="1212">
        <v>64</v>
      </c>
      <c r="H97" s="1364" t="s">
        <v>261</v>
      </c>
      <c r="I97" s="1179" t="s">
        <v>51</v>
      </c>
      <c r="J97" s="953" t="s">
        <v>80</v>
      </c>
      <c r="K97" s="897"/>
      <c r="L97" s="346"/>
      <c r="M97" s="373"/>
      <c r="N97" s="369"/>
      <c r="O97" s="353"/>
      <c r="P97" s="369"/>
      <c r="Q97" s="369"/>
      <c r="R97" s="369"/>
      <c r="S97" s="369"/>
      <c r="T97" s="369"/>
      <c r="U97" s="341"/>
    </row>
    <row r="98" spans="1:21">
      <c r="A98" s="321"/>
      <c r="B98" s="339"/>
      <c r="C98" s="1365"/>
      <c r="D98" s="1361"/>
      <c r="E98" s="1375"/>
      <c r="F98" s="1371"/>
      <c r="G98" s="1212"/>
      <c r="H98" s="1364"/>
      <c r="I98" s="1179"/>
      <c r="J98" s="953" t="s">
        <v>80</v>
      </c>
      <c r="K98" s="897"/>
      <c r="L98" s="346"/>
      <c r="M98" s="373"/>
      <c r="N98" s="369"/>
      <c r="O98" s="353"/>
      <c r="P98" s="369"/>
      <c r="Q98" s="369"/>
      <c r="R98" s="369"/>
      <c r="S98" s="369"/>
      <c r="T98" s="369"/>
      <c r="U98" s="341"/>
    </row>
    <row r="99" spans="1:21">
      <c r="A99" s="321"/>
      <c r="B99" s="339"/>
      <c r="C99" s="1365">
        <v>44125</v>
      </c>
      <c r="D99" s="1361">
        <v>909</v>
      </c>
      <c r="E99" s="1375" t="s">
        <v>789</v>
      </c>
      <c r="F99" s="1371" t="s">
        <v>10</v>
      </c>
      <c r="G99" s="1212">
        <v>40</v>
      </c>
      <c r="H99" s="1364" t="s">
        <v>601</v>
      </c>
      <c r="I99" s="1364" t="s">
        <v>51</v>
      </c>
      <c r="J99" s="953" t="s">
        <v>80</v>
      </c>
      <c r="K99" s="897"/>
      <c r="L99" s="346"/>
      <c r="M99" s="373"/>
      <c r="N99" s="369"/>
      <c r="O99" s="353"/>
      <c r="P99" s="369"/>
      <c r="Q99" s="369"/>
      <c r="R99" s="369"/>
      <c r="S99" s="369"/>
      <c r="T99" s="369"/>
      <c r="U99" s="341"/>
    </row>
    <row r="100" spans="1:21">
      <c r="A100" s="321"/>
      <c r="B100" s="339"/>
      <c r="C100" s="1365"/>
      <c r="D100" s="1361"/>
      <c r="E100" s="1375"/>
      <c r="F100" s="1371"/>
      <c r="G100" s="1212"/>
      <c r="H100" s="1364"/>
      <c r="I100" s="1364"/>
      <c r="J100" s="953" t="s">
        <v>80</v>
      </c>
      <c r="K100" s="897"/>
      <c r="L100" s="346"/>
      <c r="M100" s="373"/>
      <c r="N100" s="369"/>
      <c r="O100" s="353"/>
      <c r="P100" s="369"/>
      <c r="Q100" s="369"/>
      <c r="R100" s="369"/>
      <c r="S100" s="369"/>
      <c r="T100" s="369"/>
      <c r="U100" s="341"/>
    </row>
    <row r="101" spans="1:21">
      <c r="A101" s="321"/>
      <c r="B101" s="339"/>
      <c r="C101" s="1365">
        <v>44125</v>
      </c>
      <c r="D101" s="1361">
        <v>908</v>
      </c>
      <c r="E101" s="1375" t="s">
        <v>789</v>
      </c>
      <c r="F101" s="1363" t="s">
        <v>10</v>
      </c>
      <c r="G101" s="1212">
        <v>64</v>
      </c>
      <c r="H101" s="1364" t="s">
        <v>331</v>
      </c>
      <c r="I101" s="1364" t="s">
        <v>51</v>
      </c>
      <c r="J101" s="953" t="s">
        <v>80</v>
      </c>
      <c r="K101" s="897"/>
      <c r="L101" s="346"/>
      <c r="M101" s="373"/>
      <c r="N101" s="369"/>
      <c r="O101" s="353"/>
      <c r="P101" s="369"/>
      <c r="Q101" s="369"/>
      <c r="R101" s="369"/>
      <c r="S101" s="369"/>
      <c r="T101" s="369"/>
      <c r="U101" s="341"/>
    </row>
    <row r="102" spans="1:21">
      <c r="A102" s="321"/>
      <c r="B102" s="339"/>
      <c r="C102" s="1365">
        <v>44125</v>
      </c>
      <c r="D102" s="1361">
        <v>909</v>
      </c>
      <c r="E102" s="1375" t="s">
        <v>790</v>
      </c>
      <c r="F102" s="1363" t="s">
        <v>10</v>
      </c>
      <c r="G102" s="1212">
        <v>40</v>
      </c>
      <c r="H102" s="1364" t="s">
        <v>601</v>
      </c>
      <c r="I102" s="1364" t="s">
        <v>51</v>
      </c>
      <c r="J102" s="953" t="s">
        <v>80</v>
      </c>
      <c r="K102" s="897"/>
      <c r="L102" s="346"/>
      <c r="M102" s="373"/>
      <c r="N102" s="369"/>
      <c r="O102" s="353"/>
      <c r="P102" s="369"/>
      <c r="Q102" s="369"/>
      <c r="R102" s="369"/>
      <c r="S102" s="369"/>
      <c r="T102" s="369"/>
      <c r="U102" s="341"/>
    </row>
    <row r="103" spans="1:21">
      <c r="A103" s="321"/>
      <c r="B103" s="339"/>
      <c r="C103" s="1371"/>
      <c r="D103" s="1361">
        <v>908</v>
      </c>
      <c r="E103" s="1375" t="s">
        <v>790</v>
      </c>
      <c r="F103" s="1363" t="s">
        <v>10</v>
      </c>
      <c r="G103" s="1212">
        <v>64</v>
      </c>
      <c r="H103" s="1364" t="s">
        <v>261</v>
      </c>
      <c r="I103" s="1364" t="s">
        <v>51</v>
      </c>
      <c r="J103" s="953" t="s">
        <v>80</v>
      </c>
      <c r="K103" s="897"/>
      <c r="L103" s="346"/>
      <c r="M103" s="373"/>
      <c r="N103" s="369"/>
      <c r="O103" s="353"/>
      <c r="P103" s="369"/>
      <c r="Q103" s="369"/>
      <c r="R103" s="369"/>
      <c r="S103" s="369"/>
      <c r="T103" s="369"/>
      <c r="U103" s="341"/>
    </row>
    <row r="104" spans="1:21">
      <c r="A104" s="321"/>
      <c r="B104" s="339"/>
      <c r="C104" s="957"/>
      <c r="D104" s="958"/>
      <c r="E104" s="959"/>
      <c r="F104" s="960"/>
      <c r="G104" s="926"/>
      <c r="H104" s="960"/>
      <c r="I104" s="960"/>
      <c r="J104" s="961"/>
      <c r="K104" s="916"/>
      <c r="L104" s="346"/>
      <c r="M104" s="373"/>
      <c r="N104" s="369"/>
      <c r="O104" s="353"/>
      <c r="P104" s="369"/>
      <c r="Q104" s="369"/>
      <c r="R104" s="369"/>
      <c r="S104" s="369"/>
      <c r="T104" s="369"/>
      <c r="U104" s="341"/>
    </row>
    <row r="105" spans="1:21">
      <c r="A105" s="321"/>
      <c r="B105" s="339"/>
      <c r="C105" s="957"/>
      <c r="D105" s="958"/>
      <c r="E105" s="959"/>
      <c r="F105" s="960"/>
      <c r="G105" s="926"/>
      <c r="H105" s="960"/>
      <c r="I105" s="960"/>
      <c r="J105" s="961"/>
      <c r="K105" s="916"/>
      <c r="L105" s="346"/>
      <c r="M105" s="373"/>
      <c r="N105" s="369"/>
      <c r="O105" s="353"/>
      <c r="P105" s="369"/>
      <c r="Q105" s="369"/>
      <c r="R105" s="369"/>
      <c r="S105" s="369"/>
      <c r="T105" s="369"/>
      <c r="U105" s="341"/>
    </row>
    <row r="106" spans="1:21" ht="16.5" thickBot="1">
      <c r="A106" s="321"/>
      <c r="B106" s="339"/>
      <c r="C106" s="957"/>
      <c r="D106" s="958"/>
      <c r="E106" s="959"/>
      <c r="F106" s="960"/>
      <c r="G106" s="926"/>
      <c r="H106" s="960"/>
      <c r="I106" s="960"/>
      <c r="J106" s="961"/>
      <c r="K106" s="949"/>
      <c r="L106" s="346"/>
      <c r="M106" s="373"/>
      <c r="N106" s="369"/>
      <c r="O106" s="353"/>
      <c r="P106" s="369"/>
      <c r="Q106" s="369"/>
      <c r="R106" s="369"/>
      <c r="S106" s="369"/>
      <c r="T106" s="369"/>
      <c r="U106" s="341"/>
    </row>
    <row r="107" spans="1:21">
      <c r="A107" s="321"/>
      <c r="B107" s="339"/>
      <c r="C107" s="1365"/>
      <c r="D107" s="1361"/>
      <c r="E107" s="1375"/>
      <c r="F107" s="1363"/>
      <c r="G107" s="1212"/>
      <c r="H107" s="1364"/>
      <c r="I107" s="1364"/>
      <c r="J107" s="954"/>
      <c r="K107" s="897"/>
      <c r="L107" s="346"/>
      <c r="M107" s="373"/>
      <c r="N107" s="369"/>
      <c r="O107" s="353"/>
      <c r="P107" s="369"/>
      <c r="Q107" s="369"/>
      <c r="R107" s="369"/>
      <c r="S107" s="369"/>
      <c r="T107" s="369"/>
      <c r="U107" s="341"/>
    </row>
    <row r="108" spans="1:21">
      <c r="A108" s="321"/>
      <c r="B108" s="339"/>
      <c r="C108" s="1378">
        <v>44125</v>
      </c>
      <c r="D108" s="1361">
        <v>909</v>
      </c>
      <c r="E108" s="1375" t="s">
        <v>791</v>
      </c>
      <c r="F108" s="1363" t="s">
        <v>10</v>
      </c>
      <c r="G108" s="1212">
        <v>40</v>
      </c>
      <c r="H108" s="1364" t="s">
        <v>601</v>
      </c>
      <c r="I108" s="1364" t="s">
        <v>51</v>
      </c>
      <c r="J108" s="872" t="s">
        <v>80</v>
      </c>
      <c r="K108" s="897"/>
      <c r="L108" s="346"/>
      <c r="M108" s="373"/>
      <c r="N108" s="369"/>
      <c r="O108" s="353"/>
      <c r="P108" s="369"/>
      <c r="Q108" s="369"/>
      <c r="R108" s="369"/>
      <c r="S108" s="369"/>
      <c r="T108" s="369"/>
      <c r="U108" s="341"/>
    </row>
    <row r="109" spans="1:21">
      <c r="A109" s="321"/>
      <c r="B109" s="339"/>
      <c r="C109" s="1378">
        <v>44125</v>
      </c>
      <c r="D109" s="1361">
        <v>908</v>
      </c>
      <c r="E109" s="1375" t="s">
        <v>792</v>
      </c>
      <c r="F109" s="1363" t="s">
        <v>10</v>
      </c>
      <c r="G109" s="1212">
        <v>64</v>
      </c>
      <c r="H109" s="1364" t="s">
        <v>261</v>
      </c>
      <c r="I109" s="1364" t="s">
        <v>51</v>
      </c>
      <c r="J109" s="872" t="s">
        <v>80</v>
      </c>
      <c r="K109" s="897"/>
      <c r="L109" s="346"/>
      <c r="M109" s="373"/>
      <c r="N109" s="369"/>
      <c r="O109" s="353"/>
      <c r="P109" s="369"/>
      <c r="Q109" s="369"/>
      <c r="R109" s="369"/>
      <c r="S109" s="369"/>
      <c r="T109" s="369"/>
      <c r="U109" s="341"/>
    </row>
    <row r="110" spans="1:21">
      <c r="A110" s="321"/>
      <c r="B110" s="339"/>
      <c r="C110" s="1378">
        <v>44125</v>
      </c>
      <c r="D110" s="1361">
        <v>908</v>
      </c>
      <c r="E110" s="1375" t="s">
        <v>793</v>
      </c>
      <c r="F110" s="1363" t="s">
        <v>10</v>
      </c>
      <c r="G110" s="1212">
        <v>64</v>
      </c>
      <c r="H110" s="1364" t="s">
        <v>331</v>
      </c>
      <c r="I110" s="1364" t="s">
        <v>51</v>
      </c>
      <c r="J110" s="872" t="s">
        <v>80</v>
      </c>
      <c r="K110" s="897"/>
      <c r="L110" s="346"/>
      <c r="M110" s="373"/>
      <c r="N110" s="369"/>
      <c r="O110" s="353"/>
      <c r="P110" s="369"/>
      <c r="Q110" s="369"/>
      <c r="R110" s="369"/>
      <c r="S110" s="369"/>
      <c r="T110" s="369"/>
      <c r="U110" s="341"/>
    </row>
    <row r="111" spans="1:21">
      <c r="A111" s="321"/>
      <c r="B111" s="339"/>
      <c r="C111" s="1378">
        <v>44125</v>
      </c>
      <c r="D111" s="1361">
        <v>908</v>
      </c>
      <c r="E111" s="1375" t="s">
        <v>794</v>
      </c>
      <c r="F111" s="1363" t="s">
        <v>11</v>
      </c>
      <c r="G111" s="1212">
        <v>64</v>
      </c>
      <c r="H111" s="1364" t="s">
        <v>785</v>
      </c>
      <c r="I111" s="1364" t="s">
        <v>51</v>
      </c>
      <c r="J111" s="872" t="s">
        <v>80</v>
      </c>
      <c r="K111" s="897"/>
      <c r="L111" s="346"/>
      <c r="M111" s="373"/>
      <c r="N111" s="369"/>
      <c r="O111" s="353"/>
      <c r="P111" s="369"/>
      <c r="Q111" s="369"/>
      <c r="R111" s="369"/>
      <c r="S111" s="369"/>
      <c r="T111" s="369"/>
      <c r="U111" s="341"/>
    </row>
    <row r="112" spans="1:21">
      <c r="A112" s="321"/>
      <c r="B112" s="339"/>
      <c r="C112" s="1378">
        <v>44125</v>
      </c>
      <c r="D112" s="1361">
        <v>908</v>
      </c>
      <c r="E112" s="1375" t="s">
        <v>795</v>
      </c>
      <c r="F112" s="1363" t="s">
        <v>10</v>
      </c>
      <c r="G112" s="1212">
        <v>64</v>
      </c>
      <c r="H112" s="1364" t="s">
        <v>261</v>
      </c>
      <c r="I112" s="1364" t="s">
        <v>51</v>
      </c>
      <c r="J112" s="1040" t="s">
        <v>80</v>
      </c>
      <c r="K112" s="897"/>
      <c r="L112" s="346"/>
      <c r="M112" s="373"/>
      <c r="N112" s="369"/>
      <c r="O112" s="353"/>
      <c r="P112" s="369"/>
      <c r="Q112" s="369"/>
      <c r="R112" s="369"/>
      <c r="S112" s="369"/>
      <c r="T112" s="369"/>
      <c r="U112" s="341"/>
    </row>
    <row r="113" spans="1:21">
      <c r="A113" s="321"/>
      <c r="B113" s="339"/>
      <c r="C113" s="1692">
        <v>44125</v>
      </c>
      <c r="D113" s="1361">
        <v>909</v>
      </c>
      <c r="E113" s="1375" t="s">
        <v>796</v>
      </c>
      <c r="F113" s="1363" t="s">
        <v>10</v>
      </c>
      <c r="G113" s="1232">
        <v>40</v>
      </c>
      <c r="H113" s="1187" t="s">
        <v>797</v>
      </c>
      <c r="I113" s="1179" t="s">
        <v>50</v>
      </c>
      <c r="J113" s="1690" t="s">
        <v>80</v>
      </c>
      <c r="K113" s="897"/>
      <c r="L113" s="346"/>
      <c r="M113" s="373"/>
      <c r="N113" s="369"/>
      <c r="O113" s="353"/>
      <c r="P113" s="369"/>
      <c r="Q113" s="369"/>
      <c r="R113" s="369"/>
      <c r="S113" s="369"/>
      <c r="T113" s="369"/>
      <c r="U113" s="341"/>
    </row>
    <row r="114" spans="1:21">
      <c r="A114" s="321"/>
      <c r="B114" s="339"/>
      <c r="C114" s="1693"/>
      <c r="D114" s="1361">
        <v>908</v>
      </c>
      <c r="E114" s="1375" t="s">
        <v>796</v>
      </c>
      <c r="F114" s="1363" t="s">
        <v>10</v>
      </c>
      <c r="G114" s="1212">
        <v>64</v>
      </c>
      <c r="H114" s="1364" t="s">
        <v>798</v>
      </c>
      <c r="I114" s="1179" t="s">
        <v>50</v>
      </c>
      <c r="J114" s="1695"/>
      <c r="K114" s="897"/>
      <c r="L114" s="346"/>
      <c r="M114" s="373"/>
      <c r="N114" s="369"/>
      <c r="O114" s="353"/>
      <c r="P114" s="369"/>
      <c r="Q114" s="369"/>
      <c r="R114" s="369"/>
      <c r="S114" s="369"/>
      <c r="T114" s="369"/>
      <c r="U114" s="341"/>
    </row>
    <row r="115" spans="1:21">
      <c r="A115" s="321"/>
      <c r="B115" s="339"/>
      <c r="C115" s="1694"/>
      <c r="D115" s="1361">
        <v>907</v>
      </c>
      <c r="E115" s="1375" t="s">
        <v>796</v>
      </c>
      <c r="F115" s="1363" t="s">
        <v>10</v>
      </c>
      <c r="G115" s="1212">
        <v>65</v>
      </c>
      <c r="H115" s="1364" t="s">
        <v>799</v>
      </c>
      <c r="I115" s="1179" t="s">
        <v>50</v>
      </c>
      <c r="J115" s="1696"/>
      <c r="K115" s="897"/>
      <c r="L115" s="346"/>
      <c r="M115" s="373"/>
      <c r="N115" s="369"/>
      <c r="O115" s="353"/>
      <c r="P115" s="369"/>
      <c r="Q115" s="369"/>
      <c r="R115" s="369"/>
      <c r="S115" s="369"/>
      <c r="T115" s="369"/>
      <c r="U115" s="341"/>
    </row>
    <row r="116" spans="1:21">
      <c r="A116" s="321"/>
      <c r="B116" s="339"/>
      <c r="C116" s="1378">
        <v>44125</v>
      </c>
      <c r="D116" s="1361">
        <v>908</v>
      </c>
      <c r="E116" s="1375" t="s">
        <v>800</v>
      </c>
      <c r="F116" s="1363" t="s">
        <v>10</v>
      </c>
      <c r="G116" s="1212">
        <v>64</v>
      </c>
      <c r="H116" s="1364" t="s">
        <v>331</v>
      </c>
      <c r="I116" s="1364" t="s">
        <v>50</v>
      </c>
      <c r="J116" s="1040" t="s">
        <v>80</v>
      </c>
      <c r="K116" s="897"/>
      <c r="L116" s="346"/>
      <c r="M116" s="373"/>
      <c r="N116" s="369"/>
      <c r="O116" s="353"/>
      <c r="P116" s="369"/>
      <c r="Q116" s="369"/>
      <c r="R116" s="369"/>
      <c r="S116" s="369"/>
      <c r="T116" s="369"/>
      <c r="U116" s="341"/>
    </row>
    <row r="117" spans="1:21">
      <c r="A117" s="321"/>
      <c r="B117" s="339"/>
      <c r="C117" s="1378"/>
      <c r="D117" s="1361"/>
      <c r="E117" s="1375"/>
      <c r="F117" s="1363"/>
      <c r="G117" s="1212"/>
      <c r="H117" s="1364"/>
      <c r="I117" s="1364"/>
      <c r="J117" s="872" t="s">
        <v>80</v>
      </c>
      <c r="K117" s="897"/>
      <c r="L117" s="346"/>
      <c r="M117" s="373"/>
      <c r="N117" s="369"/>
      <c r="O117" s="353"/>
      <c r="P117" s="369"/>
      <c r="Q117" s="369"/>
      <c r="R117" s="369"/>
      <c r="S117" s="369"/>
      <c r="T117" s="369"/>
      <c r="U117" s="341"/>
    </row>
    <row r="118" spans="1:21">
      <c r="A118" s="321"/>
      <c r="B118" s="339"/>
      <c r="C118" s="1692">
        <v>44125</v>
      </c>
      <c r="D118" s="1361">
        <v>908</v>
      </c>
      <c r="E118" s="1375" t="s">
        <v>801</v>
      </c>
      <c r="F118" s="1363" t="s">
        <v>11</v>
      </c>
      <c r="G118" s="1212">
        <v>64</v>
      </c>
      <c r="H118" s="921" t="s">
        <v>787</v>
      </c>
      <c r="I118" s="1364" t="s">
        <v>51</v>
      </c>
      <c r="J118" s="1690" t="s">
        <v>80</v>
      </c>
      <c r="K118" s="897"/>
      <c r="L118" s="346"/>
      <c r="M118" s="373"/>
      <c r="N118" s="369"/>
      <c r="O118" s="353"/>
      <c r="P118" s="369"/>
      <c r="Q118" s="369"/>
      <c r="R118" s="369"/>
      <c r="S118" s="369"/>
      <c r="T118" s="369"/>
      <c r="U118" s="341"/>
    </row>
    <row r="119" spans="1:21">
      <c r="A119" s="321"/>
      <c r="B119" s="339"/>
      <c r="C119" s="1694"/>
      <c r="D119" s="1065">
        <v>909</v>
      </c>
      <c r="E119" s="1375" t="s">
        <v>801</v>
      </c>
      <c r="F119" s="1363" t="s">
        <v>11</v>
      </c>
      <c r="G119" s="1212">
        <v>40</v>
      </c>
      <c r="H119" s="1364" t="s">
        <v>802</v>
      </c>
      <c r="I119" s="1364" t="s">
        <v>51</v>
      </c>
      <c r="J119" s="1696"/>
      <c r="K119" s="897"/>
      <c r="L119" s="346"/>
      <c r="M119" s="373"/>
      <c r="N119" s="369"/>
      <c r="O119" s="353"/>
      <c r="P119" s="369"/>
      <c r="Q119" s="369"/>
      <c r="R119" s="369"/>
      <c r="S119" s="369"/>
      <c r="T119" s="369"/>
      <c r="U119" s="341"/>
    </row>
    <row r="120" spans="1:21">
      <c r="A120" s="321"/>
      <c r="B120" s="339"/>
      <c r="C120" s="1378">
        <v>44125</v>
      </c>
      <c r="D120" s="1361">
        <v>908</v>
      </c>
      <c r="E120" s="1375" t="s">
        <v>803</v>
      </c>
      <c r="F120" s="1363" t="s">
        <v>10</v>
      </c>
      <c r="G120" s="1212">
        <v>64</v>
      </c>
      <c r="H120" s="1364" t="s">
        <v>261</v>
      </c>
      <c r="I120" s="1364" t="s">
        <v>51</v>
      </c>
      <c r="J120" s="1040" t="s">
        <v>80</v>
      </c>
      <c r="K120" s="897"/>
      <c r="L120" s="346"/>
      <c r="M120" s="373"/>
      <c r="N120" s="369"/>
      <c r="O120" s="353"/>
      <c r="P120" s="369"/>
      <c r="Q120" s="369"/>
      <c r="R120" s="369"/>
      <c r="S120" s="369"/>
      <c r="T120" s="369"/>
      <c r="U120" s="341"/>
    </row>
    <row r="121" spans="1:21" ht="30">
      <c r="A121" s="321"/>
      <c r="B121" s="339"/>
      <c r="C121" s="1378">
        <v>44125</v>
      </c>
      <c r="D121" s="1361">
        <v>908</v>
      </c>
      <c r="E121" s="1375" t="s">
        <v>804</v>
      </c>
      <c r="F121" s="1363" t="s">
        <v>10</v>
      </c>
      <c r="G121" s="1212">
        <v>64</v>
      </c>
      <c r="H121" s="1364" t="s">
        <v>261</v>
      </c>
      <c r="I121" s="1364" t="s">
        <v>51</v>
      </c>
      <c r="J121" s="1040" t="s">
        <v>80</v>
      </c>
      <c r="K121" s="897"/>
      <c r="L121" s="346"/>
      <c r="M121" s="373"/>
      <c r="N121" s="369"/>
      <c r="O121" s="353"/>
      <c r="P121" s="369"/>
      <c r="Q121" s="369"/>
      <c r="R121" s="369"/>
      <c r="S121" s="369"/>
      <c r="T121" s="369"/>
      <c r="U121" s="341"/>
    </row>
    <row r="122" spans="1:21">
      <c r="A122" s="321"/>
      <c r="B122" s="339"/>
      <c r="C122" s="1378"/>
      <c r="D122" s="1361"/>
      <c r="E122" s="1375"/>
      <c r="F122" s="1363"/>
      <c r="G122" s="1212"/>
      <c r="H122" s="1364"/>
      <c r="I122" s="1364"/>
      <c r="J122" s="1040" t="s">
        <v>80</v>
      </c>
      <c r="K122" s="897"/>
      <c r="L122" s="346"/>
      <c r="M122" s="373"/>
      <c r="N122" s="369"/>
      <c r="O122" s="353"/>
      <c r="P122" s="369"/>
      <c r="Q122" s="369"/>
      <c r="R122" s="369"/>
      <c r="S122" s="369"/>
      <c r="T122" s="369"/>
      <c r="U122" s="341"/>
    </row>
    <row r="123" spans="1:21">
      <c r="A123" s="321"/>
      <c r="B123" s="339"/>
      <c r="C123" s="1378">
        <v>44125</v>
      </c>
      <c r="D123" s="1361">
        <v>908</v>
      </c>
      <c r="E123" s="1375" t="s">
        <v>805</v>
      </c>
      <c r="F123" s="1363" t="s">
        <v>10</v>
      </c>
      <c r="G123" s="1212">
        <v>64</v>
      </c>
      <c r="H123" s="1364" t="s">
        <v>331</v>
      </c>
      <c r="I123" s="1364" t="s">
        <v>51</v>
      </c>
      <c r="J123" s="1040" t="s">
        <v>80</v>
      </c>
      <c r="K123" s="897"/>
      <c r="L123" s="346"/>
      <c r="M123" s="373"/>
      <c r="N123" s="369"/>
      <c r="O123" s="353"/>
      <c r="P123" s="369"/>
      <c r="Q123" s="369"/>
      <c r="R123" s="369"/>
      <c r="S123" s="369"/>
      <c r="T123" s="369"/>
      <c r="U123" s="341"/>
    </row>
    <row r="124" spans="1:21">
      <c r="A124" s="321"/>
      <c r="B124" s="339"/>
      <c r="C124" s="1378">
        <v>44125</v>
      </c>
      <c r="D124" s="1361">
        <v>907</v>
      </c>
      <c r="E124" s="1375" t="s">
        <v>806</v>
      </c>
      <c r="F124" s="1363" t="s">
        <v>10</v>
      </c>
      <c r="G124" s="1212">
        <v>65</v>
      </c>
      <c r="H124" s="1364" t="s">
        <v>807</v>
      </c>
      <c r="I124" s="1364" t="s">
        <v>51</v>
      </c>
      <c r="J124" s="1040" t="s">
        <v>80</v>
      </c>
      <c r="K124" s="897"/>
      <c r="L124" s="346"/>
      <c r="M124" s="373"/>
      <c r="N124" s="369"/>
      <c r="O124" s="353"/>
      <c r="P124" s="369"/>
      <c r="Q124" s="369"/>
      <c r="R124" s="369"/>
      <c r="S124" s="369"/>
      <c r="T124" s="369"/>
      <c r="U124" s="341"/>
    </row>
    <row r="125" spans="1:21">
      <c r="A125" s="321"/>
      <c r="B125" s="339"/>
      <c r="C125" s="1378">
        <v>44126</v>
      </c>
      <c r="D125" s="1361">
        <v>908</v>
      </c>
      <c r="E125" s="1375" t="s">
        <v>808</v>
      </c>
      <c r="F125" s="1363" t="s">
        <v>10</v>
      </c>
      <c r="G125" s="1212">
        <v>64</v>
      </c>
      <c r="H125" s="1364" t="s">
        <v>261</v>
      </c>
      <c r="I125" s="1364" t="s">
        <v>51</v>
      </c>
      <c r="J125" s="1040" t="s">
        <v>80</v>
      </c>
      <c r="K125" s="897"/>
      <c r="L125" s="346"/>
      <c r="M125" s="373"/>
      <c r="N125" s="369"/>
      <c r="O125" s="353"/>
      <c r="P125" s="369"/>
      <c r="Q125" s="369"/>
      <c r="R125" s="369"/>
      <c r="S125" s="369"/>
      <c r="T125" s="369"/>
      <c r="U125" s="341"/>
    </row>
    <row r="126" spans="1:21">
      <c r="A126" s="321"/>
      <c r="B126" s="339"/>
      <c r="C126" s="1378"/>
      <c r="D126" s="1361"/>
      <c r="E126" s="1375"/>
      <c r="F126" s="1363"/>
      <c r="G126" s="1212"/>
      <c r="H126" s="1364"/>
      <c r="I126" s="1364"/>
      <c r="J126" s="1040" t="s">
        <v>80</v>
      </c>
      <c r="K126" s="897"/>
      <c r="L126" s="346"/>
      <c r="M126" s="373"/>
      <c r="N126" s="369"/>
      <c r="O126" s="353"/>
      <c r="P126" s="369"/>
      <c r="Q126" s="369"/>
      <c r="R126" s="369"/>
      <c r="S126" s="369"/>
      <c r="T126" s="369"/>
      <c r="U126" s="341"/>
    </row>
    <row r="127" spans="1:21">
      <c r="A127" s="321"/>
      <c r="B127" s="339"/>
      <c r="C127" s="1378">
        <v>44127</v>
      </c>
      <c r="D127" s="1361">
        <v>908</v>
      </c>
      <c r="E127" s="1375" t="s">
        <v>809</v>
      </c>
      <c r="F127" s="1363" t="s">
        <v>10</v>
      </c>
      <c r="G127" s="1212">
        <v>64</v>
      </c>
      <c r="H127" s="1364" t="s">
        <v>331</v>
      </c>
      <c r="I127" s="1364" t="s">
        <v>51</v>
      </c>
      <c r="J127" s="1040" t="s">
        <v>80</v>
      </c>
      <c r="K127" s="897"/>
      <c r="L127" s="346"/>
      <c r="M127" s="373"/>
      <c r="N127" s="369"/>
      <c r="O127" s="353"/>
      <c r="P127" s="369"/>
      <c r="Q127" s="369"/>
      <c r="R127" s="369"/>
      <c r="S127" s="369"/>
      <c r="T127" s="369"/>
      <c r="U127" s="341"/>
    </row>
    <row r="128" spans="1:21">
      <c r="A128" s="321"/>
      <c r="B128" s="339"/>
      <c r="C128" s="1378"/>
      <c r="D128" s="1361"/>
      <c r="E128" s="1375"/>
      <c r="F128" s="1363"/>
      <c r="G128" s="1212"/>
      <c r="H128" s="1364"/>
      <c r="I128" s="1364"/>
      <c r="J128" s="1040"/>
      <c r="K128" s="897"/>
      <c r="L128" s="346"/>
      <c r="M128" s="373"/>
      <c r="N128" s="369"/>
      <c r="O128" s="353"/>
      <c r="P128" s="369"/>
      <c r="Q128" s="369"/>
      <c r="R128" s="369"/>
      <c r="S128" s="369"/>
      <c r="T128" s="369"/>
      <c r="U128" s="341"/>
    </row>
    <row r="129" spans="1:21">
      <c r="A129" s="321"/>
      <c r="B129" s="339"/>
      <c r="C129" s="1378">
        <v>44127</v>
      </c>
      <c r="D129" s="1361">
        <v>908</v>
      </c>
      <c r="E129" s="1375" t="s">
        <v>810</v>
      </c>
      <c r="F129" s="1363" t="s">
        <v>10</v>
      </c>
      <c r="G129" s="1212">
        <v>64</v>
      </c>
      <c r="H129" s="1364" t="s">
        <v>331</v>
      </c>
      <c r="I129" s="1364" t="s">
        <v>51</v>
      </c>
      <c r="J129" s="1040" t="s">
        <v>80</v>
      </c>
      <c r="K129" s="898"/>
      <c r="L129" s="346"/>
      <c r="M129" s="373"/>
      <c r="N129" s="369"/>
      <c r="O129" s="353"/>
      <c r="P129" s="369"/>
      <c r="Q129" s="369"/>
      <c r="R129" s="369"/>
      <c r="S129" s="369"/>
      <c r="T129" s="369"/>
      <c r="U129" s="341"/>
    </row>
    <row r="130" spans="1:21">
      <c r="A130" s="321"/>
      <c r="B130" s="339"/>
      <c r="C130" s="1378">
        <v>44127</v>
      </c>
      <c r="D130" s="1361">
        <v>907</v>
      </c>
      <c r="E130" s="1375" t="s">
        <v>811</v>
      </c>
      <c r="F130" s="1363" t="s">
        <v>8</v>
      </c>
      <c r="G130" s="1212">
        <v>65</v>
      </c>
      <c r="H130" s="1364" t="s">
        <v>735</v>
      </c>
      <c r="I130" s="1364" t="s">
        <v>51</v>
      </c>
      <c r="J130" s="1040" t="s">
        <v>80</v>
      </c>
      <c r="K130" s="916" t="s">
        <v>81</v>
      </c>
      <c r="L130" s="346"/>
      <c r="M130" s="373"/>
      <c r="N130" s="369"/>
      <c r="O130" s="353"/>
      <c r="P130" s="369"/>
      <c r="Q130" s="369"/>
      <c r="R130" s="369"/>
      <c r="S130" s="369"/>
      <c r="T130" s="369"/>
      <c r="U130" s="341"/>
    </row>
    <row r="131" spans="1:21" ht="30.75" customHeight="1">
      <c r="A131" s="321"/>
      <c r="B131" s="339"/>
      <c r="C131" s="1378">
        <v>44130</v>
      </c>
      <c r="D131" s="1361">
        <v>910</v>
      </c>
      <c r="E131" s="1375" t="s">
        <v>812</v>
      </c>
      <c r="F131" s="1363" t="s">
        <v>8</v>
      </c>
      <c r="G131" s="1212">
        <v>65</v>
      </c>
      <c r="H131" s="1364" t="s">
        <v>91</v>
      </c>
      <c r="I131" s="1364" t="s">
        <v>47</v>
      </c>
      <c r="J131" s="1040" t="s">
        <v>80</v>
      </c>
      <c r="K131" s="916" t="s">
        <v>81</v>
      </c>
      <c r="L131" s="346"/>
      <c r="M131" s="373"/>
      <c r="N131" s="369"/>
      <c r="O131" s="353"/>
      <c r="P131" s="369"/>
      <c r="Q131" s="369"/>
      <c r="R131" s="369"/>
      <c r="S131" s="369"/>
      <c r="T131" s="369"/>
      <c r="U131" s="341"/>
    </row>
    <row r="132" spans="1:21" ht="28.5" customHeight="1">
      <c r="A132" s="321"/>
      <c r="B132" s="339"/>
      <c r="C132" s="1378">
        <v>44130</v>
      </c>
      <c r="D132" s="1361">
        <v>910</v>
      </c>
      <c r="E132" s="1375" t="s">
        <v>812</v>
      </c>
      <c r="F132" s="1363" t="s">
        <v>8</v>
      </c>
      <c r="G132" s="1212">
        <v>65</v>
      </c>
      <c r="H132" s="1364" t="s">
        <v>311</v>
      </c>
      <c r="I132" s="1364" t="s">
        <v>47</v>
      </c>
      <c r="J132" s="1040" t="s">
        <v>80</v>
      </c>
      <c r="K132" s="948" t="s">
        <v>81</v>
      </c>
      <c r="L132" s="346"/>
      <c r="M132" s="373"/>
      <c r="N132" s="369"/>
      <c r="O132" s="353"/>
      <c r="P132" s="369"/>
      <c r="Q132" s="369"/>
      <c r="R132" s="369"/>
      <c r="S132" s="369"/>
      <c r="T132" s="369"/>
      <c r="U132" s="341"/>
    </row>
    <row r="133" spans="1:21">
      <c r="A133" s="321"/>
      <c r="B133" s="339"/>
      <c r="C133" s="1378">
        <v>44132</v>
      </c>
      <c r="D133" s="1361">
        <v>901</v>
      </c>
      <c r="E133" s="1375" t="s">
        <v>813</v>
      </c>
      <c r="F133" s="1363" t="s">
        <v>9</v>
      </c>
      <c r="G133" s="1212">
        <v>65</v>
      </c>
      <c r="H133" s="1364" t="s">
        <v>653</v>
      </c>
      <c r="I133" s="1364" t="s">
        <v>47</v>
      </c>
      <c r="J133" s="1040" t="s">
        <v>80</v>
      </c>
      <c r="K133" s="916" t="s">
        <v>96</v>
      </c>
      <c r="L133" s="346"/>
      <c r="M133" s="373"/>
      <c r="N133" s="369"/>
      <c r="O133" s="353"/>
      <c r="P133" s="369"/>
      <c r="Q133" s="369"/>
      <c r="R133" s="369"/>
      <c r="S133" s="369"/>
      <c r="T133" s="369"/>
      <c r="U133" s="341"/>
    </row>
    <row r="134" spans="1:21">
      <c r="A134" s="321"/>
      <c r="B134" s="339"/>
      <c r="C134" s="1378">
        <v>44132</v>
      </c>
      <c r="D134" s="1361">
        <v>901</v>
      </c>
      <c r="E134" s="1375" t="s">
        <v>814</v>
      </c>
      <c r="F134" s="1363" t="s">
        <v>8</v>
      </c>
      <c r="G134" s="1212">
        <v>65</v>
      </c>
      <c r="H134" s="1364" t="s">
        <v>735</v>
      </c>
      <c r="I134" s="1364" t="s">
        <v>47</v>
      </c>
      <c r="J134" s="1040" t="s">
        <v>80</v>
      </c>
      <c r="K134" s="916" t="s">
        <v>81</v>
      </c>
      <c r="L134" s="346"/>
      <c r="M134" s="373"/>
      <c r="N134" s="369"/>
      <c r="O134" s="353"/>
      <c r="P134" s="369"/>
      <c r="Q134" s="369"/>
      <c r="R134" s="369"/>
      <c r="S134" s="369"/>
      <c r="T134" s="369"/>
      <c r="U134" s="341"/>
    </row>
    <row r="135" spans="1:21" ht="16.5" thickBot="1">
      <c r="A135" s="321"/>
      <c r="B135" s="339"/>
      <c r="C135" s="1378">
        <v>44132</v>
      </c>
      <c r="D135" s="1361">
        <v>910</v>
      </c>
      <c r="E135" s="1379" t="s">
        <v>815</v>
      </c>
      <c r="F135" s="1363" t="s">
        <v>9</v>
      </c>
      <c r="G135" s="1212">
        <v>65</v>
      </c>
      <c r="H135" s="1364" t="s">
        <v>91</v>
      </c>
      <c r="I135" s="1364" t="s">
        <v>47</v>
      </c>
      <c r="J135" s="1040" t="s">
        <v>80</v>
      </c>
      <c r="K135" s="916" t="s">
        <v>81</v>
      </c>
      <c r="L135" s="346"/>
      <c r="M135" s="373"/>
      <c r="N135" s="369"/>
      <c r="O135" s="353"/>
      <c r="P135" s="369"/>
      <c r="Q135" s="369"/>
      <c r="R135" s="369"/>
      <c r="S135" s="369"/>
      <c r="T135" s="369"/>
      <c r="U135" s="341"/>
    </row>
    <row r="136" spans="1:21">
      <c r="A136" s="321"/>
      <c r="B136" s="339"/>
      <c r="C136" s="1378">
        <v>44132</v>
      </c>
      <c r="D136" s="1361">
        <v>911</v>
      </c>
      <c r="E136" s="1375" t="s">
        <v>816</v>
      </c>
      <c r="F136" s="1363" t="s">
        <v>8</v>
      </c>
      <c r="G136" s="1212">
        <v>65</v>
      </c>
      <c r="H136" s="1364" t="s">
        <v>550</v>
      </c>
      <c r="I136" s="1364" t="s">
        <v>52</v>
      </c>
      <c r="J136" s="1040" t="s">
        <v>80</v>
      </c>
      <c r="K136" s="916" t="s">
        <v>81</v>
      </c>
      <c r="L136" s="346"/>
      <c r="M136" s="373"/>
      <c r="N136" s="369"/>
      <c r="O136" s="353"/>
      <c r="P136" s="369"/>
      <c r="Q136" s="369"/>
      <c r="R136" s="369"/>
      <c r="S136" s="369"/>
      <c r="T136" s="369"/>
      <c r="U136" s="341"/>
    </row>
    <row r="137" spans="1:21">
      <c r="A137" s="321"/>
      <c r="B137" s="339"/>
      <c r="C137" s="1378">
        <v>44132</v>
      </c>
      <c r="D137" s="1361" t="s">
        <v>817</v>
      </c>
      <c r="E137" s="1375" t="s">
        <v>818</v>
      </c>
      <c r="F137" s="1363" t="s">
        <v>9</v>
      </c>
      <c r="G137" s="1212">
        <v>65</v>
      </c>
      <c r="H137" s="1364" t="s">
        <v>572</v>
      </c>
      <c r="I137" s="1364" t="s">
        <v>52</v>
      </c>
      <c r="J137" s="1040" t="s">
        <v>80</v>
      </c>
      <c r="K137" s="916" t="s">
        <v>74</v>
      </c>
      <c r="L137" s="346"/>
      <c r="M137" s="373"/>
      <c r="N137" s="369"/>
      <c r="O137" s="353"/>
      <c r="P137" s="369"/>
      <c r="Q137" s="369"/>
      <c r="R137" s="369"/>
      <c r="S137" s="369"/>
      <c r="T137" s="369"/>
      <c r="U137" s="341"/>
    </row>
    <row r="138" spans="1:21">
      <c r="A138" s="321"/>
      <c r="B138" s="339"/>
      <c r="C138" s="1378">
        <v>44132</v>
      </c>
      <c r="D138" s="1361">
        <v>901</v>
      </c>
      <c r="E138" s="1375" t="s">
        <v>819</v>
      </c>
      <c r="F138" s="1363" t="s">
        <v>9</v>
      </c>
      <c r="G138" s="1212">
        <v>65</v>
      </c>
      <c r="H138" s="1364"/>
      <c r="I138" s="1364" t="s">
        <v>47</v>
      </c>
      <c r="J138" s="1040" t="s">
        <v>80</v>
      </c>
      <c r="K138" s="916" t="s">
        <v>74</v>
      </c>
      <c r="L138" s="346"/>
      <c r="M138" s="373"/>
      <c r="N138" s="369"/>
      <c r="O138" s="353"/>
      <c r="P138" s="369"/>
      <c r="Q138" s="369"/>
      <c r="R138" s="369"/>
      <c r="S138" s="369"/>
      <c r="T138" s="369"/>
      <c r="U138" s="341"/>
    </row>
    <row r="139" spans="1:21" ht="30">
      <c r="A139" s="321"/>
      <c r="B139" s="339"/>
      <c r="C139" s="1378">
        <v>44132</v>
      </c>
      <c r="D139" s="1361">
        <v>81</v>
      </c>
      <c r="E139" s="1375" t="s">
        <v>820</v>
      </c>
      <c r="F139" s="1363" t="s">
        <v>9</v>
      </c>
      <c r="G139" s="1212">
        <v>65</v>
      </c>
      <c r="H139" s="1364"/>
      <c r="I139" s="1364" t="s">
        <v>49</v>
      </c>
      <c r="J139" s="1040" t="s">
        <v>80</v>
      </c>
      <c r="K139" s="948" t="s">
        <v>74</v>
      </c>
      <c r="L139" s="346"/>
      <c r="M139" s="373"/>
      <c r="N139" s="369"/>
      <c r="O139" s="353"/>
      <c r="P139" s="369"/>
      <c r="Q139" s="369"/>
      <c r="R139" s="369"/>
      <c r="S139" s="369"/>
      <c r="T139" s="369"/>
      <c r="U139" s="341"/>
    </row>
    <row r="140" spans="1:21" ht="16.5" thickBot="1">
      <c r="A140" s="321"/>
      <c r="B140" s="339"/>
      <c r="C140" s="1073">
        <v>44132</v>
      </c>
      <c r="D140" s="1074">
        <v>910</v>
      </c>
      <c r="E140" s="1379" t="s">
        <v>815</v>
      </c>
      <c r="F140" s="1234" t="s">
        <v>9</v>
      </c>
      <c r="G140" s="1241">
        <v>65</v>
      </c>
      <c r="H140" s="1208" t="s">
        <v>311</v>
      </c>
      <c r="I140" s="1208" t="s">
        <v>47</v>
      </c>
      <c r="J140" s="1040" t="s">
        <v>80</v>
      </c>
      <c r="K140" s="916" t="s">
        <v>81</v>
      </c>
      <c r="L140" s="346"/>
      <c r="M140" s="373"/>
      <c r="N140" s="369"/>
      <c r="O140" s="353"/>
      <c r="P140" s="369"/>
      <c r="Q140" s="369"/>
      <c r="R140" s="369"/>
      <c r="S140" s="369"/>
      <c r="T140" s="369"/>
      <c r="U140" s="341"/>
    </row>
    <row r="141" spans="1:21" ht="16.5" thickBot="1">
      <c r="A141" s="321"/>
      <c r="B141" s="339"/>
      <c r="C141" s="1378">
        <v>44133</v>
      </c>
      <c r="D141" s="1361"/>
      <c r="E141" s="1375" t="s">
        <v>821</v>
      </c>
      <c r="F141" s="1363" t="s">
        <v>8</v>
      </c>
      <c r="G141" s="1241">
        <f>IF( F141="Radio", VLOOKUP(H141,radio!$A$2:$B$33,2), IF(F141="PQR",VLOOKUP(H141,pqr!$A$2:$B$20,2),IF(F141="INTERNET",VLOOKUP(H141,internet!$A$2:$C$43,2),IF(F141="TV",VLOOKUP(H141,tv!$A$2:$B$10,2),""))) )</f>
        <v>64</v>
      </c>
      <c r="H141" s="1364" t="s">
        <v>611</v>
      </c>
      <c r="I141" s="1364" t="s">
        <v>52</v>
      </c>
      <c r="J141" s="1261" t="s">
        <v>92</v>
      </c>
      <c r="K141" s="916" t="s">
        <v>81</v>
      </c>
      <c r="L141" s="346"/>
      <c r="M141" s="373"/>
      <c r="N141" s="369"/>
      <c r="O141" s="353"/>
      <c r="P141" s="369"/>
      <c r="Q141" s="369"/>
      <c r="R141" s="369"/>
      <c r="S141" s="369"/>
      <c r="T141" s="369"/>
      <c r="U141" s="341"/>
    </row>
    <row r="142" spans="1:21" ht="16.5" thickBot="1">
      <c r="A142" s="321"/>
      <c r="B142" s="339"/>
      <c r="C142" s="1378">
        <v>44133</v>
      </c>
      <c r="D142" s="1361"/>
      <c r="E142" s="1375" t="s">
        <v>822</v>
      </c>
      <c r="F142" s="1363" t="s">
        <v>8</v>
      </c>
      <c r="G142" s="1241">
        <f>IF( F142="Radio", VLOOKUP(H142,radio!$A$2:$B$33,2), IF(F142="PQR",VLOOKUP(H142,pqr!$A$2:$B$20,2),IF(F142="INTERNET",VLOOKUP(H142,internet!$A$2:$C$43,2),IF(F142="TV",VLOOKUP(H142,tv!$A$2:$B$10,2),""))) )</f>
        <v>40</v>
      </c>
      <c r="H142" s="1364" t="s">
        <v>85</v>
      </c>
      <c r="I142" s="1364" t="s">
        <v>51</v>
      </c>
      <c r="J142" s="1040" t="s">
        <v>80</v>
      </c>
      <c r="K142" s="916" t="s">
        <v>81</v>
      </c>
      <c r="L142" s="346"/>
      <c r="M142" s="373"/>
      <c r="N142" s="369"/>
      <c r="O142" s="353"/>
      <c r="P142" s="369"/>
      <c r="Q142" s="369"/>
      <c r="R142" s="369"/>
      <c r="S142" s="369"/>
      <c r="T142" s="369"/>
      <c r="U142" s="341"/>
    </row>
    <row r="143" spans="1:21" ht="16.5" thickBot="1">
      <c r="A143" s="321"/>
      <c r="B143" s="339"/>
      <c r="C143" s="1378">
        <v>44133</v>
      </c>
      <c r="D143" s="1361">
        <v>907</v>
      </c>
      <c r="E143" s="1375" t="s">
        <v>823</v>
      </c>
      <c r="F143" s="1363" t="s">
        <v>8</v>
      </c>
      <c r="G143" s="1241">
        <f>IF( F143="Radio", VLOOKUP(H143,radio!$A$2:$B$33,2), IF(F143="PQR",VLOOKUP(H143,pqr!$A$2:$B$20,2),IF(F143="INTERNET",VLOOKUP(H143,internet!$A$2:$C$43,2),IF(F143="TV",VLOOKUP(H143,tv!$A$2:$B$10,2),""))) )</f>
        <v>64</v>
      </c>
      <c r="H143" s="1364" t="s">
        <v>396</v>
      </c>
      <c r="I143" s="1364" t="s">
        <v>47</v>
      </c>
      <c r="J143" s="1040" t="s">
        <v>80</v>
      </c>
      <c r="K143" s="916" t="s">
        <v>81</v>
      </c>
      <c r="L143" s="346"/>
      <c r="M143" s="373"/>
      <c r="N143" s="369"/>
      <c r="O143" s="353"/>
      <c r="P143" s="369"/>
      <c r="Q143" s="369"/>
      <c r="R143" s="369"/>
      <c r="S143" s="369"/>
      <c r="T143" s="369"/>
      <c r="U143" s="341"/>
    </row>
    <row r="144" spans="1:21" ht="16.5" thickBot="1">
      <c r="A144" s="321"/>
      <c r="B144" s="339"/>
      <c r="C144" s="1378">
        <v>44133</v>
      </c>
      <c r="D144" s="1361">
        <v>907</v>
      </c>
      <c r="E144" s="1375" t="s">
        <v>823</v>
      </c>
      <c r="F144" s="1363" t="s">
        <v>8</v>
      </c>
      <c r="G144" s="1241">
        <f>IF( F144="Radio", VLOOKUP(H144,radio!$A$2:$B$33,2), IF(F144="PQR",VLOOKUP(H144,pqr!$A$2:$B$20,2),IF(F144="INTERNET",VLOOKUP(H144,internet!$A$2:$C$43,2),IF(F144="TV",VLOOKUP(H144,tv!$A$2:$B$10,2),""))) )</f>
        <v>64</v>
      </c>
      <c r="H144" s="1364" t="s">
        <v>556</v>
      </c>
      <c r="I144" s="1364" t="s">
        <v>47</v>
      </c>
      <c r="J144" s="1040" t="s">
        <v>80</v>
      </c>
      <c r="K144" s="916" t="s">
        <v>81</v>
      </c>
      <c r="L144" s="346"/>
      <c r="M144" s="373"/>
      <c r="N144" s="369"/>
      <c r="O144" s="353"/>
      <c r="P144" s="369"/>
      <c r="Q144" s="369"/>
      <c r="R144" s="369"/>
      <c r="S144" s="369"/>
      <c r="T144" s="369"/>
      <c r="U144" s="341"/>
    </row>
    <row r="145" spans="1:31" ht="16.5" thickBot="1">
      <c r="A145" s="321"/>
      <c r="B145" s="339"/>
      <c r="C145" s="1378">
        <v>44134</v>
      </c>
      <c r="D145" s="1361">
        <v>910</v>
      </c>
      <c r="E145" s="1375" t="s">
        <v>824</v>
      </c>
      <c r="F145" s="1363" t="s">
        <v>8</v>
      </c>
      <c r="G145" s="1241">
        <f>IF( F145="Radio", VLOOKUP(H145,radio!$A$2:$B$33,2), IF(F145="PQR",VLOOKUP(H145,pqr!$A$2:$B$20,2),IF(F145="INTERNET",VLOOKUP(H145,internet!$A$2:$C$43,2),IF(F145="TV",VLOOKUP(H145,tv!$A$2:$B$10,2),""))) )</f>
        <v>65</v>
      </c>
      <c r="H145" s="1364" t="s">
        <v>91</v>
      </c>
      <c r="I145" s="1364" t="s">
        <v>47</v>
      </c>
      <c r="J145" s="1040" t="s">
        <v>80</v>
      </c>
      <c r="K145" s="916" t="s">
        <v>81</v>
      </c>
      <c r="L145" s="346"/>
      <c r="M145" s="373"/>
      <c r="N145" s="369"/>
      <c r="O145" s="353"/>
      <c r="P145" s="369"/>
      <c r="Q145" s="369"/>
      <c r="R145" s="369"/>
      <c r="S145" s="369"/>
      <c r="T145" s="369"/>
      <c r="U145" s="341"/>
    </row>
    <row r="146" spans="1:31">
      <c r="A146" s="321"/>
      <c r="B146" s="339"/>
      <c r="C146" s="1378">
        <v>44134</v>
      </c>
      <c r="D146" s="1361">
        <v>910</v>
      </c>
      <c r="E146" s="1375" t="s">
        <v>824</v>
      </c>
      <c r="F146" s="1363" t="s">
        <v>8</v>
      </c>
      <c r="G146" s="1212">
        <f>IF( F146="Radio", VLOOKUP(H146,radio!$A$2:$B$33,2), IF(F146="PQR",VLOOKUP(H146,pqr!$A$2:$B$20,2),IF(F146="INTERNET",VLOOKUP(H146,internet!$A$2:$C$43,2),IF(F146="TV",VLOOKUP(H146,tv!$A$2:$B$10,2),""))) )</f>
        <v>65</v>
      </c>
      <c r="H146" s="1364" t="s">
        <v>311</v>
      </c>
      <c r="I146" s="1364" t="s">
        <v>47</v>
      </c>
      <c r="J146" s="1040" t="s">
        <v>80</v>
      </c>
      <c r="K146" s="1039" t="s">
        <v>81</v>
      </c>
      <c r="L146" s="346"/>
      <c r="M146" s="373"/>
      <c r="N146" s="369"/>
      <c r="O146" s="353"/>
      <c r="P146" s="369"/>
      <c r="Q146" s="369"/>
      <c r="R146" s="369"/>
      <c r="S146" s="369"/>
      <c r="T146" s="369"/>
      <c r="U146" s="341"/>
    </row>
    <row r="147" spans="1:31">
      <c r="A147" s="321"/>
      <c r="B147" s="339"/>
      <c r="C147" s="1353"/>
      <c r="D147" s="1065"/>
      <c r="E147" s="1354"/>
      <c r="F147" s="1340"/>
      <c r="G147" s="1133"/>
      <c r="H147" s="1179"/>
      <c r="I147" s="1179"/>
      <c r="J147" s="877"/>
      <c r="K147" s="916"/>
      <c r="L147" s="346"/>
      <c r="M147" s="373"/>
      <c r="N147" s="369"/>
      <c r="O147" s="353"/>
      <c r="P147" s="369"/>
      <c r="Q147" s="369"/>
      <c r="R147" s="369"/>
      <c r="S147" s="369"/>
      <c r="T147" s="369"/>
      <c r="U147" s="341"/>
    </row>
    <row r="148" spans="1:31" s="362" customFormat="1">
      <c r="A148" s="360"/>
      <c r="B148" s="361"/>
      <c r="C148" s="956">
        <v>44134</v>
      </c>
      <c r="D148" s="1038">
        <v>910</v>
      </c>
      <c r="E148" s="936" t="s">
        <v>825</v>
      </c>
      <c r="F148" s="1340" t="s">
        <v>8</v>
      </c>
      <c r="G148" s="1133">
        <v>65</v>
      </c>
      <c r="H148" s="1179" t="s">
        <v>91</v>
      </c>
      <c r="I148" s="936" t="s">
        <v>47</v>
      </c>
      <c r="J148" s="872" t="s">
        <v>80</v>
      </c>
      <c r="K148" s="916"/>
      <c r="L148" s="346"/>
      <c r="M148" s="373"/>
      <c r="N148" s="346"/>
      <c r="O148" s="346"/>
      <c r="P148" s="346"/>
      <c r="Q148" s="346"/>
      <c r="R148" s="346"/>
      <c r="S148" s="346"/>
      <c r="T148" s="346"/>
      <c r="U148" s="372"/>
      <c r="V148" s="360"/>
      <c r="W148" s="360"/>
      <c r="X148" s="360"/>
      <c r="Y148" s="360"/>
      <c r="Z148" s="360"/>
      <c r="AA148" s="360"/>
      <c r="AB148" s="360"/>
      <c r="AC148" s="360"/>
      <c r="AD148" s="360"/>
      <c r="AE148" s="360"/>
    </row>
    <row r="149" spans="1:31" s="362" customFormat="1">
      <c r="A149" s="360"/>
      <c r="B149" s="361"/>
      <c r="L149" s="346"/>
      <c r="M149" s="373"/>
      <c r="N149" s="346"/>
      <c r="O149" s="346"/>
      <c r="P149" s="346"/>
      <c r="Q149" s="346"/>
      <c r="R149" s="346"/>
      <c r="S149" s="346"/>
      <c r="T149" s="346"/>
      <c r="U149" s="372"/>
      <c r="V149" s="360"/>
      <c r="W149" s="360"/>
      <c r="X149" s="360"/>
      <c r="Y149" s="360"/>
      <c r="Z149" s="360"/>
      <c r="AA149" s="360"/>
      <c r="AB149" s="360"/>
      <c r="AC149" s="360"/>
      <c r="AD149" s="360"/>
      <c r="AE149" s="360"/>
    </row>
    <row r="150" spans="1:31" s="362" customFormat="1" ht="14.25" customHeight="1" thickBot="1">
      <c r="A150" s="360"/>
      <c r="B150" s="381"/>
      <c r="L150" s="388"/>
      <c r="M150" s="389"/>
      <c r="N150" s="388"/>
      <c r="O150" s="388"/>
      <c r="P150" s="388"/>
      <c r="Q150" s="388"/>
      <c r="R150" s="388"/>
      <c r="S150" s="388"/>
      <c r="T150" s="388"/>
      <c r="U150" s="390"/>
      <c r="V150" s="360"/>
      <c r="W150" s="360"/>
      <c r="X150" s="360"/>
      <c r="Y150" s="360"/>
      <c r="Z150" s="360"/>
      <c r="AA150" s="360"/>
      <c r="AB150" s="360"/>
      <c r="AC150" s="360"/>
      <c r="AD150" s="360"/>
      <c r="AE150" s="360"/>
    </row>
    <row r="151" spans="1:31" s="362" customFormat="1" ht="15.75" customHeight="1">
      <c r="A151" s="360"/>
      <c r="B151" s="360"/>
      <c r="L151" s="360"/>
      <c r="M151" s="392"/>
      <c r="N151" s="360"/>
      <c r="O151" s="360"/>
      <c r="P151" s="360"/>
      <c r="Q151" s="360"/>
      <c r="R151" s="360"/>
      <c r="S151" s="360"/>
      <c r="T151" s="360"/>
      <c r="U151" s="360"/>
      <c r="V151" s="360"/>
      <c r="W151" s="360"/>
      <c r="X151" s="360"/>
      <c r="Y151" s="360"/>
      <c r="Z151" s="360"/>
      <c r="AA151" s="360"/>
      <c r="AB151" s="360"/>
      <c r="AC151" s="360"/>
      <c r="AD151" s="360"/>
      <c r="AE151" s="360"/>
    </row>
    <row r="152" spans="1:31" s="362" customFormat="1">
      <c r="A152" s="360"/>
      <c r="B152" s="360"/>
      <c r="C152" s="360"/>
      <c r="D152" s="391"/>
      <c r="E152" s="360"/>
      <c r="F152" s="360"/>
      <c r="G152" s="360"/>
      <c r="H152" s="360"/>
      <c r="I152" s="360"/>
      <c r="J152" s="360"/>
      <c r="K152" s="392"/>
      <c r="L152" s="360"/>
      <c r="M152" s="392"/>
      <c r="N152" s="360"/>
      <c r="O152" s="360"/>
      <c r="P152" s="360"/>
      <c r="Q152" s="360"/>
      <c r="R152" s="360"/>
      <c r="S152" s="360"/>
      <c r="T152" s="360"/>
      <c r="U152" s="360"/>
      <c r="V152" s="360"/>
      <c r="W152" s="360"/>
      <c r="X152" s="360"/>
      <c r="Y152" s="360"/>
      <c r="Z152" s="360"/>
      <c r="AA152" s="360"/>
      <c r="AB152" s="360"/>
      <c r="AC152" s="360"/>
      <c r="AD152" s="360"/>
      <c r="AE152" s="360"/>
    </row>
    <row r="153" spans="1:31" s="362" customFormat="1">
      <c r="A153" s="360"/>
      <c r="B153" s="360"/>
      <c r="C153" s="360"/>
      <c r="D153" s="391"/>
      <c r="E153" s="360"/>
      <c r="F153" s="360"/>
      <c r="G153" s="360"/>
      <c r="H153" s="360"/>
      <c r="I153" s="360"/>
      <c r="J153" s="360"/>
      <c r="K153" s="392"/>
      <c r="L153" s="360"/>
      <c r="M153" s="392"/>
      <c r="N153" s="360"/>
      <c r="O153" s="360"/>
      <c r="P153" s="360"/>
      <c r="Q153" s="360"/>
      <c r="R153" s="360"/>
      <c r="S153" s="360"/>
      <c r="T153" s="360"/>
      <c r="U153" s="360"/>
      <c r="V153" s="360"/>
      <c r="W153" s="360"/>
      <c r="X153" s="360"/>
      <c r="Y153" s="360"/>
      <c r="Z153" s="360"/>
      <c r="AA153" s="360"/>
      <c r="AB153" s="360"/>
      <c r="AC153" s="360"/>
      <c r="AD153" s="360"/>
      <c r="AE153" s="360"/>
    </row>
    <row r="154" spans="1:31" s="362" customFormat="1">
      <c r="A154" s="360"/>
      <c r="B154" s="360"/>
      <c r="C154" s="360"/>
      <c r="D154" s="391"/>
      <c r="E154" s="360"/>
      <c r="F154" s="360"/>
      <c r="G154" s="360"/>
      <c r="H154" s="360"/>
      <c r="I154" s="360"/>
      <c r="J154" s="360"/>
      <c r="K154" s="392"/>
      <c r="L154" s="360"/>
      <c r="M154" s="392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60"/>
      <c r="AB154" s="360"/>
      <c r="AC154" s="360"/>
      <c r="AD154" s="360"/>
      <c r="AE154" s="360"/>
    </row>
    <row r="155" spans="1:31" s="362" customFormat="1">
      <c r="A155" s="360"/>
      <c r="B155" s="360"/>
      <c r="C155" s="360"/>
      <c r="D155" s="391"/>
      <c r="E155" s="360"/>
      <c r="F155" s="360"/>
      <c r="G155" s="360"/>
      <c r="H155" s="360"/>
      <c r="I155" s="360"/>
      <c r="J155" s="360"/>
      <c r="K155" s="392"/>
      <c r="L155" s="360"/>
      <c r="M155" s="392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60"/>
      <c r="AB155" s="360"/>
      <c r="AC155" s="360"/>
      <c r="AD155" s="360"/>
      <c r="AE155" s="360"/>
    </row>
    <row r="156" spans="1:31" s="362" customFormat="1">
      <c r="A156" s="360"/>
      <c r="B156" s="360"/>
      <c r="C156" s="360"/>
      <c r="D156" s="391"/>
      <c r="E156" s="360"/>
      <c r="F156" s="360"/>
      <c r="G156" s="360"/>
      <c r="H156" s="360"/>
      <c r="I156" s="360"/>
      <c r="J156" s="360"/>
      <c r="K156" s="392"/>
      <c r="L156" s="360"/>
      <c r="M156" s="392"/>
      <c r="N156" s="360"/>
      <c r="O156" s="360"/>
      <c r="P156" s="360"/>
      <c r="Q156" s="360"/>
      <c r="R156" s="360"/>
      <c r="S156" s="360"/>
      <c r="T156" s="360"/>
      <c r="U156" s="360"/>
      <c r="V156" s="360"/>
      <c r="W156" s="360"/>
      <c r="X156" s="360"/>
      <c r="Y156" s="360"/>
      <c r="Z156" s="360"/>
      <c r="AA156" s="360"/>
      <c r="AB156" s="360"/>
      <c r="AC156" s="360"/>
      <c r="AD156" s="360"/>
      <c r="AE156" s="360"/>
    </row>
    <row r="157" spans="1:31" s="362" customFormat="1">
      <c r="A157" s="360"/>
      <c r="B157" s="360"/>
      <c r="C157" s="360"/>
      <c r="D157" s="391"/>
      <c r="E157" s="360"/>
      <c r="F157" s="360"/>
      <c r="G157" s="360"/>
      <c r="H157" s="360"/>
      <c r="I157" s="360"/>
      <c r="J157" s="360"/>
      <c r="K157" s="392"/>
      <c r="L157" s="360"/>
      <c r="M157" s="392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  <c r="Z157" s="360"/>
      <c r="AA157" s="360"/>
      <c r="AB157" s="360"/>
      <c r="AC157" s="360"/>
      <c r="AD157" s="360"/>
      <c r="AE157" s="360"/>
    </row>
    <row r="158" spans="1:31" s="362" customFormat="1">
      <c r="A158" s="360"/>
      <c r="B158" s="360"/>
      <c r="C158" s="360"/>
      <c r="D158" s="391"/>
      <c r="E158" s="360"/>
      <c r="F158" s="360"/>
      <c r="G158" s="360"/>
      <c r="H158" s="360"/>
      <c r="I158" s="360"/>
      <c r="J158" s="360"/>
      <c r="K158" s="392"/>
      <c r="L158" s="360"/>
      <c r="M158" s="360"/>
      <c r="N158" s="360"/>
      <c r="O158" s="360"/>
      <c r="P158" s="360"/>
      <c r="Q158" s="360"/>
      <c r="R158" s="360"/>
      <c r="S158" s="360"/>
      <c r="T158" s="360"/>
      <c r="U158" s="360"/>
      <c r="V158" s="360"/>
      <c r="W158" s="360"/>
      <c r="X158" s="360"/>
      <c r="Y158" s="360"/>
      <c r="Z158" s="360"/>
      <c r="AA158" s="360"/>
      <c r="AB158" s="360"/>
      <c r="AC158" s="360"/>
      <c r="AD158" s="360"/>
      <c r="AE158" s="360"/>
    </row>
    <row r="159" spans="1:31" s="362" customFormat="1">
      <c r="A159" s="360"/>
      <c r="B159" s="360"/>
      <c r="C159" s="360"/>
      <c r="D159" s="391"/>
      <c r="E159" s="360"/>
      <c r="F159" s="360"/>
      <c r="G159" s="360"/>
      <c r="H159" s="360"/>
      <c r="I159" s="360"/>
      <c r="J159" s="360"/>
      <c r="K159" s="392"/>
      <c r="L159" s="360"/>
      <c r="M159" s="392"/>
      <c r="N159" s="360"/>
      <c r="O159" s="360"/>
      <c r="P159" s="360"/>
      <c r="Q159" s="360"/>
      <c r="R159" s="360"/>
      <c r="S159" s="360"/>
      <c r="T159" s="360"/>
      <c r="U159" s="360"/>
      <c r="V159" s="360"/>
      <c r="W159" s="360"/>
      <c r="X159" s="360"/>
      <c r="Y159" s="360"/>
      <c r="Z159" s="360"/>
      <c r="AA159" s="360"/>
      <c r="AB159" s="360"/>
      <c r="AC159" s="360"/>
      <c r="AD159" s="360"/>
      <c r="AE159" s="360"/>
    </row>
    <row r="160" spans="1:31" s="362" customFormat="1">
      <c r="A160" s="360"/>
      <c r="B160" s="360"/>
      <c r="C160" s="360"/>
      <c r="D160" s="391"/>
      <c r="E160" s="360"/>
      <c r="F160" s="360"/>
      <c r="G160" s="360"/>
      <c r="H160" s="360"/>
      <c r="I160" s="360"/>
      <c r="J160" s="360"/>
      <c r="K160" s="392"/>
      <c r="L160" s="360"/>
      <c r="M160" s="392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60"/>
      <c r="AB160" s="360"/>
      <c r="AC160" s="360"/>
      <c r="AD160" s="360"/>
      <c r="AE160" s="360"/>
    </row>
    <row r="161" spans="1:31" s="362" customFormat="1">
      <c r="A161" s="360"/>
      <c r="B161" s="360"/>
      <c r="C161" s="360"/>
      <c r="D161" s="391"/>
      <c r="E161" s="360"/>
      <c r="F161" s="360"/>
      <c r="G161" s="360"/>
      <c r="H161" s="360"/>
      <c r="I161" s="360"/>
      <c r="J161" s="360"/>
      <c r="K161" s="392"/>
      <c r="L161" s="360"/>
      <c r="M161" s="392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60"/>
      <c r="AB161" s="360"/>
      <c r="AC161" s="360"/>
      <c r="AD161" s="360"/>
      <c r="AE161" s="360"/>
    </row>
    <row r="162" spans="1:31" s="362" customFormat="1">
      <c r="A162" s="360"/>
      <c r="B162" s="360"/>
      <c r="C162" s="360"/>
      <c r="D162" s="391"/>
      <c r="E162" s="360"/>
      <c r="F162" s="360"/>
      <c r="G162" s="360"/>
      <c r="H162" s="360"/>
      <c r="I162" s="360"/>
      <c r="J162" s="360"/>
      <c r="K162" s="392"/>
      <c r="L162" s="360"/>
      <c r="M162" s="392"/>
      <c r="N162" s="360"/>
      <c r="O162" s="360"/>
      <c r="P162" s="360"/>
      <c r="Q162" s="360"/>
      <c r="R162" s="360"/>
      <c r="S162" s="360"/>
      <c r="T162" s="360"/>
      <c r="U162" s="360"/>
      <c r="V162" s="360"/>
      <c r="W162" s="360"/>
      <c r="X162" s="360"/>
      <c r="Y162" s="360"/>
      <c r="Z162" s="360"/>
      <c r="AA162" s="360"/>
      <c r="AB162" s="360"/>
      <c r="AC162" s="360"/>
      <c r="AD162" s="360"/>
      <c r="AE162" s="360"/>
    </row>
    <row r="163" spans="1:31" s="362" customFormat="1">
      <c r="A163" s="360"/>
      <c r="B163" s="360"/>
      <c r="C163" s="360"/>
      <c r="D163" s="391"/>
      <c r="E163" s="360"/>
      <c r="F163" s="360"/>
      <c r="G163" s="360"/>
      <c r="H163" s="360"/>
      <c r="I163" s="360"/>
      <c r="J163" s="360"/>
      <c r="K163" s="392"/>
      <c r="L163" s="360"/>
      <c r="M163" s="392"/>
      <c r="N163" s="360"/>
      <c r="O163" s="360"/>
      <c r="P163" s="360"/>
      <c r="Q163" s="360"/>
      <c r="R163" s="360"/>
      <c r="S163" s="360"/>
      <c r="T163" s="360"/>
      <c r="U163" s="360"/>
      <c r="V163" s="360"/>
      <c r="W163" s="360"/>
      <c r="X163" s="360"/>
      <c r="Y163" s="360"/>
      <c r="Z163" s="360"/>
      <c r="AA163" s="360"/>
      <c r="AB163" s="360"/>
      <c r="AC163" s="360"/>
      <c r="AD163" s="360"/>
      <c r="AE163" s="360"/>
    </row>
    <row r="164" spans="1:31" s="362" customFormat="1">
      <c r="A164" s="327"/>
      <c r="B164" s="360"/>
      <c r="C164" s="368"/>
      <c r="D164" s="393"/>
      <c r="E164" s="324"/>
      <c r="F164" s="321"/>
      <c r="G164" s="325"/>
      <c r="H164" s="321"/>
      <c r="I164" s="351"/>
      <c r="J164" s="322"/>
      <c r="K164" s="392"/>
      <c r="L164" s="394"/>
      <c r="M164" s="392"/>
      <c r="N164" s="360"/>
      <c r="O164" s="360"/>
      <c r="P164" s="360"/>
      <c r="Q164" s="360"/>
      <c r="R164" s="360"/>
      <c r="S164" s="360"/>
      <c r="T164" s="360"/>
      <c r="U164" s="360"/>
      <c r="V164" s="360"/>
      <c r="W164" s="360"/>
      <c r="X164" s="360"/>
      <c r="Y164" s="360"/>
      <c r="Z164" s="360"/>
      <c r="AA164" s="360"/>
      <c r="AB164" s="360"/>
      <c r="AC164" s="360"/>
      <c r="AD164" s="360"/>
      <c r="AE164" s="360"/>
    </row>
    <row r="165" spans="1:31" s="362" customFormat="1">
      <c r="A165" s="327"/>
      <c r="B165" s="1097"/>
      <c r="C165" s="322"/>
      <c r="D165" s="323"/>
      <c r="E165" s="360"/>
      <c r="F165" s="360"/>
      <c r="G165" s="360"/>
      <c r="H165" s="360"/>
      <c r="I165" s="360"/>
      <c r="J165" s="360"/>
      <c r="K165" s="392"/>
      <c r="L165" s="360"/>
      <c r="M165" s="392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360"/>
      <c r="Z165" s="360"/>
      <c r="AA165" s="360"/>
      <c r="AB165" s="360"/>
      <c r="AC165" s="360"/>
      <c r="AD165" s="360"/>
      <c r="AE165" s="360"/>
    </row>
    <row r="166" spans="1:31" s="362" customFormat="1">
      <c r="A166" s="327"/>
      <c r="B166" s="1097"/>
      <c r="C166" s="322"/>
      <c r="D166" s="323"/>
      <c r="E166" s="360"/>
      <c r="F166" s="360"/>
      <c r="G166" s="360"/>
      <c r="H166" s="360"/>
      <c r="I166" s="360"/>
      <c r="J166" s="360"/>
      <c r="K166" s="392"/>
      <c r="L166" s="360"/>
      <c r="M166" s="392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60"/>
      <c r="AB166" s="360"/>
      <c r="AC166" s="360"/>
      <c r="AD166" s="360"/>
      <c r="AE166" s="360"/>
    </row>
    <row r="167" spans="1:31" s="362" customFormat="1">
      <c r="A167" s="327"/>
      <c r="B167" s="327"/>
      <c r="C167" s="322"/>
      <c r="D167" s="323"/>
      <c r="E167" s="360"/>
      <c r="F167" s="360"/>
      <c r="G167" s="360"/>
      <c r="H167" s="360"/>
      <c r="I167" s="360"/>
      <c r="J167" s="360"/>
      <c r="K167" s="392"/>
      <c r="L167" s="360"/>
      <c r="M167" s="392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60"/>
      <c r="AB167" s="360"/>
      <c r="AC167" s="360"/>
      <c r="AD167" s="360"/>
      <c r="AE167" s="360"/>
    </row>
    <row r="168" spans="1:31" s="399" customFormat="1">
      <c r="A168" s="395"/>
      <c r="B168" s="395"/>
      <c r="C168" s="322"/>
      <c r="D168" s="323"/>
      <c r="E168" s="360"/>
      <c r="F168" s="360"/>
      <c r="G168" s="360"/>
      <c r="H168" s="360"/>
      <c r="I168" s="360"/>
      <c r="J168" s="360"/>
      <c r="K168" s="392"/>
      <c r="L168" s="396"/>
      <c r="M168" s="397"/>
      <c r="N168" s="398"/>
      <c r="O168" s="398"/>
      <c r="P168" s="398"/>
      <c r="Q168" s="398"/>
      <c r="R168" s="398"/>
      <c r="S168" s="398"/>
      <c r="T168" s="398"/>
      <c r="U168" s="398"/>
      <c r="V168" s="398"/>
      <c r="W168" s="398"/>
      <c r="X168" s="398"/>
      <c r="Y168" s="398"/>
      <c r="Z168" s="398"/>
      <c r="AA168" s="398"/>
      <c r="AB168" s="398"/>
      <c r="AC168" s="398"/>
      <c r="AD168" s="398"/>
      <c r="AE168" s="398"/>
    </row>
    <row r="169" spans="1:31">
      <c r="A169" s="326"/>
      <c r="B169" s="326"/>
      <c r="C169" s="322"/>
      <c r="D169" s="323"/>
      <c r="E169" s="360"/>
      <c r="F169" s="360"/>
      <c r="G169" s="360"/>
      <c r="H169" s="360"/>
      <c r="I169" s="360"/>
      <c r="J169" s="360"/>
      <c r="K169" s="392"/>
      <c r="L169" s="360"/>
      <c r="M169" s="392"/>
      <c r="N169" s="321"/>
      <c r="O169" s="321"/>
      <c r="P169" s="321"/>
      <c r="Q169" s="321"/>
      <c r="R169" s="321"/>
      <c r="S169" s="321"/>
      <c r="T169" s="321"/>
      <c r="U169" s="321"/>
    </row>
    <row r="170" spans="1:31">
      <c r="A170" s="326"/>
      <c r="B170" s="326"/>
      <c r="C170" s="322"/>
      <c r="D170" s="323"/>
      <c r="E170" s="360"/>
      <c r="F170" s="360"/>
      <c r="G170" s="360"/>
      <c r="H170" s="360"/>
      <c r="I170" s="360"/>
      <c r="J170" s="360"/>
      <c r="K170" s="392"/>
      <c r="L170" s="360"/>
      <c r="M170" s="392"/>
      <c r="N170" s="321"/>
      <c r="O170" s="321"/>
      <c r="P170" s="321"/>
      <c r="Q170" s="321"/>
      <c r="R170" s="321"/>
      <c r="S170" s="321"/>
      <c r="T170" s="321"/>
      <c r="U170" s="321"/>
    </row>
    <row r="171" spans="1:31" ht="23.25" customHeight="1">
      <c r="A171" s="326"/>
      <c r="B171" s="326"/>
      <c r="C171" s="322"/>
      <c r="D171" s="323"/>
      <c r="E171" s="360"/>
      <c r="F171" s="360"/>
      <c r="G171" s="360"/>
      <c r="H171" s="360"/>
      <c r="I171" s="360"/>
      <c r="J171" s="360"/>
      <c r="K171" s="392"/>
      <c r="L171" s="360"/>
      <c r="M171" s="392"/>
      <c r="N171" s="321"/>
      <c r="O171" s="321"/>
      <c r="P171" s="321"/>
      <c r="Q171" s="321"/>
      <c r="R171" s="321"/>
      <c r="S171" s="321"/>
      <c r="T171" s="321"/>
      <c r="U171" s="321"/>
    </row>
    <row r="172" spans="1:31" ht="15.75" customHeight="1">
      <c r="A172" s="326"/>
      <c r="B172" s="321"/>
      <c r="C172" s="322"/>
      <c r="D172" s="323"/>
      <c r="E172" s="360"/>
      <c r="F172" s="360"/>
      <c r="G172" s="360"/>
      <c r="H172" s="360"/>
      <c r="I172" s="360"/>
      <c r="J172" s="360"/>
      <c r="K172" s="392"/>
      <c r="L172" s="360"/>
      <c r="M172" s="392"/>
      <c r="N172" s="321"/>
      <c r="O172" s="321"/>
      <c r="P172" s="321"/>
      <c r="Q172" s="392"/>
      <c r="R172" s="321"/>
      <c r="S172" s="321"/>
      <c r="T172" s="321"/>
      <c r="U172" s="321"/>
    </row>
    <row r="173" spans="1:31" ht="15.75" customHeight="1">
      <c r="A173" s="321"/>
      <c r="B173" s="321"/>
      <c r="C173" s="322"/>
      <c r="D173" s="323"/>
      <c r="E173" s="324"/>
      <c r="F173" s="321"/>
      <c r="G173" s="325"/>
      <c r="H173" s="321"/>
      <c r="I173" s="321"/>
      <c r="J173" s="322"/>
      <c r="K173" s="392"/>
      <c r="L173" s="360"/>
      <c r="M173" s="392"/>
      <c r="N173" s="321"/>
      <c r="O173" s="321"/>
      <c r="P173" s="321"/>
      <c r="Q173" s="392"/>
      <c r="R173" s="321"/>
      <c r="S173" s="321"/>
      <c r="T173" s="321"/>
      <c r="U173" s="321"/>
    </row>
    <row r="174" spans="1:31" ht="15.75" customHeight="1">
      <c r="A174" s="321"/>
      <c r="B174" s="321"/>
      <c r="C174" s="322"/>
      <c r="D174" s="323"/>
      <c r="E174" s="324"/>
      <c r="F174" s="321"/>
      <c r="G174" s="325"/>
      <c r="H174" s="321"/>
      <c r="I174" s="321"/>
      <c r="J174" s="322"/>
      <c r="K174" s="392"/>
      <c r="L174" s="360"/>
      <c r="M174" s="392"/>
      <c r="N174" s="321"/>
      <c r="O174" s="321"/>
      <c r="P174" s="321"/>
      <c r="Q174" s="392"/>
      <c r="R174" s="321"/>
      <c r="S174" s="321"/>
      <c r="T174" s="321"/>
      <c r="U174" s="321"/>
    </row>
    <row r="175" spans="1:31">
      <c r="A175" s="321"/>
      <c r="B175" s="321"/>
      <c r="C175" s="322"/>
      <c r="D175" s="323"/>
      <c r="E175" s="324"/>
      <c r="F175" s="321"/>
      <c r="G175" s="325"/>
      <c r="H175" s="321"/>
      <c r="I175" s="321"/>
      <c r="J175" s="322"/>
      <c r="K175" s="392"/>
      <c r="L175" s="360"/>
      <c r="M175" s="392"/>
      <c r="N175" s="321"/>
      <c r="O175" s="321"/>
      <c r="P175" s="321"/>
      <c r="Q175" s="392"/>
      <c r="R175" s="321"/>
      <c r="S175" s="321"/>
      <c r="T175" s="321"/>
      <c r="U175" s="321"/>
    </row>
    <row r="176" spans="1:31">
      <c r="A176" s="321"/>
      <c r="B176" s="321"/>
      <c r="C176" s="322"/>
      <c r="D176" s="323"/>
      <c r="E176" s="324"/>
      <c r="F176" s="321"/>
      <c r="G176" s="325"/>
      <c r="H176" s="321"/>
      <c r="I176" s="321"/>
      <c r="J176" s="322"/>
      <c r="K176" s="392"/>
      <c r="L176" s="360"/>
      <c r="M176" s="392"/>
      <c r="N176" s="321"/>
      <c r="O176" s="321"/>
      <c r="P176" s="321"/>
      <c r="Q176" s="392"/>
      <c r="R176" s="321"/>
      <c r="S176" s="321"/>
      <c r="T176" s="321"/>
      <c r="U176" s="321"/>
    </row>
    <row r="177" spans="1:21">
      <c r="A177" s="321"/>
      <c r="B177" s="321"/>
      <c r="C177" s="322"/>
      <c r="D177" s="323"/>
      <c r="E177" s="324"/>
      <c r="F177" s="321"/>
      <c r="G177" s="325"/>
      <c r="H177" s="321"/>
      <c r="I177" s="321"/>
      <c r="J177" s="322"/>
      <c r="K177" s="392"/>
      <c r="L177" s="360"/>
      <c r="M177" s="392"/>
      <c r="N177" s="321"/>
      <c r="O177" s="321"/>
      <c r="P177" s="321"/>
      <c r="Q177" s="392"/>
      <c r="R177" s="321"/>
      <c r="S177" s="321"/>
      <c r="T177" s="321"/>
      <c r="U177" s="321"/>
    </row>
    <row r="178" spans="1:21">
      <c r="A178" s="321"/>
      <c r="B178" s="321"/>
      <c r="C178" s="322"/>
      <c r="D178" s="323"/>
      <c r="E178" s="324"/>
      <c r="F178" s="321"/>
      <c r="G178" s="325"/>
      <c r="H178" s="321"/>
      <c r="I178" s="321"/>
      <c r="J178" s="322"/>
      <c r="K178" s="392"/>
      <c r="L178" s="360"/>
      <c r="M178" s="392"/>
      <c r="N178" s="321"/>
      <c r="O178" s="321"/>
      <c r="P178" s="321"/>
      <c r="Q178" s="392"/>
      <c r="R178" s="321"/>
      <c r="S178" s="321"/>
      <c r="T178" s="321"/>
      <c r="U178" s="321"/>
    </row>
    <row r="179" spans="1:21">
      <c r="A179" s="321"/>
      <c r="B179" s="321"/>
      <c r="C179" s="322"/>
      <c r="D179" s="323"/>
      <c r="E179" s="324"/>
      <c r="F179" s="321"/>
      <c r="G179" s="325"/>
      <c r="H179" s="321"/>
      <c r="I179" s="321"/>
      <c r="J179" s="322"/>
      <c r="K179" s="392"/>
      <c r="L179" s="360"/>
      <c r="M179" s="392"/>
      <c r="N179" s="321"/>
      <c r="O179" s="321"/>
      <c r="P179" s="321"/>
      <c r="Q179" s="392"/>
      <c r="R179" s="321"/>
      <c r="S179" s="321"/>
      <c r="T179" s="321"/>
      <c r="U179" s="321"/>
    </row>
    <row r="180" spans="1:21">
      <c r="A180" s="321"/>
      <c r="B180" s="321"/>
      <c r="C180" s="322"/>
      <c r="D180" s="323"/>
      <c r="E180" s="324"/>
      <c r="F180" s="321"/>
      <c r="G180" s="325"/>
      <c r="H180" s="321"/>
      <c r="I180" s="321"/>
      <c r="J180" s="322"/>
      <c r="K180" s="392"/>
      <c r="L180" s="360"/>
      <c r="M180" s="392"/>
      <c r="N180" s="321"/>
      <c r="O180" s="321"/>
      <c r="P180" s="321"/>
      <c r="Q180" s="392"/>
      <c r="R180" s="321"/>
      <c r="S180" s="321"/>
      <c r="T180" s="321"/>
      <c r="U180" s="321"/>
    </row>
    <row r="181" spans="1:21" ht="15.75" customHeight="1">
      <c r="A181" s="321"/>
      <c r="B181" s="321"/>
      <c r="C181" s="322"/>
      <c r="D181" s="323"/>
      <c r="E181" s="324"/>
      <c r="F181" s="321"/>
      <c r="G181" s="325"/>
      <c r="H181" s="321"/>
      <c r="I181" s="321"/>
      <c r="J181" s="322"/>
      <c r="K181" s="392"/>
      <c r="L181" s="360"/>
      <c r="M181" s="392"/>
      <c r="N181" s="321"/>
      <c r="O181" s="321"/>
      <c r="P181" s="321"/>
      <c r="Q181" s="321"/>
      <c r="R181" s="321"/>
      <c r="S181" s="321"/>
      <c r="T181" s="321"/>
      <c r="U181" s="321"/>
    </row>
    <row r="182" spans="1:21">
      <c r="A182" s="321"/>
      <c r="B182" s="321"/>
      <c r="C182" s="322"/>
      <c r="D182" s="323"/>
      <c r="E182" s="324"/>
      <c r="F182" s="321"/>
      <c r="G182" s="325"/>
      <c r="H182" s="321"/>
      <c r="I182" s="321"/>
      <c r="J182" s="322"/>
      <c r="K182" s="392"/>
      <c r="L182" s="360"/>
      <c r="M182" s="392"/>
      <c r="N182" s="321"/>
      <c r="O182" s="321"/>
      <c r="P182" s="321"/>
      <c r="Q182" s="321"/>
      <c r="R182" s="321"/>
      <c r="S182" s="321"/>
      <c r="T182" s="321"/>
      <c r="U182" s="321"/>
    </row>
    <row r="183" spans="1:21">
      <c r="A183" s="321"/>
      <c r="B183" s="321"/>
      <c r="C183" s="322"/>
      <c r="D183" s="323"/>
      <c r="E183" s="324"/>
      <c r="F183" s="321"/>
      <c r="G183" s="325"/>
      <c r="H183" s="321"/>
      <c r="I183" s="321"/>
      <c r="J183" s="322"/>
      <c r="K183" s="392"/>
      <c r="L183" s="360"/>
      <c r="M183" s="392"/>
      <c r="N183" s="321"/>
      <c r="O183" s="321"/>
      <c r="P183" s="321"/>
      <c r="Q183" s="321"/>
      <c r="R183" s="321"/>
      <c r="S183" s="321"/>
      <c r="T183" s="321"/>
      <c r="U183" s="321"/>
    </row>
    <row r="184" spans="1:21">
      <c r="A184" s="321"/>
      <c r="B184" s="321"/>
      <c r="C184" s="322"/>
      <c r="D184" s="323"/>
      <c r="E184" s="324"/>
      <c r="F184" s="321"/>
      <c r="G184" s="325"/>
      <c r="H184" s="321"/>
      <c r="I184" s="321"/>
      <c r="J184" s="322"/>
      <c r="K184" s="392"/>
      <c r="L184" s="360"/>
      <c r="M184" s="392"/>
      <c r="N184" s="321"/>
      <c r="O184" s="321"/>
      <c r="P184" s="321"/>
      <c r="Q184" s="321"/>
      <c r="R184" s="321"/>
      <c r="S184" s="321"/>
      <c r="T184" s="321"/>
      <c r="U184" s="321"/>
    </row>
    <row r="185" spans="1:21">
      <c r="A185" s="321"/>
      <c r="B185" s="321"/>
      <c r="C185" s="322"/>
      <c r="D185" s="323"/>
      <c r="E185" s="324"/>
      <c r="F185" s="321"/>
      <c r="G185" s="325"/>
      <c r="H185" s="321"/>
      <c r="I185" s="321"/>
      <c r="J185" s="322"/>
      <c r="K185" s="392"/>
      <c r="L185" s="360"/>
      <c r="M185" s="392"/>
      <c r="N185" s="321"/>
      <c r="O185" s="321"/>
      <c r="P185" s="321"/>
      <c r="Q185" s="321"/>
      <c r="R185" s="321"/>
      <c r="S185" s="321"/>
      <c r="T185" s="321"/>
      <c r="U185" s="321"/>
    </row>
    <row r="186" spans="1:21">
      <c r="A186" s="321"/>
      <c r="B186" s="321"/>
      <c r="C186" s="322"/>
      <c r="D186" s="323"/>
      <c r="E186" s="324"/>
      <c r="F186" s="321"/>
      <c r="G186" s="325"/>
      <c r="H186" s="321"/>
      <c r="I186" s="321"/>
      <c r="J186" s="322"/>
      <c r="K186" s="392"/>
      <c r="L186" s="360"/>
      <c r="M186" s="392"/>
      <c r="N186" s="321"/>
      <c r="O186" s="321"/>
      <c r="P186" s="321"/>
      <c r="Q186" s="321"/>
      <c r="R186" s="321"/>
      <c r="S186" s="321"/>
      <c r="T186" s="321"/>
      <c r="U186" s="321"/>
    </row>
    <row r="187" spans="1:21">
      <c r="A187" s="321"/>
      <c r="B187" s="321"/>
      <c r="C187" s="322"/>
      <c r="D187" s="323"/>
      <c r="E187" s="324"/>
      <c r="F187" s="321"/>
      <c r="G187" s="325"/>
      <c r="H187" s="321"/>
      <c r="I187" s="321"/>
      <c r="J187" s="322"/>
      <c r="K187" s="392"/>
      <c r="L187" s="360"/>
      <c r="M187" s="392"/>
      <c r="N187" s="321"/>
      <c r="O187" s="321"/>
      <c r="P187" s="321"/>
      <c r="Q187" s="321"/>
      <c r="R187" s="321"/>
      <c r="S187" s="321"/>
      <c r="T187" s="321"/>
      <c r="U187" s="321"/>
    </row>
    <row r="188" spans="1:21">
      <c r="A188" s="321"/>
      <c r="B188" s="321"/>
      <c r="C188" s="322"/>
      <c r="D188" s="323"/>
      <c r="E188" s="324"/>
      <c r="F188" s="321"/>
      <c r="G188" s="325"/>
      <c r="H188" s="321"/>
      <c r="I188" s="321"/>
      <c r="J188" s="322"/>
      <c r="K188" s="392"/>
      <c r="L188" s="360"/>
      <c r="M188" s="392"/>
      <c r="N188" s="321"/>
      <c r="O188" s="321"/>
      <c r="P188" s="321"/>
      <c r="Q188" s="321"/>
      <c r="R188" s="321"/>
      <c r="S188" s="321"/>
      <c r="T188" s="321"/>
      <c r="U188" s="321"/>
    </row>
    <row r="189" spans="1:21">
      <c r="A189" s="321"/>
      <c r="B189" s="321"/>
      <c r="C189" s="322"/>
      <c r="D189" s="323"/>
      <c r="E189" s="324"/>
      <c r="F189" s="321"/>
      <c r="G189" s="325"/>
      <c r="H189" s="321"/>
      <c r="I189" s="321"/>
      <c r="J189" s="322"/>
      <c r="K189" s="392"/>
      <c r="L189" s="360"/>
      <c r="M189" s="392"/>
      <c r="N189" s="321"/>
      <c r="O189" s="321"/>
      <c r="P189" s="321"/>
      <c r="Q189" s="368"/>
      <c r="R189" s="321"/>
      <c r="S189" s="321"/>
      <c r="T189" s="321"/>
      <c r="U189" s="321"/>
    </row>
    <row r="190" spans="1:21">
      <c r="A190" s="321"/>
      <c r="B190" s="321"/>
      <c r="C190" s="322"/>
      <c r="D190" s="323"/>
      <c r="E190" s="324"/>
      <c r="F190" s="321"/>
      <c r="G190" s="325"/>
      <c r="H190" s="321"/>
      <c r="I190" s="321"/>
      <c r="J190" s="322"/>
      <c r="K190" s="392"/>
      <c r="L190" s="360"/>
      <c r="M190" s="392"/>
      <c r="N190" s="321"/>
      <c r="O190" s="321"/>
      <c r="P190" s="321"/>
      <c r="Q190" s="321"/>
      <c r="R190" s="321"/>
      <c r="S190" s="321"/>
      <c r="T190" s="321"/>
      <c r="U190" s="321"/>
    </row>
    <row r="191" spans="1:21">
      <c r="A191" s="321"/>
      <c r="B191" s="321"/>
      <c r="C191" s="322"/>
      <c r="D191" s="323"/>
      <c r="E191" s="324"/>
      <c r="F191" s="321"/>
      <c r="G191" s="325"/>
      <c r="H191" s="321"/>
      <c r="I191" s="321"/>
      <c r="J191" s="322"/>
      <c r="K191" s="392"/>
      <c r="L191" s="360"/>
      <c r="M191" s="392"/>
      <c r="N191" s="321"/>
      <c r="O191" s="321"/>
      <c r="P191" s="321"/>
      <c r="Q191" s="321"/>
      <c r="R191" s="321"/>
      <c r="S191" s="321"/>
      <c r="T191" s="321"/>
      <c r="U191" s="321"/>
    </row>
    <row r="192" spans="1:21">
      <c r="A192" s="321"/>
      <c r="B192" s="321"/>
      <c r="C192" s="322"/>
      <c r="D192" s="323"/>
      <c r="E192" s="324"/>
      <c r="F192" s="321"/>
      <c r="G192" s="325"/>
      <c r="H192" s="321"/>
      <c r="I192" s="321"/>
      <c r="J192" s="322"/>
      <c r="K192" s="392"/>
      <c r="L192" s="360"/>
      <c r="M192" s="392"/>
      <c r="N192" s="321"/>
      <c r="O192" s="321"/>
      <c r="P192" s="321"/>
      <c r="Q192" s="321"/>
      <c r="R192" s="321"/>
      <c r="S192" s="321"/>
      <c r="T192" s="321"/>
      <c r="U192" s="321"/>
    </row>
    <row r="193" spans="1:21">
      <c r="A193" s="321"/>
      <c r="B193" s="321"/>
      <c r="C193" s="322"/>
      <c r="D193" s="323"/>
      <c r="E193" s="324"/>
      <c r="F193" s="321"/>
      <c r="G193" s="325"/>
      <c r="H193" s="321"/>
      <c r="I193" s="321"/>
      <c r="J193" s="322"/>
      <c r="K193" s="392"/>
      <c r="L193" s="360"/>
      <c r="M193" s="392"/>
      <c r="N193" s="321"/>
      <c r="O193" s="321"/>
      <c r="P193" s="321"/>
      <c r="Q193" s="321"/>
      <c r="R193" s="321"/>
      <c r="S193" s="321"/>
      <c r="T193" s="321"/>
      <c r="U193" s="321"/>
    </row>
    <row r="194" spans="1:21">
      <c r="A194" s="321"/>
      <c r="B194" s="321"/>
      <c r="C194" s="322"/>
      <c r="D194" s="323"/>
      <c r="E194" s="324"/>
      <c r="F194" s="321"/>
      <c r="G194" s="325"/>
      <c r="H194" s="321"/>
      <c r="I194" s="321"/>
      <c r="J194" s="322"/>
      <c r="K194" s="392"/>
      <c r="L194" s="360"/>
      <c r="M194" s="392"/>
      <c r="N194" s="321"/>
      <c r="O194" s="321"/>
      <c r="P194" s="321"/>
      <c r="Q194" s="321"/>
      <c r="R194" s="321"/>
      <c r="S194" s="321"/>
      <c r="T194" s="321"/>
      <c r="U194" s="321"/>
    </row>
    <row r="195" spans="1:21">
      <c r="A195" s="321"/>
      <c r="B195" s="321"/>
      <c r="C195" s="322"/>
      <c r="D195" s="323"/>
      <c r="E195" s="324"/>
      <c r="F195" s="321"/>
      <c r="G195" s="325"/>
      <c r="H195" s="321"/>
      <c r="I195" s="321"/>
      <c r="J195" s="322"/>
      <c r="K195" s="392"/>
      <c r="L195" s="360"/>
      <c r="M195" s="392"/>
      <c r="N195" s="321"/>
      <c r="O195" s="321"/>
      <c r="P195" s="321"/>
      <c r="Q195" s="321"/>
      <c r="R195" s="321"/>
      <c r="S195" s="321"/>
      <c r="T195" s="321"/>
      <c r="U195" s="321"/>
    </row>
    <row r="196" spans="1:21">
      <c r="A196" s="321"/>
      <c r="B196" s="321"/>
      <c r="C196" s="322"/>
      <c r="D196" s="323"/>
      <c r="E196" s="324"/>
      <c r="F196" s="321"/>
      <c r="G196" s="325"/>
      <c r="H196" s="321"/>
      <c r="I196" s="321"/>
      <c r="J196" s="322"/>
      <c r="K196" s="392"/>
      <c r="L196" s="360"/>
      <c r="M196" s="392"/>
      <c r="N196" s="321"/>
      <c r="O196" s="321"/>
      <c r="P196" s="321"/>
      <c r="Q196" s="321"/>
      <c r="R196" s="321"/>
      <c r="S196" s="321"/>
      <c r="T196" s="321"/>
      <c r="U196" s="321"/>
    </row>
    <row r="197" spans="1:21">
      <c r="A197" s="321"/>
      <c r="B197" s="321"/>
      <c r="C197" s="322"/>
      <c r="D197" s="323"/>
      <c r="E197" s="324"/>
      <c r="F197" s="321"/>
      <c r="G197" s="325"/>
      <c r="H197" s="321"/>
      <c r="I197" s="321"/>
      <c r="J197" s="322"/>
      <c r="K197" s="392"/>
      <c r="L197" s="360"/>
      <c r="M197" s="392"/>
      <c r="N197" s="321"/>
      <c r="O197" s="321"/>
      <c r="P197" s="321"/>
      <c r="Q197" s="321"/>
      <c r="R197" s="321"/>
      <c r="S197" s="321"/>
      <c r="T197" s="321"/>
      <c r="U197" s="321"/>
    </row>
    <row r="198" spans="1:21">
      <c r="A198" s="321"/>
      <c r="B198" s="321"/>
      <c r="C198" s="322"/>
      <c r="D198" s="323"/>
      <c r="E198" s="324"/>
      <c r="F198" s="321"/>
      <c r="G198" s="325"/>
      <c r="H198" s="321"/>
      <c r="I198" s="321"/>
      <c r="J198" s="322"/>
      <c r="K198" s="392"/>
      <c r="L198" s="360"/>
      <c r="M198" s="392"/>
      <c r="N198" s="321"/>
      <c r="O198" s="321"/>
      <c r="P198" s="321"/>
      <c r="Q198" s="321"/>
      <c r="R198" s="321"/>
      <c r="S198" s="321"/>
      <c r="T198" s="321"/>
      <c r="U198" s="321"/>
    </row>
    <row r="199" spans="1:21">
      <c r="A199" s="321"/>
      <c r="B199" s="321"/>
      <c r="C199" s="322"/>
      <c r="D199" s="323"/>
      <c r="E199" s="324"/>
      <c r="F199" s="321"/>
      <c r="G199" s="325"/>
      <c r="H199" s="321"/>
      <c r="I199" s="321"/>
      <c r="J199" s="322"/>
      <c r="K199" s="392"/>
      <c r="L199" s="360"/>
      <c r="M199" s="392"/>
      <c r="N199" s="321"/>
      <c r="O199" s="321"/>
      <c r="P199" s="321"/>
      <c r="Q199" s="321"/>
      <c r="R199" s="321"/>
      <c r="S199" s="321"/>
      <c r="T199" s="321"/>
      <c r="U199" s="321"/>
    </row>
    <row r="200" spans="1:21">
      <c r="A200" s="321"/>
      <c r="B200" s="321"/>
      <c r="C200" s="322"/>
      <c r="D200" s="323"/>
      <c r="E200" s="324"/>
      <c r="F200" s="321"/>
      <c r="G200" s="325"/>
      <c r="H200" s="321"/>
      <c r="I200" s="321"/>
      <c r="J200" s="322"/>
      <c r="K200" s="392"/>
      <c r="L200" s="360"/>
      <c r="M200" s="392"/>
      <c r="N200" s="321"/>
      <c r="O200" s="321"/>
      <c r="P200" s="321"/>
      <c r="Q200" s="321"/>
      <c r="R200" s="321"/>
      <c r="S200" s="321"/>
      <c r="T200" s="321"/>
      <c r="U200" s="321"/>
    </row>
    <row r="201" spans="1:21">
      <c r="A201" s="321"/>
      <c r="B201" s="321"/>
      <c r="C201" s="322"/>
      <c r="D201" s="323"/>
      <c r="E201" s="324"/>
      <c r="F201" s="321"/>
      <c r="G201" s="325"/>
      <c r="H201" s="321"/>
      <c r="I201" s="321"/>
      <c r="J201" s="322"/>
      <c r="K201" s="392"/>
      <c r="L201" s="360"/>
      <c r="M201" s="392"/>
      <c r="N201" s="321"/>
      <c r="O201" s="321"/>
      <c r="P201" s="321"/>
      <c r="Q201" s="321"/>
      <c r="R201" s="321"/>
      <c r="S201" s="321"/>
      <c r="T201" s="321"/>
      <c r="U201" s="321"/>
    </row>
    <row r="202" spans="1:21">
      <c r="A202" s="321"/>
      <c r="B202" s="321"/>
      <c r="C202" s="322"/>
      <c r="D202" s="323"/>
      <c r="E202" s="324"/>
      <c r="F202" s="321"/>
      <c r="G202" s="325"/>
      <c r="H202" s="321"/>
      <c r="I202" s="321"/>
      <c r="J202" s="322"/>
      <c r="K202" s="392"/>
      <c r="L202" s="360"/>
      <c r="M202" s="392"/>
      <c r="N202" s="321"/>
      <c r="O202" s="321"/>
      <c r="P202" s="321"/>
      <c r="Q202" s="321"/>
      <c r="R202" s="321"/>
      <c r="S202" s="321"/>
      <c r="T202" s="321"/>
      <c r="U202" s="321"/>
    </row>
    <row r="203" spans="1:21">
      <c r="A203" s="321"/>
      <c r="B203" s="321"/>
      <c r="C203" s="322"/>
      <c r="D203" s="323"/>
      <c r="E203" s="324"/>
      <c r="F203" s="321"/>
      <c r="G203" s="325"/>
      <c r="H203" s="321"/>
      <c r="I203" s="321"/>
      <c r="J203" s="322"/>
      <c r="K203" s="392"/>
      <c r="L203" s="360"/>
      <c r="M203" s="392"/>
      <c r="N203" s="321"/>
      <c r="O203" s="321"/>
      <c r="P203" s="321"/>
      <c r="Q203" s="321"/>
      <c r="R203" s="321"/>
      <c r="S203" s="321"/>
      <c r="T203" s="321"/>
      <c r="U203" s="321"/>
    </row>
    <row r="204" spans="1:21">
      <c r="A204" s="321"/>
      <c r="B204" s="321"/>
      <c r="C204" s="322"/>
      <c r="D204" s="323"/>
      <c r="E204" s="324"/>
      <c r="F204" s="321"/>
      <c r="G204" s="325"/>
      <c r="H204" s="321"/>
      <c r="I204" s="321"/>
      <c r="J204" s="322"/>
      <c r="K204" s="392"/>
      <c r="L204" s="360"/>
      <c r="M204" s="392"/>
      <c r="N204" s="321"/>
      <c r="O204" s="321"/>
      <c r="P204" s="321"/>
      <c r="Q204" s="321"/>
      <c r="R204" s="321"/>
      <c r="S204" s="321"/>
      <c r="T204" s="321"/>
      <c r="U204" s="321"/>
    </row>
    <row r="205" spans="1:21">
      <c r="A205" s="321"/>
      <c r="B205" s="321"/>
      <c r="C205" s="322"/>
      <c r="D205" s="323"/>
      <c r="E205" s="324"/>
      <c r="F205" s="321"/>
      <c r="G205" s="325"/>
      <c r="H205" s="321"/>
      <c r="I205" s="321"/>
      <c r="J205" s="322"/>
      <c r="K205" s="392"/>
      <c r="L205" s="360"/>
      <c r="M205" s="392"/>
      <c r="N205" s="321"/>
      <c r="O205" s="321"/>
      <c r="P205" s="321"/>
      <c r="Q205" s="321"/>
      <c r="R205" s="321"/>
      <c r="S205" s="321"/>
      <c r="T205" s="321"/>
      <c r="U205" s="321"/>
    </row>
    <row r="206" spans="1:21">
      <c r="A206" s="321"/>
      <c r="B206" s="321"/>
      <c r="C206" s="322"/>
      <c r="D206" s="323"/>
      <c r="E206" s="324"/>
      <c r="F206" s="321"/>
      <c r="G206" s="325"/>
      <c r="H206" s="321"/>
      <c r="I206" s="321"/>
      <c r="J206" s="322"/>
      <c r="K206" s="392"/>
      <c r="L206" s="360"/>
      <c r="M206" s="392"/>
      <c r="N206" s="321"/>
      <c r="O206" s="321"/>
      <c r="P206" s="321"/>
      <c r="Q206" s="321"/>
      <c r="R206" s="321"/>
      <c r="S206" s="321"/>
      <c r="T206" s="321"/>
      <c r="U206" s="321"/>
    </row>
    <row r="207" spans="1:21">
      <c r="A207" s="321"/>
      <c r="B207" s="321"/>
      <c r="C207" s="322"/>
      <c r="D207" s="323"/>
      <c r="E207" s="324"/>
      <c r="F207" s="321"/>
      <c r="G207" s="325"/>
      <c r="H207" s="321"/>
      <c r="I207" s="321"/>
      <c r="J207" s="322"/>
      <c r="K207" s="392"/>
      <c r="L207" s="360"/>
      <c r="M207" s="392"/>
      <c r="N207" s="321"/>
      <c r="O207" s="321"/>
      <c r="P207" s="321"/>
      <c r="Q207" s="321"/>
      <c r="R207" s="321"/>
      <c r="S207" s="321"/>
      <c r="T207" s="321"/>
      <c r="U207" s="321"/>
    </row>
    <row r="208" spans="1:21">
      <c r="A208" s="321"/>
      <c r="B208" s="321"/>
      <c r="C208" s="322"/>
      <c r="D208" s="323"/>
      <c r="E208" s="324"/>
      <c r="F208" s="321"/>
      <c r="G208" s="325"/>
      <c r="H208" s="321"/>
      <c r="I208" s="321"/>
      <c r="J208" s="322"/>
      <c r="K208" s="392"/>
      <c r="L208" s="360"/>
      <c r="M208" s="392"/>
      <c r="N208" s="321"/>
      <c r="O208" s="321"/>
      <c r="P208" s="321"/>
      <c r="Q208" s="321"/>
      <c r="R208" s="321"/>
      <c r="S208" s="321"/>
      <c r="T208" s="321"/>
      <c r="U208" s="321"/>
    </row>
    <row r="209" spans="1:21">
      <c r="A209" s="321"/>
      <c r="B209" s="321"/>
      <c r="C209" s="322"/>
      <c r="D209" s="323"/>
      <c r="E209" s="324"/>
      <c r="F209" s="321"/>
      <c r="G209" s="325"/>
      <c r="H209" s="321"/>
      <c r="I209" s="321"/>
      <c r="J209" s="322"/>
      <c r="K209" s="392"/>
      <c r="L209" s="360"/>
      <c r="M209" s="392"/>
      <c r="N209" s="321"/>
      <c r="O209" s="321"/>
      <c r="P209" s="321"/>
      <c r="Q209" s="321"/>
      <c r="R209" s="321"/>
      <c r="S209" s="321"/>
      <c r="T209" s="321"/>
      <c r="U209" s="321"/>
    </row>
    <row r="210" spans="1:21">
      <c r="A210" s="321"/>
      <c r="B210" s="321"/>
      <c r="C210" s="322"/>
      <c r="D210" s="323"/>
      <c r="E210" s="324"/>
      <c r="F210" s="321"/>
      <c r="G210" s="325"/>
      <c r="H210" s="321"/>
      <c r="I210" s="321"/>
      <c r="J210" s="322"/>
      <c r="K210" s="392"/>
      <c r="L210" s="360"/>
      <c r="M210" s="392"/>
      <c r="N210" s="321"/>
      <c r="O210" s="321"/>
      <c r="P210" s="321"/>
      <c r="Q210" s="321"/>
      <c r="R210" s="321"/>
      <c r="S210" s="321"/>
      <c r="T210" s="321"/>
      <c r="U210" s="321"/>
    </row>
    <row r="211" spans="1:21">
      <c r="A211" s="321"/>
      <c r="B211" s="321"/>
      <c r="C211" s="322"/>
      <c r="D211" s="323"/>
      <c r="E211" s="324"/>
      <c r="F211" s="321"/>
      <c r="G211" s="325"/>
      <c r="H211" s="321"/>
      <c r="I211" s="321"/>
      <c r="J211" s="322"/>
      <c r="K211" s="392"/>
      <c r="L211" s="360"/>
      <c r="M211" s="392"/>
      <c r="N211" s="321"/>
      <c r="O211" s="321"/>
      <c r="P211" s="321"/>
      <c r="Q211" s="321"/>
      <c r="R211" s="321"/>
      <c r="S211" s="321"/>
      <c r="T211" s="321"/>
      <c r="U211" s="321"/>
    </row>
    <row r="212" spans="1:21">
      <c r="A212" s="321"/>
      <c r="B212" s="321"/>
      <c r="C212" s="322"/>
      <c r="D212" s="323"/>
      <c r="E212" s="324"/>
      <c r="F212" s="321"/>
      <c r="G212" s="325"/>
      <c r="H212" s="321"/>
      <c r="I212" s="321"/>
      <c r="J212" s="322"/>
      <c r="K212" s="392"/>
      <c r="L212" s="360"/>
      <c r="M212" s="392"/>
      <c r="N212" s="321"/>
      <c r="O212" s="321"/>
      <c r="P212" s="321"/>
      <c r="Q212" s="321"/>
      <c r="R212" s="321"/>
      <c r="S212" s="321"/>
      <c r="T212" s="321"/>
      <c r="U212" s="321"/>
    </row>
    <row r="213" spans="1:21">
      <c r="A213" s="321"/>
      <c r="B213" s="321"/>
      <c r="C213" s="322"/>
      <c r="D213" s="323"/>
      <c r="E213" s="324"/>
      <c r="F213" s="321"/>
      <c r="G213" s="325"/>
      <c r="H213" s="321"/>
      <c r="I213" s="321"/>
      <c r="J213" s="322"/>
      <c r="K213" s="392"/>
      <c r="L213" s="360"/>
      <c r="M213" s="392"/>
      <c r="N213" s="321"/>
      <c r="O213" s="321"/>
      <c r="P213" s="321"/>
      <c r="Q213" s="321"/>
      <c r="R213" s="321"/>
      <c r="S213" s="321"/>
      <c r="T213" s="321"/>
      <c r="U213" s="321"/>
    </row>
    <row r="214" spans="1:21">
      <c r="A214" s="321"/>
      <c r="B214" s="321"/>
      <c r="C214" s="322"/>
      <c r="D214" s="323"/>
      <c r="E214" s="324"/>
      <c r="F214" s="321"/>
      <c r="G214" s="325"/>
      <c r="H214" s="321"/>
      <c r="I214" s="321"/>
      <c r="J214" s="322"/>
      <c r="K214" s="392"/>
      <c r="L214" s="360"/>
      <c r="M214" s="392"/>
      <c r="N214" s="321"/>
      <c r="O214" s="321"/>
      <c r="P214" s="321"/>
      <c r="Q214" s="321"/>
      <c r="R214" s="321"/>
      <c r="S214" s="321"/>
      <c r="T214" s="321"/>
      <c r="U214" s="321"/>
    </row>
    <row r="215" spans="1:21">
      <c r="A215" s="321"/>
      <c r="B215" s="321"/>
      <c r="C215" s="322"/>
      <c r="D215" s="323"/>
      <c r="E215" s="324"/>
      <c r="F215" s="321"/>
      <c r="G215" s="325"/>
      <c r="H215" s="321"/>
      <c r="I215" s="321"/>
      <c r="J215" s="322"/>
      <c r="K215" s="392"/>
      <c r="L215" s="360"/>
      <c r="M215" s="392"/>
      <c r="N215" s="321"/>
      <c r="O215" s="321"/>
      <c r="P215" s="321"/>
      <c r="Q215" s="321"/>
      <c r="R215" s="321"/>
      <c r="S215" s="321"/>
      <c r="T215" s="321"/>
      <c r="U215" s="321"/>
    </row>
    <row r="216" spans="1:21" ht="21.75" thickBot="1">
      <c r="A216" s="321"/>
      <c r="B216" s="321"/>
      <c r="C216" s="1633" t="s">
        <v>136</v>
      </c>
      <c r="D216" s="1633"/>
      <c r="E216" s="1633"/>
      <c r="F216" s="1633"/>
      <c r="G216" s="1633"/>
      <c r="H216" s="1633"/>
      <c r="I216" s="1633"/>
      <c r="J216" s="1633"/>
      <c r="K216" s="1633"/>
      <c r="L216" s="1633"/>
      <c r="M216" s="1633"/>
      <c r="N216" s="446"/>
      <c r="O216" s="321"/>
      <c r="P216" s="321"/>
      <c r="Q216" s="321"/>
      <c r="R216" s="321"/>
      <c r="S216" s="321"/>
      <c r="T216" s="321"/>
      <c r="U216" s="321"/>
    </row>
    <row r="217" spans="1:21" ht="16.5" customHeight="1" thickBot="1">
      <c r="A217" s="321"/>
      <c r="B217" s="321"/>
      <c r="C217" s="1608" t="s">
        <v>138</v>
      </c>
      <c r="D217" s="406"/>
      <c r="E217" s="407"/>
      <c r="F217" s="408"/>
      <c r="G217" s="409"/>
      <c r="H217" s="410"/>
      <c r="I217" s="408"/>
      <c r="J217" s="411"/>
      <c r="K217" s="881"/>
      <c r="L217" s="216"/>
      <c r="M217" s="217"/>
      <c r="N217" s="446"/>
      <c r="O217" s="321"/>
      <c r="P217" s="321"/>
      <c r="Q217" s="321"/>
      <c r="R217" s="321"/>
      <c r="S217" s="321"/>
      <c r="T217" s="321"/>
      <c r="U217" s="321"/>
    </row>
    <row r="218" spans="1:21">
      <c r="A218" s="321"/>
      <c r="B218" s="321"/>
      <c r="C218" s="1609"/>
      <c r="D218" s="412"/>
      <c r="E218" s="1152" t="s">
        <v>139</v>
      </c>
      <c r="F218" s="413" t="s">
        <v>140</v>
      </c>
      <c r="G218" s="414" t="s">
        <v>141</v>
      </c>
      <c r="H218" s="415"/>
      <c r="I218" s="1036" t="s">
        <v>142</v>
      </c>
      <c r="J218" s="416" t="s">
        <v>143</v>
      </c>
      <c r="K218" s="413" t="s">
        <v>132</v>
      </c>
      <c r="L218" s="246" t="s">
        <v>134</v>
      </c>
      <c r="M218" s="1146"/>
      <c r="N218" s="446"/>
      <c r="O218" s="321"/>
      <c r="P218" s="321"/>
      <c r="Q218" s="321"/>
      <c r="R218" s="321"/>
      <c r="S218" s="321"/>
      <c r="T218" s="321"/>
      <c r="U218" s="321"/>
    </row>
    <row r="219" spans="1:21">
      <c r="A219" s="321"/>
      <c r="B219" s="321"/>
      <c r="C219" s="1609"/>
      <c r="D219" s="412"/>
      <c r="E219" s="417" t="s">
        <v>144</v>
      </c>
      <c r="F219" s="418">
        <f>COUNTIF(J$1:J$216,"Positif")</f>
        <v>118</v>
      </c>
      <c r="G219" s="419">
        <f>COUNTIF(J$1:J$216,"Negatif")</f>
        <v>0</v>
      </c>
      <c r="H219" s="415"/>
      <c r="I219" s="420" t="s">
        <v>145</v>
      </c>
      <c r="J219" s="418">
        <f>COUNTIFS(F$1:F$216,"PQR",G$1:G$216, 40)</f>
        <v>11</v>
      </c>
      <c r="K219" s="418">
        <f>COUNTIFS(F$1:F$216,"PQR",G$1:G$216, 65)</f>
        <v>18</v>
      </c>
      <c r="L219" s="422">
        <f>COUNTIFS(F$1:F$216,"PQR",G$1:G$216,64)</f>
        <v>23</v>
      </c>
      <c r="M219" s="1146"/>
      <c r="N219" s="446"/>
      <c r="O219" s="321"/>
      <c r="P219" s="321"/>
      <c r="Q219" s="321"/>
      <c r="R219" s="321"/>
      <c r="S219" s="321"/>
      <c r="T219" s="321"/>
      <c r="U219" s="321"/>
    </row>
    <row r="220" spans="1:21">
      <c r="A220" s="321"/>
      <c r="B220" s="321"/>
      <c r="C220" s="1609"/>
      <c r="D220" s="412"/>
      <c r="E220" s="423" t="s">
        <v>143</v>
      </c>
      <c r="F220" s="424">
        <f>COUNTIFS(G$1:G$216,40,J$1:J$216, "Positif")</f>
        <v>33</v>
      </c>
      <c r="G220" s="419">
        <f>COUNTIFS(G$1:G$216,40,J$1:J$216, "Negatif")+COUNTIFS(G$1:G$216,40,J$1:J$216, "Negative")+COUNTIFS(G$1:G$216,40,J$1:J$216, "négatif")+COUNTIFS(G$1:G$216,40,J$1:J$216, "négative")</f>
        <v>1</v>
      </c>
      <c r="H220" s="415"/>
      <c r="I220" s="425" t="s">
        <v>146</v>
      </c>
      <c r="J220" s="418">
        <f>COUNTIFS(F$1:F$216,"web",G$1:G$216, 40)</f>
        <v>12</v>
      </c>
      <c r="K220" s="418">
        <f>COUNTIFS(F$1:F$216,"web",G$1:G$216, 65)</f>
        <v>11</v>
      </c>
      <c r="L220" s="419">
        <f>COUNTIFS(F$1:F$216,"web",G$1:G$216, 64)</f>
        <v>5</v>
      </c>
      <c r="M220" s="1146"/>
      <c r="N220" s="446"/>
      <c r="O220" s="321"/>
      <c r="P220" s="321"/>
      <c r="Q220" s="321"/>
      <c r="R220" s="321"/>
      <c r="S220" s="321"/>
      <c r="T220" s="321"/>
      <c r="U220" s="321"/>
    </row>
    <row r="221" spans="1:21">
      <c r="A221" s="321"/>
      <c r="B221" s="321"/>
      <c r="C221" s="1609"/>
      <c r="D221" s="412"/>
      <c r="E221" s="423" t="s">
        <v>132</v>
      </c>
      <c r="F221" s="424">
        <f>COUNTIFS(G$1:G$216,65,J$1:J$216, "Positif")+COUNTIFS(G$1:G$216,65,J$1:J$216,"Positive")</f>
        <v>29</v>
      </c>
      <c r="G221" s="419">
        <f>COUNTIFS(G$1:G$216,65,J$1:J$216, "Negatif")+COUNTIFS(G$1:G$216,65,J$1:J$216, "Negative")+COUNTIFS(G$1:G$216,65,J$1:J$216, "négatif")+COUNTIFS(G$1:G$216,65,J$1:J$216, "négative")</f>
        <v>0</v>
      </c>
      <c r="H221" s="415"/>
      <c r="I221" s="425" t="s">
        <v>147</v>
      </c>
      <c r="J221" s="418">
        <f>COUNTIFS(F$1:F$216,"radio",G$1:G$216, 40)</f>
        <v>13</v>
      </c>
      <c r="K221" s="418">
        <f>COUNTIFS(F$1:F$216,"radio",G$1:G$216, 65)</f>
        <v>2</v>
      </c>
      <c r="L221" s="419">
        <f>COUNTIFS(F$1:F$216,"radio",G$1:G$216, 64)</f>
        <v>21</v>
      </c>
      <c r="M221" s="1146"/>
      <c r="N221" s="446"/>
      <c r="O221" s="321"/>
      <c r="P221" s="321"/>
      <c r="Q221" s="321"/>
      <c r="R221" s="321"/>
      <c r="S221" s="321"/>
      <c r="T221" s="321"/>
      <c r="U221" s="321"/>
    </row>
    <row r="222" spans="1:21" ht="16.5" thickBot="1">
      <c r="A222" s="321"/>
      <c r="B222" s="321"/>
      <c r="C222" s="1609"/>
      <c r="D222" s="412"/>
      <c r="E222" s="426" t="s">
        <v>134</v>
      </c>
      <c r="F222" s="427">
        <f>COUNTIFS(G$1:G$216,64,J$1:J$216, "Positif")+COUNTIFS(G$1:G$216,64,J$1:J$216,"Positive")</f>
        <v>51</v>
      </c>
      <c r="G222" s="428">
        <f>COUNTIFS(G$7:G$216,64,J$7:J$216, "Negatif")+COUNTIFS(G$7:G$216,64,J$7:J$216, "Negative")+COUNTIFS(G$7:G$216,64,J$7:J$216, "négatif")+COUNTIFS(G$7:G$216,64,J$7:J$216, "négative")</f>
        <v>1</v>
      </c>
      <c r="H222" s="415"/>
      <c r="I222" s="429" t="s">
        <v>148</v>
      </c>
      <c r="J222" s="430">
        <f>COUNTIFS(F$1:F$216,"TV",G$1:G$216, 40)</f>
        <v>1</v>
      </c>
      <c r="K222" s="430">
        <f>COUNTIFS(F$1:F$216,"TV",G$1:G$216, 65)</f>
        <v>0</v>
      </c>
      <c r="L222" s="431">
        <f>COUNTIFS(F$1:F$216,"TV",G$1:G$216, 64)</f>
        <v>4</v>
      </c>
      <c r="M222" s="1146"/>
      <c r="N222" s="446"/>
      <c r="O222" s="321"/>
      <c r="P222" s="321"/>
      <c r="Q222" s="321"/>
      <c r="R222" s="321"/>
      <c r="S222" s="321"/>
      <c r="T222" s="321"/>
      <c r="U222" s="321"/>
    </row>
    <row r="223" spans="1:21">
      <c r="A223" s="321"/>
      <c r="B223" s="321"/>
      <c r="C223" s="1609"/>
      <c r="D223" s="412"/>
      <c r="E223" s="432"/>
      <c r="F223" s="433"/>
      <c r="G223" s="433"/>
      <c r="H223" s="415"/>
      <c r="I223" s="434"/>
      <c r="J223" s="435"/>
      <c r="K223" s="882"/>
      <c r="L223" s="434"/>
      <c r="M223" s="437"/>
      <c r="N223" s="446"/>
      <c r="O223" s="321"/>
      <c r="P223" s="321"/>
      <c r="Q223" s="321"/>
      <c r="R223" s="321"/>
      <c r="S223" s="321"/>
      <c r="T223" s="321"/>
      <c r="U223" s="321"/>
    </row>
    <row r="224" spans="1:21" ht="16.5" thickBot="1">
      <c r="A224" s="321"/>
      <c r="B224" s="321"/>
      <c r="C224" s="1610"/>
      <c r="D224" s="438"/>
      <c r="E224" s="439"/>
      <c r="F224" s="440"/>
      <c r="G224" s="441"/>
      <c r="H224" s="442"/>
      <c r="I224" s="443"/>
      <c r="J224" s="441"/>
      <c r="K224" s="883"/>
      <c r="L224" s="443"/>
      <c r="M224" s="445"/>
      <c r="N224" s="446"/>
      <c r="O224" s="321"/>
      <c r="P224" s="321"/>
      <c r="Q224" s="321"/>
      <c r="R224" s="321"/>
      <c r="S224" s="321"/>
      <c r="T224" s="321"/>
      <c r="U224" s="321"/>
    </row>
    <row r="225" spans="1:21" ht="16.5" thickBot="1">
      <c r="A225" s="321"/>
      <c r="B225" s="321"/>
      <c r="C225" s="446"/>
      <c r="D225" s="446"/>
      <c r="E225" s="446"/>
      <c r="F225" s="446"/>
      <c r="G225" s="446"/>
      <c r="H225" s="446"/>
      <c r="I225" s="446"/>
      <c r="J225" s="446"/>
      <c r="K225" s="546"/>
      <c r="L225" s="446"/>
      <c r="M225" s="446"/>
      <c r="N225" s="446"/>
      <c r="O225" s="321"/>
      <c r="P225" s="321"/>
      <c r="Q225" s="321"/>
      <c r="R225" s="321"/>
      <c r="S225" s="321"/>
      <c r="T225" s="321"/>
      <c r="U225" s="321"/>
    </row>
    <row r="226" spans="1:21" ht="16.5" customHeight="1" thickBot="1">
      <c r="A226" s="321"/>
      <c r="B226" s="351"/>
      <c r="C226" s="1608" t="s">
        <v>138</v>
      </c>
      <c r="D226" s="1147"/>
      <c r="E226" s="447"/>
      <c r="F226" s="1148"/>
      <c r="G226" s="1149"/>
      <c r="H226" s="1148"/>
      <c r="I226" s="411"/>
      <c r="J226" s="1150"/>
      <c r="K226" s="546"/>
      <c r="L226" s="446"/>
      <c r="M226" s="446"/>
      <c r="N226" s="538"/>
      <c r="O226" s="321"/>
      <c r="P226" s="321"/>
      <c r="Q226" s="321"/>
      <c r="R226" s="321"/>
      <c r="S226" s="321"/>
      <c r="T226" s="321"/>
      <c r="U226" s="321"/>
    </row>
    <row r="227" spans="1:21">
      <c r="A227" s="321"/>
      <c r="B227" s="351"/>
      <c r="C227" s="1609"/>
      <c r="D227" s="1151"/>
      <c r="E227" s="1611" t="s">
        <v>149</v>
      </c>
      <c r="F227" s="1612"/>
      <c r="G227" s="1153"/>
      <c r="H227" s="1611" t="s">
        <v>236</v>
      </c>
      <c r="I227" s="1612"/>
      <c r="J227" s="1146"/>
      <c r="K227" s="546"/>
      <c r="L227" s="446"/>
      <c r="M227" s="446"/>
      <c r="N227" s="538"/>
      <c r="O227" s="321"/>
      <c r="P227" s="321"/>
      <c r="Q227" s="321"/>
      <c r="R227" s="321"/>
      <c r="S227" s="321"/>
      <c r="T227" s="321"/>
      <c r="U227" s="321"/>
    </row>
    <row r="228" spans="1:21">
      <c r="A228" s="321"/>
      <c r="B228" s="321"/>
      <c r="C228" s="1609"/>
      <c r="D228" s="1151"/>
      <c r="E228" s="1613"/>
      <c r="F228" s="1614"/>
      <c r="G228" s="1153"/>
      <c r="H228" s="1615"/>
      <c r="I228" s="1616"/>
      <c r="J228" s="1146"/>
      <c r="K228" s="546"/>
      <c r="L228" s="446"/>
      <c r="M228" s="446"/>
      <c r="N228" s="446"/>
      <c r="O228" s="321"/>
      <c r="P228" s="321"/>
      <c r="Q228" s="321"/>
      <c r="R228" s="321"/>
      <c r="S228" s="321"/>
      <c r="T228" s="321"/>
      <c r="U228" s="321"/>
    </row>
    <row r="229" spans="1:21">
      <c r="A229" s="321"/>
      <c r="B229" s="360"/>
      <c r="C229" s="1609"/>
      <c r="D229" s="1151"/>
      <c r="E229" s="1613"/>
      <c r="F229" s="1614"/>
      <c r="G229" s="1153"/>
      <c r="H229" s="449" t="s">
        <v>151</v>
      </c>
      <c r="I229" s="450">
        <f>SUM(T:T)</f>
        <v>102</v>
      </c>
      <c r="J229" s="1146"/>
      <c r="K229" s="546"/>
      <c r="L229" s="446"/>
      <c r="M229" s="446"/>
      <c r="N229" s="488"/>
      <c r="O229" s="321"/>
      <c r="P229" s="321"/>
      <c r="Q229" s="321"/>
      <c r="R229" s="321"/>
      <c r="S229" s="321"/>
      <c r="T229" s="321"/>
      <c r="U229" s="321"/>
    </row>
    <row r="230" spans="1:21">
      <c r="A230" s="321"/>
      <c r="B230" s="360"/>
      <c r="C230" s="1609"/>
      <c r="D230" s="1151"/>
      <c r="E230" s="452" t="s">
        <v>152</v>
      </c>
      <c r="F230" s="450">
        <f>COUNTIF(Q:Q,40)</f>
        <v>4</v>
      </c>
      <c r="G230" s="1153"/>
      <c r="H230" s="453" t="s">
        <v>153</v>
      </c>
      <c r="I230" s="450">
        <f>SUMIFS(T:T,Q:Q, 40)</f>
        <v>28</v>
      </c>
      <c r="J230" s="1146"/>
      <c r="K230" s="546"/>
      <c r="L230" s="446"/>
      <c r="M230" s="446"/>
      <c r="N230" s="488"/>
      <c r="O230" s="321"/>
      <c r="P230" s="321"/>
      <c r="Q230" s="321"/>
      <c r="R230" s="321"/>
      <c r="S230" s="321"/>
      <c r="T230" s="321"/>
      <c r="U230" s="321"/>
    </row>
    <row r="231" spans="1:21">
      <c r="A231" s="321"/>
      <c r="B231" s="360"/>
      <c r="C231" s="1609"/>
      <c r="D231" s="1154"/>
      <c r="E231" s="453" t="s">
        <v>154</v>
      </c>
      <c r="F231" s="450">
        <f>COUNTIF(Q:Q,65)</f>
        <v>5</v>
      </c>
      <c r="G231" s="1154"/>
      <c r="H231" s="453" t="s">
        <v>155</v>
      </c>
      <c r="I231" s="450">
        <f>SUMIFS(T:T,Q:Q, 65)</f>
        <v>35</v>
      </c>
      <c r="J231" s="1155"/>
      <c r="K231" s="485"/>
      <c r="L231" s="446"/>
      <c r="M231" s="446"/>
      <c r="N231" s="488"/>
      <c r="O231" s="321"/>
      <c r="P231" s="321"/>
      <c r="Q231" s="321"/>
      <c r="R231" s="321"/>
      <c r="S231" s="321"/>
      <c r="T231" s="321"/>
      <c r="U231" s="321"/>
    </row>
    <row r="232" spans="1:21" ht="16.5" thickBot="1">
      <c r="A232" s="321"/>
      <c r="B232" s="363"/>
      <c r="C232" s="1609"/>
      <c r="D232" s="1154"/>
      <c r="E232" s="455" t="s">
        <v>156</v>
      </c>
      <c r="F232" s="456">
        <f>COUNTIF(Q:Q,64)</f>
        <v>4</v>
      </c>
      <c r="G232" s="1154"/>
      <c r="H232" s="455" t="s">
        <v>157</v>
      </c>
      <c r="I232" s="456">
        <f>SUMIFS(T:T,Q:Q, 64)</f>
        <v>39</v>
      </c>
      <c r="J232" s="1155"/>
      <c r="K232" s="485"/>
      <c r="L232" s="446"/>
      <c r="M232" s="446"/>
      <c r="N232" s="539"/>
      <c r="O232" s="321"/>
      <c r="P232" s="321"/>
      <c r="Q232" s="321"/>
      <c r="R232" s="321"/>
      <c r="S232" s="321"/>
      <c r="T232" s="321"/>
      <c r="U232" s="321"/>
    </row>
    <row r="233" spans="1:21" ht="16.5" thickBot="1">
      <c r="A233" s="321"/>
      <c r="B233" s="360"/>
      <c r="C233" s="1610"/>
      <c r="D233" s="1156"/>
      <c r="E233" s="1156"/>
      <c r="F233" s="1156"/>
      <c r="G233" s="1156"/>
      <c r="H233" s="1156"/>
      <c r="I233" s="1156"/>
      <c r="J233" s="1157"/>
      <c r="K233" s="485"/>
      <c r="L233" s="446"/>
      <c r="M233" s="446"/>
      <c r="N233" s="488"/>
      <c r="O233" s="321"/>
      <c r="P233" s="321"/>
      <c r="Q233" s="321"/>
      <c r="R233" s="321"/>
      <c r="S233" s="321"/>
      <c r="T233" s="321"/>
      <c r="U233" s="321"/>
    </row>
    <row r="234" spans="1:21" ht="16.5" thickBot="1">
      <c r="A234" s="321"/>
      <c r="B234" s="321"/>
      <c r="C234" s="459"/>
      <c r="D234" s="460"/>
      <c r="E234" s="446"/>
      <c r="F234" s="461"/>
      <c r="G234" s="458"/>
      <c r="H234" s="462"/>
      <c r="I234" s="463"/>
      <c r="J234" s="463"/>
      <c r="K234" s="485"/>
      <c r="L234" s="446"/>
      <c r="M234" s="446"/>
      <c r="N234" s="446"/>
      <c r="O234" s="321"/>
      <c r="P234" s="321"/>
      <c r="Q234" s="321"/>
      <c r="R234" s="321"/>
      <c r="S234" s="321"/>
      <c r="T234" s="321"/>
      <c r="U234" s="321"/>
    </row>
    <row r="235" spans="1:21" ht="16.5" customHeight="1" thickBot="1">
      <c r="A235" s="321"/>
      <c r="B235" s="363"/>
      <c r="C235" s="1608" t="s">
        <v>138</v>
      </c>
      <c r="D235" s="1158"/>
      <c r="E235" s="1158"/>
      <c r="F235" s="1158"/>
      <c r="G235" s="1158"/>
      <c r="H235" s="1158"/>
      <c r="I235" s="1158"/>
      <c r="J235" s="1159"/>
      <c r="K235" s="546"/>
      <c r="L235" s="446"/>
      <c r="M235" s="446"/>
      <c r="N235" s="539"/>
      <c r="O235" s="321"/>
      <c r="P235" s="321"/>
      <c r="Q235" s="321"/>
      <c r="R235" s="321"/>
      <c r="S235" s="321"/>
      <c r="T235" s="321"/>
      <c r="U235" s="321"/>
    </row>
    <row r="236" spans="1:21">
      <c r="A236" s="321"/>
      <c r="B236" s="360"/>
      <c r="C236" s="1609"/>
      <c r="D236" s="1154"/>
      <c r="E236" s="1617" t="s">
        <v>237</v>
      </c>
      <c r="F236" s="1618"/>
      <c r="G236" s="1618"/>
      <c r="H236" s="1618"/>
      <c r="I236" s="1619"/>
      <c r="J236" s="1155"/>
      <c r="K236" s="546"/>
      <c r="L236" s="446"/>
      <c r="M236" s="446"/>
      <c r="N236" s="488"/>
      <c r="O236" s="321"/>
      <c r="P236" s="321"/>
      <c r="Q236" s="321"/>
      <c r="R236" s="321"/>
      <c r="S236" s="321"/>
      <c r="T236" s="321"/>
      <c r="U236" s="321"/>
    </row>
    <row r="237" spans="1:21">
      <c r="A237" s="321"/>
      <c r="B237" s="360"/>
      <c r="C237" s="1609"/>
      <c r="D237" s="1154"/>
      <c r="E237" s="464" t="s">
        <v>72</v>
      </c>
      <c r="F237" s="465" t="s">
        <v>159</v>
      </c>
      <c r="G237" s="466" t="s">
        <v>143</v>
      </c>
      <c r="H237" s="466" t="s">
        <v>132</v>
      </c>
      <c r="I237" s="467" t="s">
        <v>134</v>
      </c>
      <c r="J237" s="1155"/>
      <c r="K237" s="546"/>
      <c r="L237" s="446"/>
      <c r="M237" s="446"/>
      <c r="N237" s="488"/>
      <c r="O237" s="321"/>
      <c r="P237" s="321"/>
      <c r="Q237" s="321"/>
      <c r="R237" s="321"/>
      <c r="S237" s="321"/>
      <c r="T237" s="321"/>
      <c r="U237" s="321"/>
    </row>
    <row r="238" spans="1:21">
      <c r="A238" s="321"/>
      <c r="B238" s="321"/>
      <c r="C238" s="1609"/>
      <c r="D238" s="1154"/>
      <c r="E238" s="468" t="s">
        <v>47</v>
      </c>
      <c r="F238" s="1160">
        <f t="shared" ref="F238:F245" si="0">COUNTIFS(I$11:I$216, E238)</f>
        <v>23</v>
      </c>
      <c r="G238" s="1161">
        <f t="shared" ref="G238:G245" si="1">COUNTIFS(G$11:G$216,40,I$11:I$216, E238)</f>
        <v>3</v>
      </c>
      <c r="H238" s="1162">
        <f t="shared" ref="H238:H245" si="2">COUNTIFS(G$11:G$216,65,I$11:I$216, E238)</f>
        <v>15</v>
      </c>
      <c r="I238" s="1163">
        <f t="shared" ref="I238:I245" si="3">COUNTIFS(G$11:G$216,64,I$11:I$216, E238)</f>
        <v>5</v>
      </c>
      <c r="J238" s="1155"/>
      <c r="K238" s="546"/>
      <c r="L238" s="446"/>
      <c r="M238" s="446"/>
      <c r="N238" s="446"/>
      <c r="O238" s="321"/>
      <c r="P238" s="321"/>
      <c r="Q238" s="321"/>
      <c r="R238" s="321"/>
      <c r="S238" s="321"/>
      <c r="T238" s="321"/>
      <c r="U238" s="321"/>
    </row>
    <row r="239" spans="1:21">
      <c r="A239" s="321"/>
      <c r="B239" s="321"/>
      <c r="C239" s="1609"/>
      <c r="D239" s="1154"/>
      <c r="E239" s="469" t="s">
        <v>48</v>
      </c>
      <c r="F239" s="1160">
        <f t="shared" si="0"/>
        <v>1</v>
      </c>
      <c r="G239" s="1161">
        <f t="shared" si="1"/>
        <v>0</v>
      </c>
      <c r="H239" s="1162">
        <f t="shared" si="2"/>
        <v>1</v>
      </c>
      <c r="I239" s="1163">
        <f t="shared" si="3"/>
        <v>0</v>
      </c>
      <c r="J239" s="1155"/>
      <c r="K239" s="546"/>
      <c r="L239" s="446"/>
      <c r="M239" s="446"/>
      <c r="N239" s="446"/>
      <c r="O239" s="321"/>
      <c r="P239" s="321"/>
      <c r="Q239" s="321"/>
      <c r="R239" s="321"/>
      <c r="S239" s="321"/>
      <c r="T239" s="321"/>
      <c r="U239" s="321"/>
    </row>
    <row r="240" spans="1:21">
      <c r="A240" s="321"/>
      <c r="B240" s="321"/>
      <c r="C240" s="1609"/>
      <c r="D240" s="1154"/>
      <c r="E240" s="469" t="s">
        <v>49</v>
      </c>
      <c r="F240" s="1160">
        <f t="shared" si="0"/>
        <v>10</v>
      </c>
      <c r="G240" s="1161">
        <f t="shared" si="1"/>
        <v>4</v>
      </c>
      <c r="H240" s="1162">
        <f t="shared" si="2"/>
        <v>4</v>
      </c>
      <c r="I240" s="1163">
        <f t="shared" si="3"/>
        <v>2</v>
      </c>
      <c r="J240" s="1155"/>
      <c r="K240" s="546"/>
      <c r="L240" s="446"/>
      <c r="M240" s="446"/>
      <c r="N240" s="446"/>
      <c r="O240" s="321"/>
      <c r="P240" s="321"/>
      <c r="Q240" s="321"/>
      <c r="R240" s="321"/>
      <c r="S240" s="321"/>
      <c r="T240" s="321"/>
      <c r="U240" s="321"/>
    </row>
    <row r="241" spans="1:21">
      <c r="A241" s="321"/>
      <c r="B241" s="360"/>
      <c r="C241" s="1609"/>
      <c r="D241" s="1154"/>
      <c r="E241" s="469" t="s">
        <v>50</v>
      </c>
      <c r="F241" s="1160">
        <f t="shared" si="0"/>
        <v>11</v>
      </c>
      <c r="G241" s="1161">
        <f t="shared" si="1"/>
        <v>1</v>
      </c>
      <c r="H241" s="1162">
        <f t="shared" si="2"/>
        <v>4</v>
      </c>
      <c r="I241" s="1163">
        <f t="shared" si="3"/>
        <v>6</v>
      </c>
      <c r="J241" s="1155"/>
      <c r="K241" s="546"/>
      <c r="L241" s="446"/>
      <c r="M241" s="446"/>
      <c r="N241" s="488"/>
      <c r="O241" s="321"/>
      <c r="P241" s="321"/>
      <c r="Q241" s="321"/>
      <c r="R241" s="321"/>
      <c r="S241" s="321"/>
      <c r="T241" s="321"/>
      <c r="U241" s="321"/>
    </row>
    <row r="242" spans="1:21">
      <c r="A242" s="321"/>
      <c r="B242" s="360"/>
      <c r="C242" s="1609"/>
      <c r="D242" s="1154"/>
      <c r="E242" s="469" t="s">
        <v>51</v>
      </c>
      <c r="F242" s="1160">
        <f t="shared" si="0"/>
        <v>57</v>
      </c>
      <c r="G242" s="1161">
        <f t="shared" si="1"/>
        <v>19</v>
      </c>
      <c r="H242" s="1162">
        <f t="shared" si="2"/>
        <v>5</v>
      </c>
      <c r="I242" s="1163">
        <f t="shared" si="3"/>
        <v>33</v>
      </c>
      <c r="J242" s="1155"/>
      <c r="K242" s="546"/>
      <c r="L242" s="446"/>
      <c r="M242" s="446"/>
      <c r="N242" s="488"/>
      <c r="O242" s="321"/>
      <c r="P242" s="321"/>
      <c r="Q242" s="321"/>
      <c r="R242" s="321"/>
      <c r="S242" s="321"/>
      <c r="T242" s="321"/>
      <c r="U242" s="321"/>
    </row>
    <row r="243" spans="1:21">
      <c r="A243" s="321"/>
      <c r="B243" s="360"/>
      <c r="C243" s="1609"/>
      <c r="D243" s="1154"/>
      <c r="E243" s="469" t="s">
        <v>52</v>
      </c>
      <c r="F243" s="1160">
        <f t="shared" si="0"/>
        <v>12</v>
      </c>
      <c r="G243" s="1161">
        <f t="shared" si="1"/>
        <v>8</v>
      </c>
      <c r="H243" s="1162">
        <f t="shared" si="2"/>
        <v>2</v>
      </c>
      <c r="I243" s="1163">
        <f t="shared" si="3"/>
        <v>2</v>
      </c>
      <c r="J243" s="1155"/>
      <c r="K243" s="546"/>
      <c r="L243" s="446"/>
      <c r="M243" s="446"/>
      <c r="N243" s="488"/>
      <c r="O243" s="321"/>
      <c r="P243" s="321"/>
      <c r="Q243" s="321"/>
      <c r="R243" s="321"/>
      <c r="S243" s="321"/>
      <c r="T243" s="321"/>
      <c r="U243" s="321"/>
    </row>
    <row r="244" spans="1:21">
      <c r="A244" s="321"/>
      <c r="B244" s="321"/>
      <c r="C244" s="1609"/>
      <c r="D244" s="1154"/>
      <c r="E244" s="469" t="s">
        <v>53</v>
      </c>
      <c r="F244" s="1160">
        <f t="shared" si="0"/>
        <v>6</v>
      </c>
      <c r="G244" s="1161">
        <f t="shared" si="1"/>
        <v>2</v>
      </c>
      <c r="H244" s="1162">
        <f t="shared" si="2"/>
        <v>0</v>
      </c>
      <c r="I244" s="1163">
        <f t="shared" si="3"/>
        <v>4</v>
      </c>
      <c r="J244" s="1155"/>
      <c r="K244" s="546"/>
      <c r="L244" s="446"/>
      <c r="M244" s="446"/>
      <c r="N244" s="446"/>
      <c r="O244" s="321"/>
      <c r="P244" s="321"/>
      <c r="Q244" s="321"/>
      <c r="R244" s="321"/>
      <c r="S244" s="321"/>
      <c r="T244" s="321"/>
      <c r="U244" s="321"/>
    </row>
    <row r="245" spans="1:21" ht="16.5" thickBot="1">
      <c r="A245" s="321"/>
      <c r="B245" s="360"/>
      <c r="C245" s="1609"/>
      <c r="D245" s="1154"/>
      <c r="E245" s="470" t="s">
        <v>54</v>
      </c>
      <c r="F245" s="1164">
        <f t="shared" si="0"/>
        <v>1</v>
      </c>
      <c r="G245" s="1165">
        <f t="shared" si="1"/>
        <v>0</v>
      </c>
      <c r="H245" s="1166">
        <f t="shared" si="2"/>
        <v>0</v>
      </c>
      <c r="I245" s="1167">
        <f t="shared" si="3"/>
        <v>1</v>
      </c>
      <c r="J245" s="1155"/>
      <c r="K245" s="546"/>
      <c r="L245" s="446"/>
      <c r="M245" s="446"/>
      <c r="N245" s="488"/>
      <c r="O245" s="321"/>
      <c r="P245" s="321"/>
      <c r="Q245" s="321"/>
      <c r="R245" s="321"/>
      <c r="S245" s="321"/>
      <c r="T245" s="321"/>
      <c r="U245" s="321"/>
    </row>
    <row r="246" spans="1:21">
      <c r="A246" s="321"/>
      <c r="B246" s="321"/>
      <c r="C246" s="1609"/>
      <c r="D246" s="1154"/>
      <c r="E246" s="1154"/>
      <c r="F246" s="1154"/>
      <c r="G246" s="1154"/>
      <c r="H246" s="1154"/>
      <c r="I246" s="1154"/>
      <c r="J246" s="1155"/>
      <c r="K246" s="546"/>
      <c r="L246" s="446"/>
      <c r="M246" s="446"/>
      <c r="N246" s="446"/>
      <c r="O246" s="321"/>
      <c r="P246" s="321"/>
      <c r="Q246" s="321"/>
      <c r="R246" s="321"/>
      <c r="S246" s="321"/>
      <c r="T246" s="321"/>
      <c r="U246" s="321"/>
    </row>
    <row r="247" spans="1:21" ht="16.5" thickBot="1">
      <c r="A247" s="321"/>
      <c r="B247" s="360"/>
      <c r="C247" s="1610"/>
      <c r="D247" s="1156"/>
      <c r="E247" s="1156"/>
      <c r="F247" s="1156"/>
      <c r="G247" s="1156"/>
      <c r="H247" s="1156"/>
      <c r="I247" s="1156"/>
      <c r="J247" s="1157"/>
      <c r="K247" s="546"/>
      <c r="L247" s="446"/>
      <c r="M247" s="446"/>
      <c r="N247" s="488"/>
      <c r="O247" s="321"/>
      <c r="P247" s="321"/>
      <c r="Q247" s="321"/>
      <c r="R247" s="321"/>
      <c r="S247" s="321"/>
      <c r="T247" s="321"/>
      <c r="U247" s="321"/>
    </row>
    <row r="248" spans="1:21">
      <c r="A248" s="321"/>
      <c r="B248" s="360"/>
      <c r="C248" s="446"/>
      <c r="D248" s="446"/>
      <c r="E248" s="446"/>
      <c r="F248" s="446"/>
      <c r="G248" s="446"/>
      <c r="H248" s="446"/>
      <c r="I248" s="446"/>
      <c r="J248" s="446"/>
      <c r="K248" s="546"/>
      <c r="L248" s="446"/>
      <c r="M248" s="446"/>
      <c r="N248" s="488"/>
      <c r="O248" s="321"/>
      <c r="P248" s="321"/>
      <c r="Q248" s="321"/>
      <c r="R248" s="321"/>
      <c r="S248" s="321"/>
      <c r="T248" s="321"/>
      <c r="U248" s="321"/>
    </row>
    <row r="249" spans="1:21" ht="16.5" thickBot="1">
      <c r="A249" s="321"/>
      <c r="B249" s="360"/>
      <c r="C249" s="446"/>
      <c r="D249" s="446"/>
      <c r="E249" s="446"/>
      <c r="F249" s="446"/>
      <c r="G249" s="446"/>
      <c r="H249" s="446"/>
      <c r="I249" s="446"/>
      <c r="J249" s="446"/>
      <c r="K249" s="546"/>
      <c r="L249" s="446"/>
      <c r="M249" s="446"/>
      <c r="N249" s="488"/>
      <c r="O249" s="321"/>
      <c r="P249" s="321"/>
      <c r="Q249" s="321"/>
      <c r="R249" s="321"/>
      <c r="S249" s="321"/>
      <c r="T249" s="321"/>
      <c r="U249" s="321"/>
    </row>
    <row r="250" spans="1:21" ht="16.5" customHeight="1" thickBot="1">
      <c r="A250" s="321"/>
      <c r="B250" s="360"/>
      <c r="C250" s="1600" t="s">
        <v>138</v>
      </c>
      <c r="D250" s="471"/>
      <c r="E250" s="472"/>
      <c r="F250" s="472"/>
      <c r="G250" s="472"/>
      <c r="H250" s="472"/>
      <c r="I250" s="472"/>
      <c r="J250" s="472"/>
      <c r="K250" s="884"/>
      <c r="L250" s="472"/>
      <c r="M250" s="472"/>
      <c r="N250" s="473"/>
      <c r="O250" s="321"/>
      <c r="P250" s="321"/>
      <c r="Q250" s="321"/>
      <c r="R250" s="321"/>
      <c r="S250" s="321"/>
      <c r="T250" s="321"/>
      <c r="U250" s="321"/>
    </row>
    <row r="251" spans="1:21">
      <c r="A251" s="321"/>
      <c r="B251" s="360"/>
      <c r="C251" s="1601"/>
      <c r="D251" s="474"/>
      <c r="E251" s="1634" t="s">
        <v>160</v>
      </c>
      <c r="F251" s="1635"/>
      <c r="G251" s="1635"/>
      <c r="H251" s="1635"/>
      <c r="I251" s="1635"/>
      <c r="J251" s="1635"/>
      <c r="K251" s="1635"/>
      <c r="L251" s="1635"/>
      <c r="M251" s="1636"/>
      <c r="N251" s="1168"/>
      <c r="O251" s="321"/>
      <c r="P251" s="321"/>
      <c r="Q251" s="321"/>
      <c r="R251" s="321"/>
      <c r="S251" s="321"/>
      <c r="T251" s="321"/>
      <c r="U251" s="321"/>
    </row>
    <row r="252" spans="1:21">
      <c r="A252" s="321"/>
      <c r="B252" s="360"/>
      <c r="C252" s="1601"/>
      <c r="D252" s="474"/>
      <c r="E252" s="1637"/>
      <c r="F252" s="1638"/>
      <c r="G252" s="1638"/>
      <c r="H252" s="1638"/>
      <c r="I252" s="1638"/>
      <c r="J252" s="1638"/>
      <c r="K252" s="1638"/>
      <c r="L252" s="1638"/>
      <c r="M252" s="1639"/>
      <c r="N252" s="475"/>
      <c r="O252" s="321"/>
      <c r="P252" s="321"/>
      <c r="Q252" s="321"/>
      <c r="R252" s="321"/>
      <c r="S252" s="321"/>
      <c r="T252" s="321"/>
      <c r="U252" s="321"/>
    </row>
    <row r="253" spans="1:21">
      <c r="A253" s="321"/>
      <c r="B253" s="360"/>
      <c r="C253" s="1601"/>
      <c r="D253" s="474"/>
      <c r="E253" s="464" t="s">
        <v>161</v>
      </c>
      <c r="F253" s="1603" t="s">
        <v>159</v>
      </c>
      <c r="G253" s="1604"/>
      <c r="H253" s="1605" t="s">
        <v>143</v>
      </c>
      <c r="I253" s="1606"/>
      <c r="J253" s="1605" t="s">
        <v>162</v>
      </c>
      <c r="K253" s="1606"/>
      <c r="L253" s="1605" t="s">
        <v>163</v>
      </c>
      <c r="M253" s="1607"/>
      <c r="N253" s="475"/>
      <c r="O253" s="321"/>
      <c r="P253" s="321"/>
      <c r="Q253" s="321"/>
      <c r="R253" s="321"/>
      <c r="S253" s="321"/>
      <c r="T253" s="321"/>
      <c r="U253" s="321"/>
    </row>
    <row r="254" spans="1:21">
      <c r="A254" s="321"/>
      <c r="B254" s="321"/>
      <c r="C254" s="1601"/>
      <c r="D254" s="474"/>
      <c r="E254" s="476" t="s">
        <v>47</v>
      </c>
      <c r="F254" s="1169">
        <f>SUM(H254,J254,L254)</f>
        <v>23</v>
      </c>
      <c r="G254" s="1170">
        <f>SUM(I254,K254,M254)</f>
        <v>0</v>
      </c>
      <c r="H254" s="1169">
        <f t="shared" ref="H254:H261" si="4">COUNTIFS(I$1:I$216, E254,J$1:J$216, "Positif",G$1:G$216, 40)</f>
        <v>3</v>
      </c>
      <c r="I254" s="1170">
        <f t="shared" ref="I254:I261" si="5">COUNTIFS(I$1:I$216,E254,J$1:J$216,"Negatif",G$1:G$216,40)+COUNTIFS(I$1:I$216,E254,J$1:J$216,"Négatif",G$1:G$216,40)</f>
        <v>0</v>
      </c>
      <c r="J254" s="1169">
        <f t="shared" ref="J254:J261" si="6">COUNTIFS(I$1:I$216, E254,J$1:J$216, "Positif",G$1:G$216, 65)</f>
        <v>15</v>
      </c>
      <c r="K254" s="1380">
        <f t="shared" ref="K254:K261" si="7">COUNTIFS(I$1:I$216,E254,J$1:J$216,"Negatif",G$1:G$216,65)+COUNTIFS(I$1:I$216,E254,J$1:J$216,"Négatif",G$1:G$216,65)</f>
        <v>0</v>
      </c>
      <c r="L254" s="1169">
        <f t="shared" ref="L254:L261" si="8">COUNTIFS(I$1:I$216, E254,J$1:J$216, "Positif",G$1:G$216,64)</f>
        <v>5</v>
      </c>
      <c r="M254" s="1171">
        <f t="shared" ref="M254:M261" si="9">COUNTIFS(I$1:I$216,E254,J$1:J$216,"Negatif",G$1:G$216,64)+COUNTIFS(I$1:I$216,E254,J$1:J$216,"Négatif",G$1:G$216,64)</f>
        <v>0</v>
      </c>
      <c r="N254" s="475"/>
      <c r="O254" s="321"/>
      <c r="P254" s="321"/>
      <c r="Q254" s="321"/>
      <c r="R254" s="321"/>
      <c r="S254" s="321"/>
      <c r="T254" s="321"/>
      <c r="U254" s="321"/>
    </row>
    <row r="255" spans="1:21">
      <c r="A255" s="321"/>
      <c r="B255" s="321"/>
      <c r="C255" s="1601"/>
      <c r="D255" s="474"/>
      <c r="E255" s="476" t="s">
        <v>48</v>
      </c>
      <c r="F255" s="1169">
        <f t="shared" ref="F255:G261" si="10">SUM(H255,J255,L255)</f>
        <v>1</v>
      </c>
      <c r="G255" s="1170">
        <f t="shared" si="10"/>
        <v>0</v>
      </c>
      <c r="H255" s="1169">
        <f t="shared" si="4"/>
        <v>0</v>
      </c>
      <c r="I255" s="1170">
        <f t="shared" si="5"/>
        <v>0</v>
      </c>
      <c r="J255" s="1169">
        <f t="shared" si="6"/>
        <v>1</v>
      </c>
      <c r="K255" s="1380">
        <f t="shared" si="7"/>
        <v>0</v>
      </c>
      <c r="L255" s="1169">
        <f t="shared" si="8"/>
        <v>0</v>
      </c>
      <c r="M255" s="1171">
        <f t="shared" si="9"/>
        <v>0</v>
      </c>
      <c r="N255" s="475"/>
      <c r="O255" s="321"/>
      <c r="P255" s="321"/>
      <c r="Q255" s="321"/>
      <c r="R255" s="321"/>
      <c r="S255" s="321"/>
      <c r="T255" s="321"/>
      <c r="U255" s="321"/>
    </row>
    <row r="256" spans="1:21">
      <c r="A256" s="321"/>
      <c r="B256" s="321"/>
      <c r="C256" s="1601"/>
      <c r="D256" s="474"/>
      <c r="E256" s="476" t="s">
        <v>49</v>
      </c>
      <c r="F256" s="1169">
        <f t="shared" si="10"/>
        <v>9</v>
      </c>
      <c r="G256" s="1170">
        <f t="shared" si="10"/>
        <v>0</v>
      </c>
      <c r="H256" s="1169">
        <f t="shared" si="4"/>
        <v>3</v>
      </c>
      <c r="I256" s="1170">
        <f t="shared" si="5"/>
        <v>0</v>
      </c>
      <c r="J256" s="1169">
        <f t="shared" si="6"/>
        <v>4</v>
      </c>
      <c r="K256" s="1380">
        <f t="shared" si="7"/>
        <v>0</v>
      </c>
      <c r="L256" s="1169">
        <f t="shared" si="8"/>
        <v>2</v>
      </c>
      <c r="M256" s="1171">
        <f t="shared" si="9"/>
        <v>0</v>
      </c>
      <c r="N256" s="475"/>
      <c r="O256" s="321"/>
      <c r="P256" s="321"/>
      <c r="Q256" s="321"/>
      <c r="R256" s="321"/>
      <c r="S256" s="321"/>
      <c r="T256" s="321"/>
      <c r="U256" s="321"/>
    </row>
    <row r="257" spans="1:21">
      <c r="A257" s="321"/>
      <c r="B257" s="321"/>
      <c r="C257" s="1601"/>
      <c r="D257" s="474"/>
      <c r="E257" s="476" t="s">
        <v>50</v>
      </c>
      <c r="F257" s="1169">
        <f t="shared" si="10"/>
        <v>9</v>
      </c>
      <c r="G257" s="1170">
        <f t="shared" si="10"/>
        <v>0</v>
      </c>
      <c r="H257" s="1169">
        <f t="shared" si="4"/>
        <v>1</v>
      </c>
      <c r="I257" s="1170">
        <f t="shared" si="5"/>
        <v>0</v>
      </c>
      <c r="J257" s="1169">
        <f t="shared" si="6"/>
        <v>3</v>
      </c>
      <c r="K257" s="1380">
        <f t="shared" si="7"/>
        <v>0</v>
      </c>
      <c r="L257" s="1169">
        <f t="shared" si="8"/>
        <v>5</v>
      </c>
      <c r="M257" s="1171">
        <f t="shared" si="9"/>
        <v>0</v>
      </c>
      <c r="N257" s="475"/>
      <c r="O257" s="321"/>
      <c r="P257" s="321"/>
      <c r="Q257" s="321"/>
      <c r="R257" s="321"/>
      <c r="S257" s="321"/>
      <c r="T257" s="321"/>
      <c r="U257" s="321"/>
    </row>
    <row r="258" spans="1:21">
      <c r="A258" s="321"/>
      <c r="B258" s="360"/>
      <c r="C258" s="1601"/>
      <c r="D258" s="474"/>
      <c r="E258" s="476" t="s">
        <v>51</v>
      </c>
      <c r="F258" s="1169">
        <f t="shared" si="10"/>
        <v>55</v>
      </c>
      <c r="G258" s="1170">
        <f t="shared" si="10"/>
        <v>0</v>
      </c>
      <c r="H258" s="1169">
        <f t="shared" si="4"/>
        <v>18</v>
      </c>
      <c r="I258" s="1170">
        <f t="shared" si="5"/>
        <v>0</v>
      </c>
      <c r="J258" s="1169">
        <f t="shared" si="6"/>
        <v>4</v>
      </c>
      <c r="K258" s="1380">
        <f t="shared" si="7"/>
        <v>0</v>
      </c>
      <c r="L258" s="1169">
        <f t="shared" si="8"/>
        <v>33</v>
      </c>
      <c r="M258" s="1171">
        <f t="shared" si="9"/>
        <v>0</v>
      </c>
      <c r="N258" s="475"/>
      <c r="O258" s="321"/>
      <c r="P258" s="321"/>
      <c r="Q258" s="321"/>
      <c r="R258" s="321"/>
      <c r="S258" s="321"/>
      <c r="T258" s="321"/>
      <c r="U258" s="321"/>
    </row>
    <row r="259" spans="1:21">
      <c r="A259" s="321"/>
      <c r="B259" s="360"/>
      <c r="C259" s="1601"/>
      <c r="D259" s="474"/>
      <c r="E259" s="476" t="s">
        <v>52</v>
      </c>
      <c r="F259" s="1169">
        <f t="shared" si="10"/>
        <v>10</v>
      </c>
      <c r="G259" s="1170">
        <f t="shared" si="10"/>
        <v>1</v>
      </c>
      <c r="H259" s="1169">
        <f t="shared" si="4"/>
        <v>7</v>
      </c>
      <c r="I259" s="1170">
        <f t="shared" si="5"/>
        <v>0</v>
      </c>
      <c r="J259" s="1169">
        <f t="shared" si="6"/>
        <v>2</v>
      </c>
      <c r="K259" s="1380">
        <f t="shared" si="7"/>
        <v>0</v>
      </c>
      <c r="L259" s="1169">
        <f t="shared" si="8"/>
        <v>1</v>
      </c>
      <c r="M259" s="1171">
        <f t="shared" si="9"/>
        <v>1</v>
      </c>
      <c r="N259" s="475"/>
      <c r="O259" s="321"/>
      <c r="P259" s="321"/>
      <c r="Q259" s="321"/>
      <c r="R259" s="321"/>
      <c r="S259" s="321"/>
      <c r="T259" s="321"/>
      <c r="U259" s="321"/>
    </row>
    <row r="260" spans="1:21">
      <c r="A260" s="321"/>
      <c r="B260" s="360"/>
      <c r="C260" s="1601"/>
      <c r="D260" s="474"/>
      <c r="E260" s="476" t="s">
        <v>53</v>
      </c>
      <c r="F260" s="1169">
        <f t="shared" si="10"/>
        <v>5</v>
      </c>
      <c r="G260" s="1170">
        <f t="shared" si="10"/>
        <v>1</v>
      </c>
      <c r="H260" s="1169">
        <f t="shared" si="4"/>
        <v>1</v>
      </c>
      <c r="I260" s="1170">
        <f t="shared" si="5"/>
        <v>1</v>
      </c>
      <c r="J260" s="1169">
        <f t="shared" si="6"/>
        <v>0</v>
      </c>
      <c r="K260" s="1380">
        <f t="shared" si="7"/>
        <v>0</v>
      </c>
      <c r="L260" s="1169">
        <f t="shared" si="8"/>
        <v>4</v>
      </c>
      <c r="M260" s="1171">
        <f t="shared" si="9"/>
        <v>0</v>
      </c>
      <c r="N260" s="475"/>
      <c r="O260" s="321"/>
      <c r="P260" s="321"/>
      <c r="Q260" s="321"/>
      <c r="R260" s="321"/>
      <c r="S260" s="321"/>
      <c r="T260" s="321"/>
      <c r="U260" s="321"/>
    </row>
    <row r="261" spans="1:21" ht="16.5" thickBot="1">
      <c r="A261" s="321"/>
      <c r="B261" s="360"/>
      <c r="C261" s="1601"/>
      <c r="D261" s="474"/>
      <c r="E261" s="477" t="s">
        <v>54</v>
      </c>
      <c r="F261" s="1172">
        <f t="shared" si="10"/>
        <v>1</v>
      </c>
      <c r="G261" s="1173">
        <f>SUM(I261,K261,M261)</f>
        <v>0</v>
      </c>
      <c r="H261" s="1172">
        <f t="shared" si="4"/>
        <v>0</v>
      </c>
      <c r="I261" s="1173">
        <f t="shared" si="5"/>
        <v>0</v>
      </c>
      <c r="J261" s="1172">
        <f t="shared" si="6"/>
        <v>0</v>
      </c>
      <c r="K261" s="1381">
        <f t="shared" si="7"/>
        <v>0</v>
      </c>
      <c r="L261" s="1172">
        <f t="shared" si="8"/>
        <v>1</v>
      </c>
      <c r="M261" s="1174">
        <f t="shared" si="9"/>
        <v>0</v>
      </c>
      <c r="N261" s="475"/>
      <c r="O261" s="321"/>
      <c r="P261" s="321"/>
      <c r="Q261" s="321"/>
      <c r="R261" s="321"/>
      <c r="S261" s="321"/>
      <c r="T261" s="321"/>
      <c r="U261" s="321"/>
    </row>
    <row r="262" spans="1:21">
      <c r="A262" s="321"/>
      <c r="B262" s="360"/>
      <c r="C262" s="1601"/>
      <c r="D262" s="474"/>
      <c r="E262" s="478"/>
      <c r="F262" s="479"/>
      <c r="G262" s="479"/>
      <c r="H262" s="479"/>
      <c r="I262" s="479"/>
      <c r="J262" s="480"/>
      <c r="K262" s="544"/>
      <c r="L262" s="480"/>
      <c r="M262" s="480"/>
      <c r="N262" s="475"/>
      <c r="O262" s="321"/>
      <c r="P262" s="321"/>
      <c r="Q262" s="321"/>
      <c r="R262" s="321"/>
      <c r="S262" s="321"/>
      <c r="T262" s="321"/>
      <c r="U262" s="321"/>
    </row>
    <row r="263" spans="1:21" ht="16.5" thickBot="1">
      <c r="A263" s="321"/>
      <c r="B263" s="360"/>
      <c r="C263" s="1602"/>
      <c r="D263" s="481"/>
      <c r="E263" s="482"/>
      <c r="F263" s="482"/>
      <c r="G263" s="482"/>
      <c r="H263" s="482"/>
      <c r="I263" s="482"/>
      <c r="J263" s="482"/>
      <c r="K263" s="885"/>
      <c r="L263" s="482"/>
      <c r="M263" s="482"/>
      <c r="N263" s="483"/>
      <c r="O263" s="321"/>
      <c r="P263" s="321"/>
      <c r="Q263" s="321"/>
      <c r="R263" s="321"/>
      <c r="S263" s="321"/>
      <c r="T263" s="321"/>
      <c r="U263" s="321"/>
    </row>
    <row r="264" spans="1:21">
      <c r="A264" s="321"/>
      <c r="B264" s="321"/>
      <c r="C264" s="322"/>
      <c r="D264" s="323"/>
      <c r="E264" s="324"/>
      <c r="F264" s="321"/>
      <c r="G264" s="325"/>
      <c r="H264" s="321"/>
      <c r="I264" s="321"/>
      <c r="J264" s="322"/>
      <c r="K264" s="392"/>
      <c r="L264" s="360"/>
      <c r="M264" s="392"/>
      <c r="N264" s="321"/>
      <c r="O264" s="321"/>
      <c r="P264" s="321"/>
      <c r="Q264" s="321"/>
      <c r="R264" s="321"/>
      <c r="S264" s="321"/>
      <c r="T264" s="321"/>
      <c r="U264" s="321"/>
    </row>
    <row r="265" spans="1:21">
      <c r="A265" s="321"/>
      <c r="B265" s="321"/>
      <c r="C265" s="322"/>
      <c r="D265" s="323"/>
      <c r="E265" s="324"/>
      <c r="F265" s="321"/>
      <c r="G265" s="325"/>
      <c r="H265" s="321"/>
      <c r="I265" s="321"/>
      <c r="J265" s="322"/>
      <c r="K265" s="392"/>
      <c r="L265" s="360"/>
      <c r="M265" s="392"/>
      <c r="N265" s="321"/>
      <c r="O265" s="321"/>
      <c r="P265" s="321"/>
      <c r="Q265" s="321"/>
      <c r="R265" s="321"/>
      <c r="S265" s="321"/>
      <c r="T265" s="321"/>
      <c r="U265" s="321"/>
    </row>
    <row r="266" spans="1:21">
      <c r="A266" s="321"/>
      <c r="B266" s="321"/>
      <c r="C266" s="322"/>
      <c r="D266" s="323"/>
      <c r="E266" s="324"/>
      <c r="F266" s="321"/>
      <c r="G266" s="325"/>
      <c r="H266" s="321"/>
      <c r="I266" s="321"/>
      <c r="J266" s="322"/>
      <c r="K266" s="392"/>
      <c r="L266" s="360"/>
      <c r="M266" s="392"/>
      <c r="N266" s="321"/>
      <c r="O266" s="321"/>
      <c r="P266" s="321"/>
      <c r="Q266" s="321"/>
      <c r="R266" s="321"/>
      <c r="S266" s="321"/>
      <c r="T266" s="321"/>
      <c r="U266" s="321"/>
    </row>
    <row r="267" spans="1:21">
      <c r="A267" s="321"/>
      <c r="B267" s="321"/>
      <c r="C267" s="322"/>
      <c r="D267" s="323"/>
      <c r="E267" s="324"/>
      <c r="F267" s="321"/>
      <c r="G267" s="325"/>
      <c r="H267" s="321"/>
      <c r="I267" s="321"/>
      <c r="J267" s="322"/>
      <c r="K267" s="392"/>
      <c r="L267" s="360"/>
      <c r="M267" s="392"/>
      <c r="N267" s="321"/>
      <c r="O267" s="321"/>
      <c r="P267" s="321"/>
      <c r="Q267" s="321"/>
      <c r="R267" s="321"/>
      <c r="S267" s="321"/>
      <c r="T267" s="321"/>
      <c r="U267" s="321"/>
    </row>
    <row r="268" spans="1:21">
      <c r="A268" s="321"/>
      <c r="B268" s="321"/>
      <c r="C268" s="322"/>
      <c r="D268" s="323"/>
      <c r="E268" s="324"/>
      <c r="F268" s="321"/>
      <c r="G268" s="325"/>
      <c r="H268" s="321"/>
      <c r="I268" s="321"/>
      <c r="J268" s="322"/>
      <c r="K268" s="392"/>
      <c r="L268" s="360"/>
      <c r="M268" s="392"/>
      <c r="N268" s="321"/>
      <c r="O268" s="321"/>
      <c r="P268" s="321"/>
      <c r="Q268" s="321"/>
      <c r="R268" s="321"/>
      <c r="S268" s="321"/>
      <c r="T268" s="321"/>
      <c r="U268" s="321"/>
    </row>
    <row r="269" spans="1:21">
      <c r="A269" s="321"/>
      <c r="B269" s="321"/>
      <c r="C269" s="322"/>
      <c r="D269" s="323"/>
      <c r="E269" s="324"/>
      <c r="F269" s="321"/>
      <c r="G269" s="325"/>
      <c r="H269" s="321"/>
      <c r="I269" s="321"/>
      <c r="J269" s="322"/>
      <c r="K269" s="392"/>
      <c r="L269" s="360"/>
      <c r="M269" s="392"/>
      <c r="N269" s="321"/>
      <c r="O269" s="321"/>
      <c r="P269" s="321"/>
      <c r="Q269" s="321"/>
      <c r="R269" s="321"/>
      <c r="S269" s="321"/>
      <c r="T269" s="321"/>
      <c r="U269" s="321"/>
    </row>
    <row r="270" spans="1:21">
      <c r="A270" s="321"/>
      <c r="B270" s="321"/>
      <c r="C270" s="322"/>
      <c r="D270" s="323"/>
      <c r="E270" s="324"/>
      <c r="F270" s="321"/>
      <c r="G270" s="325"/>
      <c r="H270" s="321"/>
      <c r="I270" s="321"/>
      <c r="J270" s="322"/>
      <c r="K270" s="392"/>
      <c r="L270" s="360"/>
      <c r="M270" s="392"/>
      <c r="N270" s="321"/>
      <c r="O270" s="321"/>
      <c r="P270" s="321"/>
      <c r="Q270" s="321"/>
      <c r="R270" s="321"/>
      <c r="S270" s="321"/>
      <c r="T270" s="321"/>
      <c r="U270" s="321"/>
    </row>
    <row r="271" spans="1:21">
      <c r="A271" s="321"/>
      <c r="B271" s="321"/>
      <c r="C271" s="322"/>
      <c r="D271" s="323"/>
      <c r="E271" s="324"/>
      <c r="F271" s="321"/>
      <c r="G271" s="325"/>
      <c r="H271" s="321"/>
      <c r="I271" s="321"/>
      <c r="J271" s="322"/>
      <c r="K271" s="392"/>
      <c r="L271" s="360"/>
      <c r="M271" s="392"/>
      <c r="N271" s="321"/>
      <c r="O271" s="321"/>
      <c r="P271" s="321"/>
      <c r="Q271" s="321"/>
      <c r="R271" s="321"/>
      <c r="S271" s="321"/>
      <c r="T271" s="321"/>
      <c r="U271" s="321"/>
    </row>
    <row r="272" spans="1:21">
      <c r="A272" s="321"/>
      <c r="B272" s="321"/>
      <c r="C272" s="322"/>
      <c r="D272" s="323"/>
      <c r="E272" s="324"/>
      <c r="F272" s="321"/>
      <c r="G272" s="325"/>
      <c r="H272" s="321"/>
      <c r="I272" s="321"/>
      <c r="J272" s="322"/>
      <c r="K272" s="392"/>
      <c r="L272" s="360"/>
      <c r="M272" s="392"/>
      <c r="N272" s="321"/>
      <c r="O272" s="321"/>
      <c r="P272" s="321"/>
      <c r="Q272" s="321"/>
      <c r="R272" s="321"/>
      <c r="S272" s="321"/>
      <c r="T272" s="321"/>
      <c r="U272" s="321"/>
    </row>
    <row r="273" spans="1:21">
      <c r="A273" s="321"/>
      <c r="B273" s="321"/>
      <c r="C273" s="322"/>
      <c r="D273" s="323"/>
      <c r="E273" s="324"/>
      <c r="F273" s="321"/>
      <c r="G273" s="325"/>
      <c r="H273" s="321"/>
      <c r="I273" s="321"/>
      <c r="J273" s="322"/>
      <c r="K273" s="392"/>
      <c r="L273" s="360"/>
      <c r="M273" s="392"/>
      <c r="N273" s="321"/>
      <c r="O273" s="321"/>
      <c r="P273" s="321"/>
      <c r="Q273" s="321"/>
      <c r="R273" s="321"/>
      <c r="S273" s="321"/>
      <c r="T273" s="321"/>
      <c r="U273" s="321"/>
    </row>
    <row r="274" spans="1:21">
      <c r="A274" s="321"/>
      <c r="B274" s="321"/>
      <c r="C274" s="322"/>
      <c r="D274" s="323"/>
      <c r="E274" s="324"/>
      <c r="F274" s="321"/>
      <c r="G274" s="325"/>
      <c r="H274" s="321"/>
      <c r="I274" s="321"/>
      <c r="J274" s="322"/>
      <c r="K274" s="392"/>
      <c r="L274" s="360"/>
      <c r="M274" s="392"/>
      <c r="N274" s="321"/>
      <c r="O274" s="321"/>
      <c r="P274" s="321"/>
      <c r="Q274" s="321"/>
      <c r="R274" s="321"/>
      <c r="S274" s="321"/>
      <c r="T274" s="321"/>
      <c r="U274" s="321"/>
    </row>
    <row r="275" spans="1:21">
      <c r="A275" s="321"/>
      <c r="B275" s="321"/>
      <c r="C275" s="322"/>
      <c r="D275" s="323"/>
      <c r="E275" s="324"/>
      <c r="F275" s="321"/>
      <c r="G275" s="325"/>
      <c r="H275" s="321"/>
      <c r="I275" s="321"/>
      <c r="J275" s="322"/>
      <c r="K275" s="392"/>
      <c r="L275" s="360"/>
      <c r="M275" s="392"/>
      <c r="N275" s="321"/>
      <c r="O275" s="321"/>
      <c r="P275" s="321"/>
      <c r="Q275" s="321"/>
      <c r="R275" s="321"/>
      <c r="S275" s="321"/>
      <c r="T275" s="321"/>
      <c r="U275" s="321"/>
    </row>
    <row r="276" spans="1:21">
      <c r="A276" s="321"/>
      <c r="B276" s="321"/>
      <c r="C276" s="322"/>
      <c r="D276" s="323"/>
      <c r="E276" s="324"/>
      <c r="F276" s="321"/>
      <c r="G276" s="325"/>
      <c r="H276" s="321"/>
      <c r="I276" s="321"/>
      <c r="J276" s="322"/>
      <c r="K276" s="392"/>
      <c r="L276" s="360"/>
      <c r="M276" s="392"/>
      <c r="N276" s="321"/>
      <c r="O276" s="321"/>
      <c r="P276" s="321"/>
      <c r="Q276" s="321"/>
      <c r="R276" s="321"/>
      <c r="S276" s="321"/>
      <c r="T276" s="321"/>
      <c r="U276" s="321"/>
    </row>
    <row r="277" spans="1:21">
      <c r="A277" s="321"/>
      <c r="B277" s="321"/>
      <c r="C277" s="322"/>
      <c r="D277" s="323"/>
      <c r="E277" s="324"/>
      <c r="F277" s="321"/>
      <c r="G277" s="325"/>
      <c r="H277" s="321"/>
      <c r="I277" s="321"/>
      <c r="J277" s="322"/>
      <c r="K277" s="392"/>
      <c r="L277" s="360"/>
      <c r="M277" s="392"/>
      <c r="N277" s="321"/>
      <c r="O277" s="321"/>
      <c r="P277" s="321"/>
      <c r="Q277" s="321"/>
      <c r="R277" s="321"/>
      <c r="S277" s="321"/>
      <c r="T277" s="321"/>
      <c r="U277" s="321"/>
    </row>
    <row r="278" spans="1:21">
      <c r="A278" s="321"/>
      <c r="B278" s="321"/>
      <c r="C278" s="322"/>
      <c r="D278" s="323"/>
      <c r="E278" s="324"/>
      <c r="F278" s="321"/>
      <c r="G278" s="325"/>
      <c r="H278" s="321"/>
      <c r="I278" s="321"/>
      <c r="J278" s="322"/>
      <c r="K278" s="392"/>
      <c r="L278" s="360"/>
      <c r="M278" s="392"/>
      <c r="N278" s="321"/>
      <c r="O278" s="321"/>
      <c r="P278" s="321"/>
      <c r="Q278" s="321"/>
      <c r="R278" s="321"/>
      <c r="S278" s="321"/>
      <c r="T278" s="321"/>
      <c r="U278" s="321"/>
    </row>
    <row r="279" spans="1:21">
      <c r="A279" s="321"/>
      <c r="B279" s="321"/>
      <c r="C279" s="322"/>
      <c r="D279" s="323"/>
      <c r="E279" s="324"/>
      <c r="F279" s="321"/>
      <c r="G279" s="325"/>
      <c r="H279" s="321"/>
      <c r="I279" s="321"/>
      <c r="J279" s="322"/>
      <c r="K279" s="392"/>
      <c r="L279" s="360"/>
      <c r="M279" s="392"/>
      <c r="N279" s="321"/>
      <c r="O279" s="321"/>
      <c r="P279" s="321"/>
      <c r="Q279" s="321"/>
      <c r="R279" s="321"/>
      <c r="S279" s="321"/>
      <c r="T279" s="321"/>
      <c r="U279" s="321"/>
    </row>
    <row r="280" spans="1:21">
      <c r="A280" s="321"/>
      <c r="B280" s="321"/>
      <c r="C280" s="322"/>
      <c r="D280" s="323"/>
      <c r="E280" s="324"/>
      <c r="F280" s="321"/>
      <c r="G280" s="325"/>
      <c r="H280" s="321"/>
      <c r="I280" s="321"/>
      <c r="J280" s="322"/>
      <c r="K280" s="392"/>
      <c r="L280" s="360"/>
      <c r="M280" s="392"/>
      <c r="N280" s="321"/>
      <c r="O280" s="321"/>
      <c r="P280" s="321"/>
      <c r="Q280" s="321"/>
      <c r="R280" s="321"/>
      <c r="S280" s="321"/>
      <c r="T280" s="321"/>
      <c r="U280" s="321"/>
    </row>
    <row r="281" spans="1:21">
      <c r="A281" s="321"/>
      <c r="B281" s="321"/>
      <c r="C281" s="322"/>
      <c r="D281" s="323"/>
      <c r="E281" s="324"/>
      <c r="F281" s="321"/>
      <c r="G281" s="325"/>
      <c r="H281" s="321"/>
      <c r="I281" s="321"/>
      <c r="J281" s="322"/>
      <c r="K281" s="392"/>
      <c r="L281" s="360"/>
      <c r="M281" s="392"/>
      <c r="N281" s="321"/>
      <c r="O281" s="321"/>
      <c r="P281" s="321"/>
      <c r="Q281" s="321"/>
      <c r="R281" s="321"/>
      <c r="S281" s="321"/>
      <c r="T281" s="321"/>
      <c r="U281" s="321"/>
    </row>
    <row r="282" spans="1:21">
      <c r="A282" s="321"/>
      <c r="B282" s="321"/>
      <c r="C282" s="322"/>
      <c r="D282" s="323"/>
      <c r="E282" s="324"/>
      <c r="F282" s="321"/>
      <c r="G282" s="325"/>
      <c r="H282" s="321"/>
      <c r="I282" s="321"/>
      <c r="J282" s="322"/>
      <c r="K282" s="392"/>
      <c r="L282" s="360"/>
      <c r="M282" s="392"/>
      <c r="N282" s="321"/>
      <c r="O282" s="321"/>
      <c r="P282" s="321"/>
      <c r="Q282" s="321"/>
      <c r="R282" s="321"/>
      <c r="S282" s="321"/>
      <c r="T282" s="321"/>
      <c r="U282" s="321"/>
    </row>
    <row r="283" spans="1:21">
      <c r="A283" s="321"/>
      <c r="B283" s="321"/>
      <c r="C283" s="322"/>
      <c r="D283" s="323"/>
      <c r="E283" s="324"/>
      <c r="F283" s="321"/>
      <c r="G283" s="325"/>
      <c r="H283" s="321"/>
      <c r="I283" s="321"/>
      <c r="J283" s="322"/>
      <c r="K283" s="392"/>
      <c r="L283" s="360"/>
      <c r="M283" s="392"/>
      <c r="N283" s="321"/>
      <c r="O283" s="321"/>
      <c r="P283" s="321"/>
      <c r="Q283" s="321"/>
      <c r="R283" s="321"/>
      <c r="S283" s="321"/>
      <c r="T283" s="321"/>
      <c r="U283" s="321"/>
    </row>
    <row r="284" spans="1:21">
      <c r="A284" s="321"/>
      <c r="B284" s="321"/>
      <c r="C284" s="322"/>
      <c r="D284" s="323"/>
      <c r="E284" s="324"/>
      <c r="F284" s="321"/>
      <c r="G284" s="325"/>
      <c r="H284" s="321"/>
      <c r="I284" s="321"/>
      <c r="J284" s="322"/>
      <c r="K284" s="392"/>
      <c r="L284" s="360"/>
      <c r="M284" s="392"/>
      <c r="N284" s="321"/>
      <c r="O284" s="321"/>
      <c r="P284" s="321"/>
      <c r="Q284" s="321"/>
      <c r="R284" s="321"/>
      <c r="S284" s="321"/>
      <c r="T284" s="321"/>
      <c r="U284" s="321"/>
    </row>
    <row r="285" spans="1:21">
      <c r="A285" s="321"/>
      <c r="B285" s="321"/>
      <c r="C285" s="322"/>
      <c r="D285" s="323"/>
      <c r="E285" s="324"/>
      <c r="F285" s="321"/>
      <c r="G285" s="325"/>
      <c r="H285" s="321"/>
      <c r="I285" s="321"/>
      <c r="J285" s="322"/>
      <c r="K285" s="392"/>
      <c r="L285" s="360"/>
      <c r="M285" s="392"/>
      <c r="N285" s="321"/>
      <c r="O285" s="321"/>
      <c r="P285" s="321"/>
      <c r="Q285" s="321"/>
      <c r="R285" s="321"/>
      <c r="S285" s="321"/>
      <c r="T285" s="321"/>
      <c r="U285" s="321"/>
    </row>
    <row r="286" spans="1:21">
      <c r="Q286" s="321"/>
      <c r="R286" s="321"/>
      <c r="S286" s="321"/>
      <c r="T286" s="321"/>
      <c r="U286" s="321"/>
    </row>
    <row r="287" spans="1:21">
      <c r="Q287" s="321"/>
      <c r="R287" s="321"/>
      <c r="S287" s="321"/>
      <c r="T287" s="321"/>
      <c r="U287" s="321"/>
    </row>
    <row r="288" spans="1:21">
      <c r="Q288" s="321"/>
      <c r="R288" s="321"/>
      <c r="S288" s="321"/>
      <c r="T288" s="321"/>
      <c r="U288" s="321"/>
    </row>
    <row r="289" spans="17:21">
      <c r="Q289" s="321"/>
      <c r="R289" s="321"/>
      <c r="S289" s="321"/>
      <c r="T289" s="321"/>
      <c r="U289" s="321"/>
    </row>
    <row r="290" spans="17:21">
      <c r="Q290" s="321"/>
      <c r="R290" s="321"/>
      <c r="S290" s="321"/>
      <c r="T290" s="321"/>
      <c r="U290" s="321"/>
    </row>
  </sheetData>
  <sheetProtection formatColumns="0" formatRows="0" insertRows="0" insertHyperlinks="0"/>
  <autoFilter ref="C10:K151" xr:uid="{00000000-0009-0000-0000-00000D000000}"/>
  <mergeCells count="22">
    <mergeCell ref="J60:J61"/>
    <mergeCell ref="B2:L4"/>
    <mergeCell ref="C217:C224"/>
    <mergeCell ref="C8:K9"/>
    <mergeCell ref="M8:T9"/>
    <mergeCell ref="C113:C115"/>
    <mergeCell ref="C216:M216"/>
    <mergeCell ref="J113:J115"/>
    <mergeCell ref="J118:J119"/>
    <mergeCell ref="C118:C119"/>
    <mergeCell ref="J62:J63"/>
    <mergeCell ref="C250:C263"/>
    <mergeCell ref="E251:M252"/>
    <mergeCell ref="F253:G253"/>
    <mergeCell ref="H253:I253"/>
    <mergeCell ref="J253:K253"/>
    <mergeCell ref="L253:M253"/>
    <mergeCell ref="C235:C247"/>
    <mergeCell ref="E236:I236"/>
    <mergeCell ref="C226:C233"/>
    <mergeCell ref="E227:F229"/>
    <mergeCell ref="H227:I228"/>
  </mergeCells>
  <conditionalFormatting sqref="K217 J15">
    <cfRule type="cellIs" dxfId="285" priority="503" operator="equal">
      <formula>"Positif"</formula>
    </cfRule>
    <cfRule type="cellIs" dxfId="284" priority="504" operator="equal">
      <formula>"Negatif"</formula>
    </cfRule>
  </conditionalFormatting>
  <conditionalFormatting sqref="J15">
    <cfRule type="cellIs" dxfId="283" priority="502" operator="equal">
      <formula>"négatif"</formula>
    </cfRule>
  </conditionalFormatting>
  <conditionalFormatting sqref="J1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2" priority="500" operator="equal">
      <formula>"Negatif"</formula>
    </cfRule>
    <cfRule type="colorScale" priority="501">
      <colorScale>
        <cfvo type="min"/>
        <cfvo type="max"/>
        <color rgb="FFFF7128"/>
        <color rgb="FFFFEF9C"/>
      </colorScale>
    </cfRule>
  </conditionalFormatting>
  <conditionalFormatting sqref="J15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1" priority="497" operator="equal">
      <formula>"Negatif"</formula>
    </cfRule>
    <cfRule type="colorScale" priority="498">
      <colorScale>
        <cfvo type="min"/>
        <cfvo type="max"/>
        <color rgb="FFFF7128"/>
        <color rgb="FFFFEF9C"/>
      </colorScale>
    </cfRule>
  </conditionalFormatting>
  <conditionalFormatting sqref="J1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0" priority="494" operator="equal">
      <formula>"Negatif"</formula>
    </cfRule>
    <cfRule type="colorScale" priority="495">
      <colorScale>
        <cfvo type="min"/>
        <cfvo type="max"/>
        <color rgb="FFFF7128"/>
        <color rgb="FFFFEF9C"/>
      </colorScale>
    </cfRule>
  </conditionalFormatting>
  <conditionalFormatting sqref="J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9" priority="20" operator="equal">
      <formula>"Negatif"</formula>
    </cfRule>
    <cfRule type="colorScale" priority="21">
      <colorScale>
        <cfvo type="min"/>
        <cfvo type="max"/>
        <color rgb="FFFF7128"/>
        <color rgb="FFFFEF9C"/>
      </colorScale>
    </cfRule>
  </conditionalFormatting>
  <conditionalFormatting sqref="J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8" priority="17" operator="equal">
      <formula>"Negatif"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J51">
    <cfRule type="cellIs" dxfId="277" priority="26" operator="equal">
      <formula>"Positif"</formula>
    </cfRule>
    <cfRule type="cellIs" dxfId="276" priority="27" operator="equal">
      <formula>"Negatif"</formula>
    </cfRule>
  </conditionalFormatting>
  <conditionalFormatting sqref="J51">
    <cfRule type="cellIs" dxfId="275" priority="25" operator="equal">
      <formula>"négatif"</formula>
    </cfRule>
  </conditionalFormatting>
  <conditionalFormatting sqref="J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4" priority="29" operator="equal">
      <formula>"Negatif"</formula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J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3" priority="32" operator="equal">
      <formula>"Negatif"</formula>
    </cfRule>
    <cfRule type="colorScale" priority="33">
      <colorScale>
        <cfvo type="min"/>
        <cfvo type="max"/>
        <color rgb="FFFF7128"/>
        <color rgb="FFFFEF9C"/>
      </colorScale>
    </cfRule>
  </conditionalFormatting>
  <conditionalFormatting sqref="J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2" priority="35" operator="equal">
      <formula>"Negatif"</formula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J55">
    <cfRule type="cellIs" dxfId="271" priority="14" operator="equal">
      <formula>"Positif"</formula>
    </cfRule>
    <cfRule type="cellIs" dxfId="270" priority="15" operator="equal">
      <formula>"Negatif"</formula>
    </cfRule>
  </conditionalFormatting>
  <conditionalFormatting sqref="J55">
    <cfRule type="cellIs" dxfId="269" priority="13" operator="equal">
      <formula>"négatif"</formula>
    </cfRule>
  </conditionalFormatting>
  <conditionalFormatting sqref="J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8" priority="23" operator="equal">
      <formula>"Negatif"</formula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J141">
    <cfRule type="cellIs" dxfId="267" priority="2" operator="equal">
      <formula>"Positif"</formula>
    </cfRule>
    <cfRule type="cellIs" dxfId="266" priority="3" operator="equal">
      <formula>"Negatif"</formula>
    </cfRule>
  </conditionalFormatting>
  <conditionalFormatting sqref="J141">
    <cfRule type="cellIs" dxfId="265" priority="1" operator="equal">
      <formula>"négatif"</formula>
    </cfRule>
  </conditionalFormatting>
  <conditionalFormatting sqref="J1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4" priority="5" operator="equal">
      <formula>"Negatif"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1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3" priority="8" operator="equal">
      <formula>"Negatif"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J1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2" priority="11" operator="equal">
      <formula>"Negatif"</formula>
    </cfRule>
    <cfRule type="colorScale" priority="12">
      <colorScale>
        <cfvo type="min"/>
        <cfvo type="max"/>
        <color rgb="FFFF7128"/>
        <color rgb="FFFFEF9C"/>
      </colorScale>
    </cfRule>
  </conditionalFormatting>
  <dataValidations count="5">
    <dataValidation type="list" allowBlank="1" showInputMessage="1" showErrorMessage="1" sqref="I75:I76 I78 I11:I44 I46:I69 I80:I103 I107:I147" xr:uid="{00000000-0002-0000-0D00-000000000000}">
      <formula1>$E$238:$E$245</formula1>
    </dataValidation>
    <dataValidation type="list" allowBlank="1" showInputMessage="1" showErrorMessage="1" sqref="I45" xr:uid="{00000000-0002-0000-0D00-000001000000}">
      <formula1>$E$239:$E$246</formula1>
    </dataValidation>
    <dataValidation type="list" allowBlank="1" showInputMessage="1" showErrorMessage="1" sqref="F78 F11:F69 F80:F103 F107:F148" xr:uid="{00000000-0002-0000-0D00-000002000000}">
      <formula1>Type</formula1>
    </dataValidation>
    <dataValidation type="list" allowBlank="1" showInputMessage="1" showErrorMessage="1" sqref="H116:H148 H11:H103 H107:H112" xr:uid="{00000000-0002-0000-0D00-000003000000}">
      <formula1>INDIRECT(F11)</formula1>
    </dataValidation>
    <dataValidation type="list" allowBlank="1" showInputMessage="1" showErrorMessage="1" sqref="H114:H115" xr:uid="{00000000-0002-0000-0D00-000004000000}">
      <formula1>INDIRECT(F113)</formula1>
    </dataValidation>
  </dataValidations>
  <hyperlinks>
    <hyperlink ref="K11" r:id="rId1" xr:uid="{00000000-0004-0000-0D00-000000000000}"/>
    <hyperlink ref="K17" r:id="rId2" xr:uid="{00000000-0004-0000-0D00-000001000000}"/>
    <hyperlink ref="K18" r:id="rId3" xr:uid="{00000000-0004-0000-0D00-000002000000}"/>
    <hyperlink ref="K20" r:id="rId4" xr:uid="{00000000-0004-0000-0D00-000003000000}"/>
    <hyperlink ref="K19" r:id="rId5" xr:uid="{00000000-0004-0000-0D00-000004000000}"/>
    <hyperlink ref="K21" r:id="rId6" xr:uid="{00000000-0004-0000-0D00-000005000000}"/>
    <hyperlink ref="K22" r:id="rId7" xr:uid="{00000000-0004-0000-0D00-000006000000}"/>
    <hyperlink ref="K24" r:id="rId8" xr:uid="{00000000-0004-0000-0D00-000007000000}"/>
    <hyperlink ref="K25" r:id="rId9" xr:uid="{00000000-0004-0000-0D00-000008000000}"/>
    <hyperlink ref="K26" r:id="rId10" xr:uid="{00000000-0004-0000-0D00-000009000000}"/>
    <hyperlink ref="K27" r:id="rId11" xr:uid="{00000000-0004-0000-0D00-00000A000000}"/>
    <hyperlink ref="K28" r:id="rId12" xr:uid="{00000000-0004-0000-0D00-00000B000000}"/>
    <hyperlink ref="K29" r:id="rId13" xr:uid="{00000000-0004-0000-0D00-00000C000000}"/>
    <hyperlink ref="K32" r:id="rId14" display="LIEN" xr:uid="{00000000-0004-0000-0D00-00000D000000}"/>
    <hyperlink ref="K33" r:id="rId15" xr:uid="{00000000-0004-0000-0D00-00000E000000}"/>
    <hyperlink ref="K35" r:id="rId16" xr:uid="{00000000-0004-0000-0D00-00000F000000}"/>
    <hyperlink ref="K34" r:id="rId17" xr:uid="{00000000-0004-0000-0D00-000010000000}"/>
    <hyperlink ref="K37" r:id="rId18" xr:uid="{00000000-0004-0000-0D00-000011000000}"/>
    <hyperlink ref="K38" r:id="rId19" xr:uid="{00000000-0004-0000-0D00-000012000000}"/>
    <hyperlink ref="K39" r:id="rId20" xr:uid="{00000000-0004-0000-0D00-000013000000}"/>
    <hyperlink ref="K40" r:id="rId21" xr:uid="{00000000-0004-0000-0D00-000014000000}"/>
    <hyperlink ref="K42" r:id="rId22" xr:uid="{00000000-0004-0000-0D00-000015000000}"/>
    <hyperlink ref="K12" r:id="rId23" display="LIEN" xr:uid="{00000000-0004-0000-0D00-000016000000}"/>
    <hyperlink ref="K13" r:id="rId24" display="LIEN" xr:uid="{00000000-0004-0000-0D00-000017000000}"/>
    <hyperlink ref="K14" r:id="rId25" display="LIEN" xr:uid="{00000000-0004-0000-0D00-000018000000}"/>
    <hyperlink ref="K23" r:id="rId26" display="LIEN" xr:uid="{00000000-0004-0000-0D00-000019000000}"/>
    <hyperlink ref="K36" r:id="rId27" display="LIEN" xr:uid="{00000000-0004-0000-0D00-00001A000000}"/>
    <hyperlink ref="K43" r:id="rId28" xr:uid="{00000000-0004-0000-0D00-00001B000000}"/>
    <hyperlink ref="K44" r:id="rId29" xr:uid="{00000000-0004-0000-0D00-00001C000000}"/>
    <hyperlink ref="K45" r:id="rId30" xr:uid="{00000000-0004-0000-0D00-00001D000000}"/>
    <hyperlink ref="K46" r:id="rId31" xr:uid="{00000000-0004-0000-0D00-00001E000000}"/>
    <hyperlink ref="K47" r:id="rId32" xr:uid="{00000000-0004-0000-0D00-00001F000000}"/>
    <hyperlink ref="K48" r:id="rId33" xr:uid="{00000000-0004-0000-0D00-000020000000}"/>
    <hyperlink ref="K52" r:id="rId34" xr:uid="{00000000-0004-0000-0D00-000021000000}"/>
    <hyperlink ref="K53" r:id="rId35" xr:uid="{00000000-0004-0000-0D00-000022000000}"/>
    <hyperlink ref="K54" r:id="rId36" xr:uid="{00000000-0004-0000-0D00-000023000000}"/>
    <hyperlink ref="K56" r:id="rId37" xr:uid="{00000000-0004-0000-0D00-000024000000}"/>
    <hyperlink ref="K41" r:id="rId38" xr:uid="{00000000-0004-0000-0D00-000025000000}"/>
    <hyperlink ref="K49" r:id="rId39" xr:uid="{00000000-0004-0000-0D00-000026000000}"/>
    <hyperlink ref="K50" r:id="rId40" xr:uid="{00000000-0004-0000-0D00-000027000000}"/>
    <hyperlink ref="K57" r:id="rId41" xr:uid="{00000000-0004-0000-0D00-000028000000}"/>
    <hyperlink ref="K30" r:id="rId42" xr:uid="{00000000-0004-0000-0D00-000029000000}"/>
    <hyperlink ref="K58:K129" r:id="rId43" display="PDF" xr:uid="{00000000-0004-0000-0D00-00002A000000}"/>
    <hyperlink ref="K133" r:id="rId44" xr:uid="{00000000-0004-0000-0D00-00002B000000}"/>
    <hyperlink ref="K134" r:id="rId45" xr:uid="{00000000-0004-0000-0D00-00002C000000}"/>
    <hyperlink ref="K131" r:id="rId46" xr:uid="{00000000-0004-0000-0D00-00002D000000}"/>
    <hyperlink ref="K132" r:id="rId47" xr:uid="{00000000-0004-0000-0D00-00002E000000}"/>
    <hyperlink ref="K135" r:id="rId48" xr:uid="{00000000-0004-0000-0D00-00002F000000}"/>
    <hyperlink ref="K136" r:id="rId49" xr:uid="{00000000-0004-0000-0D00-000030000000}"/>
    <hyperlink ref="K130" r:id="rId50" xr:uid="{00000000-0004-0000-0D00-000031000000}"/>
    <hyperlink ref="K137" r:id="rId51" xr:uid="{00000000-0004-0000-0D00-000032000000}"/>
    <hyperlink ref="K140" r:id="rId52" xr:uid="{00000000-0004-0000-0D00-000033000000}"/>
    <hyperlink ref="K141" r:id="rId53" xr:uid="{00000000-0004-0000-0D00-000034000000}"/>
    <hyperlink ref="K142" r:id="rId54" xr:uid="{00000000-0004-0000-0D00-000035000000}"/>
    <hyperlink ref="K143" r:id="rId55" xr:uid="{00000000-0004-0000-0D00-000036000000}"/>
    <hyperlink ref="K144" r:id="rId56" xr:uid="{00000000-0004-0000-0D00-000037000000}"/>
    <hyperlink ref="K145" r:id="rId57" xr:uid="{00000000-0004-0000-0D00-000038000000}"/>
    <hyperlink ref="K146" r:id="rId58" xr:uid="{00000000-0004-0000-0D00-000039000000}"/>
    <hyperlink ref="K139" r:id="rId59" xr:uid="{00000000-0004-0000-0D00-00003A000000}"/>
    <hyperlink ref="K138" r:id="rId60" xr:uid="{00000000-0004-0000-0D00-00003B000000}"/>
    <hyperlink ref="S12" r:id="rId61" xr:uid="{00000000-0004-0000-0D00-00003C000000}"/>
    <hyperlink ref="S11" r:id="rId62" xr:uid="{00000000-0004-0000-0D00-00003D000000}"/>
    <hyperlink ref="K15" r:id="rId63" xr:uid="{00000000-0004-0000-0D00-00003E000000}"/>
    <hyperlink ref="K16" r:id="rId64" display="LIEN" xr:uid="{00000000-0004-0000-0D00-00003F000000}"/>
    <hyperlink ref="K31" r:id="rId65" display="LIEN" xr:uid="{00000000-0004-0000-0D00-000040000000}"/>
  </hyperlinks>
  <pageMargins left="0.7" right="0.7" top="0.75" bottom="0.75" header="0.3" footer="0.3"/>
  <pageSetup paperSize="9" orientation="portrait" r:id="rId6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/>
  <dimension ref="A1:AI214"/>
  <sheetViews>
    <sheetView topLeftCell="J10" zoomScale="90" zoomScaleNormal="90" workbookViewId="0">
      <selection activeCell="E29" sqref="E29"/>
    </sheetView>
  </sheetViews>
  <sheetFormatPr defaultColWidth="11" defaultRowHeight="15.75"/>
  <cols>
    <col min="1" max="1" width="4.25" style="329" customWidth="1"/>
    <col min="2" max="2" width="2.625" style="329" customWidth="1"/>
    <col min="3" max="3" width="13.625" style="400" customWidth="1"/>
    <col min="4" max="4" width="9.5" style="401" customWidth="1"/>
    <col min="5" max="5" width="69.25" style="402" customWidth="1"/>
    <col min="6" max="6" width="7.5" style="329" customWidth="1"/>
    <col min="7" max="7" width="7" style="403" customWidth="1"/>
    <col min="8" max="8" width="24.75" style="329" customWidth="1"/>
    <col min="9" max="9" width="24" style="400" customWidth="1"/>
    <col min="10" max="10" width="11.5" style="400" customWidth="1"/>
    <col min="11" max="11" width="11.25" style="329" customWidth="1"/>
    <col min="12" max="12" width="6.125" style="362" customWidth="1"/>
    <col min="13" max="13" width="16.625" style="404" customWidth="1"/>
    <col min="14" max="14" width="7.5" style="329" customWidth="1"/>
    <col min="15" max="15" width="55.5" style="329" customWidth="1"/>
    <col min="16" max="16" width="7.75" style="329" customWidth="1"/>
    <col min="17" max="17" width="11" style="329"/>
    <col min="18" max="19" width="11.625" style="329" customWidth="1"/>
    <col min="20" max="20" width="14.25" style="329" customWidth="1"/>
    <col min="21" max="22" width="11" style="329"/>
    <col min="23" max="23" width="11" style="321"/>
    <col min="24" max="24" width="37.125" style="321" customWidth="1"/>
    <col min="25" max="25" width="9.75" style="321" customWidth="1"/>
    <col min="26" max="26" width="24.125" style="321" customWidth="1"/>
    <col min="27" max="27" width="13" style="321" customWidth="1"/>
    <col min="28" max="28" width="16.125" style="321" customWidth="1"/>
    <col min="29" max="29" width="14.625" style="321" customWidth="1"/>
    <col min="30" max="30" width="15.75" style="321" customWidth="1"/>
    <col min="31" max="35" width="11" style="321"/>
    <col min="36" max="16384" width="11" style="329"/>
  </cols>
  <sheetData>
    <row r="1" spans="1:35" ht="16.5" thickBot="1">
      <c r="A1" s="321"/>
      <c r="B1" s="321"/>
      <c r="C1" s="322"/>
      <c r="D1" s="323"/>
      <c r="E1" s="324"/>
      <c r="F1" s="321"/>
      <c r="G1" s="325"/>
      <c r="H1" s="321"/>
      <c r="I1" s="322"/>
      <c r="J1" s="322"/>
      <c r="K1" s="326"/>
      <c r="L1" s="327"/>
      <c r="M1" s="328"/>
      <c r="N1" s="321"/>
      <c r="O1" s="321"/>
      <c r="P1" s="321"/>
      <c r="Q1" s="321"/>
      <c r="R1" s="321"/>
      <c r="S1" s="321"/>
      <c r="T1" s="321"/>
      <c r="U1" s="321"/>
      <c r="V1" s="321"/>
    </row>
    <row r="2" spans="1:35" ht="15.75" customHeight="1">
      <c r="A2" s="321"/>
      <c r="B2" s="1557" t="s">
        <v>826</v>
      </c>
      <c r="C2" s="1558"/>
      <c r="D2" s="1558"/>
      <c r="E2" s="1558"/>
      <c r="F2" s="1558"/>
      <c r="G2" s="1558"/>
      <c r="H2" s="1558"/>
      <c r="I2" s="1704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  <c r="V2" s="321"/>
    </row>
    <row r="3" spans="1:35" ht="15.75" customHeight="1">
      <c r="A3" s="321"/>
      <c r="B3" s="1560"/>
      <c r="C3" s="1561"/>
      <c r="D3" s="1561"/>
      <c r="E3" s="1561"/>
      <c r="F3" s="1561"/>
      <c r="G3" s="1561"/>
      <c r="H3" s="1561"/>
      <c r="I3" s="1705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35" ht="15.75" customHeight="1" thickBot="1">
      <c r="A4" s="321"/>
      <c r="B4" s="1563"/>
      <c r="C4" s="1564"/>
      <c r="D4" s="1564"/>
      <c r="E4" s="1564"/>
      <c r="F4" s="1564"/>
      <c r="G4" s="1564"/>
      <c r="H4" s="1564"/>
      <c r="I4" s="1706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  <c r="V4" s="321"/>
    </row>
    <row r="5" spans="1:35" ht="15.75" customHeight="1">
      <c r="A5" s="321"/>
      <c r="B5" s="326"/>
      <c r="C5" s="330"/>
      <c r="D5" s="331"/>
      <c r="E5" s="330"/>
      <c r="F5" s="330"/>
      <c r="G5" s="330"/>
      <c r="H5" s="330"/>
      <c r="I5" s="693"/>
      <c r="J5" s="330"/>
      <c r="K5" s="332"/>
      <c r="L5" s="332"/>
      <c r="M5" s="326"/>
      <c r="N5" s="321"/>
      <c r="O5" s="321"/>
      <c r="P5" s="321"/>
      <c r="Q5" s="321"/>
      <c r="R5" s="321"/>
      <c r="S5" s="321"/>
      <c r="T5" s="321"/>
      <c r="U5" s="321"/>
      <c r="V5" s="321"/>
    </row>
    <row r="6" spans="1:35" ht="15.75" customHeight="1" thickBot="1">
      <c r="A6" s="321"/>
      <c r="B6" s="326"/>
      <c r="C6" s="330"/>
      <c r="D6" s="331"/>
      <c r="E6" s="330"/>
      <c r="F6" s="330"/>
      <c r="G6" s="330"/>
      <c r="H6" s="330"/>
      <c r="I6" s="693"/>
      <c r="J6" s="330"/>
      <c r="K6" s="332"/>
      <c r="L6" s="332"/>
      <c r="M6" s="326"/>
      <c r="N6" s="321"/>
      <c r="O6" s="321"/>
      <c r="P6" s="321"/>
      <c r="Q6" s="321"/>
      <c r="R6" s="321"/>
      <c r="S6" s="321"/>
      <c r="T6" s="321"/>
      <c r="U6" s="321"/>
      <c r="V6" s="321"/>
    </row>
    <row r="7" spans="1:35" ht="15.75" customHeight="1" thickBot="1">
      <c r="A7" s="321"/>
      <c r="B7" s="333"/>
      <c r="C7" s="334"/>
      <c r="D7" s="335"/>
      <c r="E7" s="334"/>
      <c r="F7" s="334"/>
      <c r="G7" s="334"/>
      <c r="H7" s="334"/>
      <c r="I7" s="694"/>
      <c r="J7" s="334"/>
      <c r="K7" s="336"/>
      <c r="L7" s="336"/>
      <c r="M7" s="337"/>
      <c r="N7" s="337"/>
      <c r="O7" s="337"/>
      <c r="P7" s="337"/>
      <c r="Q7" s="337"/>
      <c r="R7" s="337"/>
      <c r="S7" s="337"/>
      <c r="T7" s="337"/>
      <c r="U7" s="338"/>
      <c r="V7" s="321"/>
    </row>
    <row r="8" spans="1:35" ht="15.75" customHeight="1">
      <c r="A8" s="321"/>
      <c r="B8" s="339"/>
      <c r="C8" s="1626" t="s">
        <v>64</v>
      </c>
      <c r="D8" s="1627"/>
      <c r="E8" s="1627"/>
      <c r="F8" s="1627"/>
      <c r="G8" s="1627"/>
      <c r="H8" s="1627"/>
      <c r="I8" s="1707"/>
      <c r="J8" s="1627"/>
      <c r="K8" s="1628"/>
      <c r="L8" s="340"/>
      <c r="M8" s="1626" t="s">
        <v>65</v>
      </c>
      <c r="N8" s="1627"/>
      <c r="O8" s="1627"/>
      <c r="P8" s="1627"/>
      <c r="Q8" s="1627"/>
      <c r="R8" s="1627"/>
      <c r="S8" s="1627"/>
      <c r="T8" s="1628"/>
      <c r="U8" s="341"/>
      <c r="V8" s="321"/>
    </row>
    <row r="9" spans="1:35" ht="15.75" customHeight="1">
      <c r="A9" s="321"/>
      <c r="B9" s="339"/>
      <c r="C9" s="1629"/>
      <c r="D9" s="1630"/>
      <c r="E9" s="1630"/>
      <c r="F9" s="1630"/>
      <c r="G9" s="1630"/>
      <c r="H9" s="1630"/>
      <c r="I9" s="1708"/>
      <c r="J9" s="1630"/>
      <c r="K9" s="1631"/>
      <c r="L9" s="340"/>
      <c r="M9" s="1629"/>
      <c r="N9" s="1630"/>
      <c r="O9" s="1630"/>
      <c r="P9" s="1630"/>
      <c r="Q9" s="1630"/>
      <c r="R9" s="1630"/>
      <c r="S9" s="1630"/>
      <c r="T9" s="1631"/>
      <c r="U9" s="341"/>
      <c r="V9" s="321"/>
    </row>
    <row r="10" spans="1:35" ht="30" customHeight="1">
      <c r="A10" s="321"/>
      <c r="B10" s="339"/>
      <c r="C10" s="342" t="s">
        <v>827</v>
      </c>
      <c r="D10" s="734" t="s">
        <v>67</v>
      </c>
      <c r="E10" s="343" t="s">
        <v>68</v>
      </c>
      <c r="F10" s="344" t="s">
        <v>69</v>
      </c>
      <c r="G10" s="344" t="s">
        <v>70</v>
      </c>
      <c r="H10" s="344" t="s">
        <v>71</v>
      </c>
      <c r="I10" s="344" t="s">
        <v>72</v>
      </c>
      <c r="J10" s="345" t="s">
        <v>73</v>
      </c>
      <c r="K10" s="738" t="s">
        <v>74</v>
      </c>
      <c r="L10" s="346"/>
      <c r="M10" s="735" t="s">
        <v>75</v>
      </c>
      <c r="N10" s="348" t="s">
        <v>76</v>
      </c>
      <c r="O10" s="349" t="s">
        <v>77</v>
      </c>
      <c r="P10" s="349" t="s">
        <v>69</v>
      </c>
      <c r="Q10" s="349" t="s">
        <v>70</v>
      </c>
      <c r="R10" s="349" t="s">
        <v>72</v>
      </c>
      <c r="S10" s="349" t="s">
        <v>74</v>
      </c>
      <c r="T10" s="350" t="s">
        <v>64</v>
      </c>
      <c r="U10" s="341"/>
      <c r="V10" s="321"/>
    </row>
    <row r="11" spans="1:35" s="357" customFormat="1" ht="16.5" customHeight="1">
      <c r="A11" s="351"/>
      <c r="B11" s="352"/>
      <c r="C11" s="1064">
        <v>44136</v>
      </c>
      <c r="D11" s="1065">
        <v>901</v>
      </c>
      <c r="E11" s="1338" t="s">
        <v>828</v>
      </c>
      <c r="F11" s="1340" t="s">
        <v>8</v>
      </c>
      <c r="G11" s="1067">
        <f>IF( F11="Radio", VLOOKUP(H11,radio!$A$2:$B$33,2), IF(F11="PQR",VLOOKUP(H11,pqr!$A$2:$B$20,2),IF(F11="INTERNET",VLOOKUP(H11,internet!$A$2:$C$43,2),IF(F11="TV",VLOOKUP(H11,tv!$A$2:$B$10,2),""))) )</f>
        <v>65</v>
      </c>
      <c r="H11" s="1179" t="s">
        <v>311</v>
      </c>
      <c r="I11" s="1008" t="s">
        <v>47</v>
      </c>
      <c r="J11" s="1355" t="s">
        <v>80</v>
      </c>
      <c r="K11" s="941" t="s">
        <v>81</v>
      </c>
      <c r="L11" s="353"/>
      <c r="M11" s="1064">
        <v>44139</v>
      </c>
      <c r="N11" s="1065">
        <v>91</v>
      </c>
      <c r="O11" s="1066" t="s">
        <v>829</v>
      </c>
      <c r="P11" s="1067" t="s">
        <v>94</v>
      </c>
      <c r="Q11" s="1067">
        <v>65</v>
      </c>
      <c r="R11" s="1008" t="s">
        <v>365</v>
      </c>
      <c r="S11" s="944" t="s">
        <v>81</v>
      </c>
      <c r="T11" s="1068">
        <f>COUNTIF(D:D,N11)+COUNTIF(Dec!D:D,N11)</f>
        <v>5</v>
      </c>
      <c r="U11" s="356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351"/>
    </row>
    <row r="12" spans="1:35" s="357" customFormat="1" ht="30.75" customHeight="1">
      <c r="A12" s="351"/>
      <c r="B12" s="352"/>
      <c r="C12" s="1064">
        <v>44136</v>
      </c>
      <c r="D12" s="1065" t="s">
        <v>830</v>
      </c>
      <c r="E12" s="1338" t="s">
        <v>831</v>
      </c>
      <c r="F12" s="1340" t="s">
        <v>10</v>
      </c>
      <c r="G12" s="1067">
        <f>IF( F12="Radio", VLOOKUP(H12,radio!$A$2:$B$33,2), IF(F12="PQR",VLOOKUP(H12,pqr!$A$2:$B$20,2),IF(F12="INTERNET",VLOOKUP(H12,internet!$A$2:$C$43,2),IF(F12="TV",VLOOKUP(H12,tv!$A$2:$B$10,2),""))) )</f>
        <v>64</v>
      </c>
      <c r="H12" s="1179" t="s">
        <v>261</v>
      </c>
      <c r="I12" s="1008" t="s">
        <v>53</v>
      </c>
      <c r="J12" s="1355" t="s">
        <v>80</v>
      </c>
      <c r="K12" s="941" t="s">
        <v>81</v>
      </c>
      <c r="L12" s="353"/>
      <c r="M12" s="1064">
        <v>44144</v>
      </c>
      <c r="N12" s="1065">
        <v>92</v>
      </c>
      <c r="O12" s="1066" t="s">
        <v>832</v>
      </c>
      <c r="P12" s="1067" t="s">
        <v>94</v>
      </c>
      <c r="Q12" s="1067">
        <v>64</v>
      </c>
      <c r="R12" s="1008" t="s">
        <v>833</v>
      </c>
      <c r="S12" s="944" t="s">
        <v>81</v>
      </c>
      <c r="T12" s="1068">
        <f>COUNTIF(D:D,N12)+COUNTIF(Dec!D:D,N12)</f>
        <v>7</v>
      </c>
      <c r="U12" s="356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  <c r="AG12" s="351"/>
      <c r="AH12" s="351"/>
      <c r="AI12" s="351"/>
    </row>
    <row r="13" spans="1:35" s="357" customFormat="1" ht="30" customHeight="1">
      <c r="A13" s="351"/>
      <c r="B13" s="352"/>
      <c r="C13" s="1064">
        <v>44139</v>
      </c>
      <c r="D13" s="1065"/>
      <c r="E13" s="1338" t="s">
        <v>834</v>
      </c>
      <c r="F13" s="1340" t="s">
        <v>10</v>
      </c>
      <c r="G13" s="1067">
        <v>40</v>
      </c>
      <c r="H13" s="1179" t="s">
        <v>275</v>
      </c>
      <c r="I13" s="1008" t="s">
        <v>53</v>
      </c>
      <c r="J13" s="1355" t="s">
        <v>80</v>
      </c>
      <c r="K13" s="941" t="s">
        <v>81</v>
      </c>
      <c r="L13" s="353"/>
      <c r="M13" s="1064">
        <v>44147</v>
      </c>
      <c r="N13" s="1065">
        <v>93</v>
      </c>
      <c r="O13" s="1066" t="s">
        <v>835</v>
      </c>
      <c r="P13" s="1067" t="s">
        <v>94</v>
      </c>
      <c r="Q13" s="1067">
        <v>65</v>
      </c>
      <c r="R13" s="1008" t="s">
        <v>52</v>
      </c>
      <c r="S13" s="944" t="s">
        <v>81</v>
      </c>
      <c r="T13" s="1068">
        <f>COUNTIF(D:D,N13)+COUNTIF(Dec!D:D,N13)</f>
        <v>6</v>
      </c>
      <c r="U13" s="356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351"/>
    </row>
    <row r="14" spans="1:35" s="357" customFormat="1" ht="16.5" customHeight="1">
      <c r="A14" s="351"/>
      <c r="B14" s="352"/>
      <c r="C14" s="1064">
        <v>44139</v>
      </c>
      <c r="D14" s="1065">
        <v>901</v>
      </c>
      <c r="E14" s="1338" t="s">
        <v>828</v>
      </c>
      <c r="F14" s="1340" t="s">
        <v>8</v>
      </c>
      <c r="G14" s="1067">
        <f>IF( F14="Radio", VLOOKUP(H14,radio!$A$2:$B$33,2), IF(F14="PQR",VLOOKUP(H14,pqr!$A$2:$B$20,2),IF(F14="INTERNET",VLOOKUP(H14,internet!$A$2:$C$43,2),IF(F14="TV",VLOOKUP(H14,tv!$A$2:$B$10,2),""))) )</f>
        <v>65</v>
      </c>
      <c r="H14" s="1179" t="s">
        <v>311</v>
      </c>
      <c r="I14" s="1008" t="s">
        <v>47</v>
      </c>
      <c r="J14" s="1355" t="s">
        <v>80</v>
      </c>
      <c r="K14" s="941" t="s">
        <v>81</v>
      </c>
      <c r="L14" s="353"/>
      <c r="M14" s="1064">
        <v>44151</v>
      </c>
      <c r="N14" s="1065">
        <v>94</v>
      </c>
      <c r="O14" s="1066" t="s">
        <v>836</v>
      </c>
      <c r="P14" s="1067" t="s">
        <v>837</v>
      </c>
      <c r="Q14" s="1067">
        <v>40</v>
      </c>
      <c r="R14" s="1008" t="s">
        <v>51</v>
      </c>
      <c r="S14" s="944" t="s">
        <v>74</v>
      </c>
      <c r="T14" s="1068">
        <f>COUNTIF(D:D,N14)+COUNTIF(Dec!D:D,N14)</f>
        <v>4</v>
      </c>
      <c r="U14" s="356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351"/>
    </row>
    <row r="15" spans="1:35" s="357" customFormat="1" ht="16.5" customHeight="1">
      <c r="A15" s="351"/>
      <c r="B15" s="352"/>
      <c r="C15" s="1064">
        <v>44139</v>
      </c>
      <c r="D15" s="1065">
        <v>901</v>
      </c>
      <c r="E15" s="1338" t="s">
        <v>828</v>
      </c>
      <c r="F15" s="1340" t="s">
        <v>8</v>
      </c>
      <c r="G15" s="1067">
        <f>IF( F15="Radio", VLOOKUP(H15,radio!$A$2:$B$33,2), IF(F15="PQR",VLOOKUP(H15,pqr!$A$2:$B$20,2),IF(F15="INTERNET",VLOOKUP(H15,internet!$A$2:$C$43,2),IF(F15="TV",VLOOKUP(H15,tv!$A$2:$B$10,2),""))) )</f>
        <v>65</v>
      </c>
      <c r="H15" s="1179" t="s">
        <v>91</v>
      </c>
      <c r="I15" s="1008" t="s">
        <v>47</v>
      </c>
      <c r="J15" s="1355" t="s">
        <v>80</v>
      </c>
      <c r="K15" s="941" t="s">
        <v>81</v>
      </c>
      <c r="L15" s="353"/>
      <c r="M15" s="1064">
        <v>44154</v>
      </c>
      <c r="N15" s="1065">
        <v>95</v>
      </c>
      <c r="O15" s="1066" t="s">
        <v>838</v>
      </c>
      <c r="P15" s="1067" t="s">
        <v>94</v>
      </c>
      <c r="Q15" s="1067">
        <v>40</v>
      </c>
      <c r="R15" s="1008" t="s">
        <v>114</v>
      </c>
      <c r="S15" s="950"/>
      <c r="T15" s="1068">
        <f>COUNTIF(D:D,N15)+COUNTIF(Dec!D:D,N15)</f>
        <v>2</v>
      </c>
      <c r="U15" s="356"/>
      <c r="V15" s="351"/>
      <c r="W15" s="351"/>
      <c r="X15" s="351"/>
      <c r="Y15" s="351"/>
      <c r="Z15" s="351"/>
      <c r="AA15" s="351"/>
      <c r="AB15" s="351"/>
      <c r="AC15" s="351"/>
      <c r="AD15" s="351"/>
      <c r="AE15" s="351"/>
      <c r="AF15" s="351"/>
      <c r="AG15" s="351"/>
      <c r="AH15" s="351"/>
      <c r="AI15" s="351"/>
    </row>
    <row r="16" spans="1:35" s="357" customFormat="1" ht="16.5" customHeight="1">
      <c r="A16" s="351"/>
      <c r="B16" s="352"/>
      <c r="C16" s="1064">
        <v>44139</v>
      </c>
      <c r="D16" s="1065">
        <v>901</v>
      </c>
      <c r="E16" s="1338" t="s">
        <v>828</v>
      </c>
      <c r="F16" s="1340" t="s">
        <v>9</v>
      </c>
      <c r="G16" s="1067">
        <v>65</v>
      </c>
      <c r="H16" s="1179" t="s">
        <v>572</v>
      </c>
      <c r="I16" s="1008" t="s">
        <v>47</v>
      </c>
      <c r="J16" s="1355" t="s">
        <v>80</v>
      </c>
      <c r="K16" s="941" t="s">
        <v>74</v>
      </c>
      <c r="L16" s="353"/>
      <c r="M16" s="1064">
        <v>44159</v>
      </c>
      <c r="N16" s="1065">
        <v>96</v>
      </c>
      <c r="O16" s="1066" t="s">
        <v>839</v>
      </c>
      <c r="P16" s="1067" t="s">
        <v>94</v>
      </c>
      <c r="Q16" s="1067">
        <v>65</v>
      </c>
      <c r="R16" s="1008" t="s">
        <v>562</v>
      </c>
      <c r="S16" s="950"/>
      <c r="T16" s="1068">
        <f>COUNTIF(D:D,N16)+COUNTIF(Dec!D:D,N16)</f>
        <v>4</v>
      </c>
      <c r="U16" s="356"/>
      <c r="V16" s="351"/>
      <c r="W16" s="351"/>
      <c r="X16" s="351"/>
      <c r="Y16" s="351"/>
      <c r="Z16" s="351"/>
      <c r="AA16" s="351"/>
      <c r="AB16" s="351"/>
      <c r="AC16" s="351"/>
      <c r="AD16" s="351"/>
      <c r="AE16" s="351"/>
      <c r="AF16" s="351"/>
      <c r="AG16" s="351"/>
      <c r="AH16" s="351"/>
      <c r="AI16" s="351"/>
    </row>
    <row r="17" spans="1:35" s="357" customFormat="1" ht="30" customHeight="1">
      <c r="A17" s="351"/>
      <c r="B17" s="352"/>
      <c r="C17" s="1064">
        <v>44139</v>
      </c>
      <c r="D17" s="1065">
        <v>901</v>
      </c>
      <c r="E17" s="1338" t="s">
        <v>840</v>
      </c>
      <c r="F17" s="1340" t="s">
        <v>8</v>
      </c>
      <c r="G17" s="1067">
        <f>IF( F17="Radio", VLOOKUP(H17,radio!$A$2:$B$33,2), IF(F17="PQR",VLOOKUP(H17,pqr!$A$2:$B$20,2),IF(F17="INTERNET",VLOOKUP(H17,internet!$A$2:$C$43,2),IF(F17="TV",VLOOKUP(H17,tv!$A$2:$B$10,2),""))) )</f>
        <v>65</v>
      </c>
      <c r="H17" s="1179" t="s">
        <v>550</v>
      </c>
      <c r="I17" s="1008" t="s">
        <v>47</v>
      </c>
      <c r="J17" s="1355" t="s">
        <v>80</v>
      </c>
      <c r="K17" s="941" t="s">
        <v>81</v>
      </c>
      <c r="L17" s="353"/>
      <c r="M17" s="1064">
        <v>44161</v>
      </c>
      <c r="N17" s="1065">
        <v>97</v>
      </c>
      <c r="O17" s="1066" t="s">
        <v>841</v>
      </c>
      <c r="P17" s="1067" t="s">
        <v>94</v>
      </c>
      <c r="Q17" s="1067">
        <v>40</v>
      </c>
      <c r="R17" s="1008" t="s">
        <v>114</v>
      </c>
      <c r="S17" s="950"/>
      <c r="T17" s="1068">
        <f>COUNTIF(D:D,N17)+COUNTIF(Dec!D:D,N17)</f>
        <v>1</v>
      </c>
      <c r="U17" s="356"/>
      <c r="V17" s="351"/>
      <c r="W17" s="351"/>
      <c r="X17" s="351"/>
      <c r="Y17" s="351"/>
      <c r="Z17" s="351"/>
      <c r="AA17" s="351"/>
      <c r="AB17" s="351"/>
      <c r="AC17" s="351"/>
      <c r="AD17" s="351"/>
      <c r="AE17" s="351"/>
      <c r="AF17" s="351"/>
      <c r="AG17" s="351"/>
      <c r="AH17" s="351"/>
      <c r="AI17" s="351"/>
    </row>
    <row r="18" spans="1:35" s="357" customFormat="1" ht="15.75" customHeight="1">
      <c r="A18" s="351"/>
      <c r="B18" s="352"/>
      <c r="C18" s="1064">
        <v>44139</v>
      </c>
      <c r="D18" s="1065">
        <v>91</v>
      </c>
      <c r="E18" s="1008" t="s">
        <v>842</v>
      </c>
      <c r="F18" s="1340" t="s">
        <v>9</v>
      </c>
      <c r="G18" s="1067">
        <v>65</v>
      </c>
      <c r="H18" s="1179" t="s">
        <v>653</v>
      </c>
      <c r="I18" s="1179" t="s">
        <v>50</v>
      </c>
      <c r="J18" s="1355" t="s">
        <v>80</v>
      </c>
      <c r="K18" s="941" t="s">
        <v>74</v>
      </c>
      <c r="L18" s="358"/>
      <c r="M18" s="1064">
        <v>44145</v>
      </c>
      <c r="N18" s="1065">
        <v>98</v>
      </c>
      <c r="O18" s="1066" t="s">
        <v>843</v>
      </c>
      <c r="P18" s="1067" t="s">
        <v>189</v>
      </c>
      <c r="Q18" s="1067">
        <v>40</v>
      </c>
      <c r="R18" s="1008" t="s">
        <v>114</v>
      </c>
      <c r="S18" s="950"/>
      <c r="T18" s="1068">
        <f>COUNTIF(D:D,N18)+COUNTIF(Dec!D:D,N18)</f>
        <v>2</v>
      </c>
      <c r="U18" s="341"/>
      <c r="V18" s="351"/>
      <c r="W18" s="351"/>
      <c r="X18" s="351"/>
      <c r="Y18" s="351"/>
      <c r="Z18" s="351"/>
      <c r="AA18" s="351"/>
      <c r="AB18" s="351"/>
      <c r="AC18" s="351"/>
      <c r="AD18" s="351"/>
      <c r="AE18" s="351"/>
      <c r="AF18" s="351"/>
      <c r="AG18" s="351"/>
      <c r="AH18" s="351"/>
      <c r="AI18" s="351"/>
    </row>
    <row r="19" spans="1:35">
      <c r="A19" s="321"/>
      <c r="B19" s="339"/>
      <c r="C19" s="1064">
        <v>44140</v>
      </c>
      <c r="D19" s="1065">
        <v>91</v>
      </c>
      <c r="E19" s="1066" t="s">
        <v>844</v>
      </c>
      <c r="F19" s="1340" t="s">
        <v>8</v>
      </c>
      <c r="G19" s="1067">
        <f>IF( F19="Radio", VLOOKUP(H19,radio!$A$2:$B$33,2), IF(F19="PQR",VLOOKUP(H19,pqr!$A$2:$B$20,2),IF(F19="INTERNET",VLOOKUP(H19,internet!$A$2:$C$43,2),IF(F19="TV",VLOOKUP(H19,tv!$A$2:$B$10,2),""))) )</f>
        <v>65</v>
      </c>
      <c r="H19" s="1179" t="s">
        <v>311</v>
      </c>
      <c r="I19" s="1179" t="s">
        <v>50</v>
      </c>
      <c r="J19" s="1355" t="s">
        <v>80</v>
      </c>
      <c r="K19" s="941" t="s">
        <v>81</v>
      </c>
      <c r="L19" s="359"/>
      <c r="M19" s="1064">
        <v>44139</v>
      </c>
      <c r="N19" s="1065">
        <v>99</v>
      </c>
      <c r="O19" s="1066" t="s">
        <v>829</v>
      </c>
      <c r="P19" s="1067" t="s">
        <v>94</v>
      </c>
      <c r="Q19" s="1067">
        <v>64</v>
      </c>
      <c r="R19" s="1008" t="s">
        <v>365</v>
      </c>
      <c r="S19" s="944" t="s">
        <v>81</v>
      </c>
      <c r="T19" s="1068">
        <f>COUNTIF(D:D,N19)+COUNTIF(Dec!D:D,N19)</f>
        <v>1</v>
      </c>
      <c r="U19" s="341"/>
      <c r="V19" s="321"/>
    </row>
    <row r="20" spans="1:35" s="362" customFormat="1">
      <c r="A20" s="360"/>
      <c r="B20" s="361"/>
      <c r="C20" s="1064">
        <v>44140</v>
      </c>
      <c r="D20" s="1065">
        <v>91</v>
      </c>
      <c r="E20" s="1066" t="s">
        <v>844</v>
      </c>
      <c r="F20" s="1340" t="s">
        <v>8</v>
      </c>
      <c r="G20" s="1067">
        <f>IF( F20="Radio", VLOOKUP(H20,radio!$A$2:$B$33,2), IF(F20="PQR",VLOOKUP(H20,pqr!$A$2:$B$20,2),IF(F20="INTERNET",VLOOKUP(H20,internet!$A$2:$C$43,2),IF(F20="TV",VLOOKUP(H20,tv!$A$2:$B$10,2),""))) )</f>
        <v>65</v>
      </c>
      <c r="H20" s="1179" t="s">
        <v>91</v>
      </c>
      <c r="I20" s="1179" t="s">
        <v>50</v>
      </c>
      <c r="J20" s="1355" t="s">
        <v>80</v>
      </c>
      <c r="K20" s="941" t="s">
        <v>81</v>
      </c>
      <c r="L20" s="358"/>
      <c r="M20" s="1064">
        <v>44139</v>
      </c>
      <c r="N20" s="1065">
        <v>100</v>
      </c>
      <c r="O20" s="1066" t="s">
        <v>829</v>
      </c>
      <c r="P20" s="1067" t="s">
        <v>94</v>
      </c>
      <c r="Q20" s="1067">
        <v>40</v>
      </c>
      <c r="R20" s="1008" t="s">
        <v>365</v>
      </c>
      <c r="S20" s="944" t="s">
        <v>81</v>
      </c>
      <c r="T20" s="1068">
        <f>COUNTIF(D:D,N20)+COUNTIF(Dec!D:D,N20)</f>
        <v>1</v>
      </c>
      <c r="U20" s="341"/>
      <c r="V20" s="360"/>
      <c r="W20" s="360"/>
      <c r="X20" s="360"/>
      <c r="Y20" s="360"/>
      <c r="Z20" s="360"/>
      <c r="AA20" s="360"/>
      <c r="AB20" s="360"/>
      <c r="AC20" s="360"/>
      <c r="AD20" s="360"/>
      <c r="AE20" s="360"/>
      <c r="AF20" s="360"/>
      <c r="AG20" s="360"/>
      <c r="AH20" s="360"/>
      <c r="AI20" s="360"/>
    </row>
    <row r="21" spans="1:35" s="362" customFormat="1">
      <c r="A21" s="360"/>
      <c r="B21" s="361"/>
      <c r="C21" s="1064">
        <v>44140</v>
      </c>
      <c r="D21" s="1065">
        <v>911</v>
      </c>
      <c r="E21" s="1354" t="s">
        <v>845</v>
      </c>
      <c r="F21" s="1340" t="s">
        <v>8</v>
      </c>
      <c r="G21" s="1067">
        <f>IF( F21="Radio", VLOOKUP(H21,radio!$A$2:$B$33,2), IF(F21="PQR",VLOOKUP(H21,pqr!$A$2:$B$20,2),IF(F21="INTERNET",VLOOKUP(H21,internet!$A$2:$C$43,2),IF(F21="TV",VLOOKUP(H21,tv!$A$2:$B$10,2),""))) )</f>
        <v>65</v>
      </c>
      <c r="H21" s="1179" t="s">
        <v>311</v>
      </c>
      <c r="I21" s="1179" t="s">
        <v>52</v>
      </c>
      <c r="J21" s="1355" t="s">
        <v>80</v>
      </c>
      <c r="K21" s="941" t="s">
        <v>81</v>
      </c>
      <c r="L21" s="358"/>
      <c r="M21" s="1382"/>
      <c r="N21" s="1383">
        <v>1000</v>
      </c>
      <c r="O21" s="1384" t="s">
        <v>846</v>
      </c>
      <c r="P21" s="1383" t="s">
        <v>94</v>
      </c>
      <c r="Q21" s="1385">
        <v>64</v>
      </c>
      <c r="R21" s="1383" t="s">
        <v>833</v>
      </c>
      <c r="S21" s="1383"/>
      <c r="T21" s="1068">
        <f>COUNTIF(D:D,N21)+COUNTIF(Dec!D:D,N21)</f>
        <v>1</v>
      </c>
      <c r="U21" s="341"/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  <c r="AF21" s="360"/>
      <c r="AG21" s="360"/>
      <c r="AH21" s="360"/>
      <c r="AI21" s="360"/>
    </row>
    <row r="22" spans="1:35" s="362" customFormat="1">
      <c r="A22" s="360"/>
      <c r="B22" s="361"/>
      <c r="C22" s="1064">
        <v>44140</v>
      </c>
      <c r="D22" s="1065">
        <v>911</v>
      </c>
      <c r="E22" s="1354" t="s">
        <v>845</v>
      </c>
      <c r="F22" s="1340" t="s">
        <v>8</v>
      </c>
      <c r="G22" s="1067">
        <f>IF( F22="Radio", VLOOKUP(H22,radio!$A$2:$B$33,2), IF(F22="PQR",VLOOKUP(H22,pqr!$A$2:$B$20,2),IF(F22="INTERNET",VLOOKUP(H22,internet!$A$2:$C$43,2),IF(F22="TV",VLOOKUP(H22,tv!$A$2:$B$10,2),""))) )</f>
        <v>65</v>
      </c>
      <c r="H22" s="1179" t="s">
        <v>91</v>
      </c>
      <c r="I22" s="1179" t="s">
        <v>52</v>
      </c>
      <c r="J22" s="1355" t="s">
        <v>80</v>
      </c>
      <c r="K22" s="941" t="s">
        <v>81</v>
      </c>
      <c r="L22" s="358"/>
      <c r="M22" s="1386"/>
      <c r="N22" s="1387"/>
      <c r="O22" s="1388"/>
      <c r="P22" s="1387"/>
      <c r="Q22" s="1389"/>
      <c r="R22" s="1387"/>
      <c r="S22" s="730"/>
      <c r="T22" s="1068">
        <f>COUNTIF(D:D,N22)+COUNTIF(Dec!D:D,N22)</f>
        <v>0</v>
      </c>
      <c r="U22" s="341"/>
      <c r="V22" s="360"/>
      <c r="W22" s="360"/>
      <c r="X22" s="360"/>
      <c r="Y22" s="360"/>
      <c r="Z22" s="360"/>
      <c r="AA22" s="360"/>
      <c r="AB22" s="360"/>
      <c r="AC22" s="360"/>
      <c r="AD22" s="360"/>
      <c r="AE22" s="360"/>
      <c r="AF22" s="360"/>
      <c r="AG22" s="360"/>
      <c r="AH22" s="360"/>
      <c r="AI22" s="360"/>
    </row>
    <row r="23" spans="1:35" s="362" customFormat="1">
      <c r="A23" s="360"/>
      <c r="B23" s="361"/>
      <c r="C23" s="1064">
        <v>44140</v>
      </c>
      <c r="D23" s="1065"/>
      <c r="E23" s="1354" t="s">
        <v>847</v>
      </c>
      <c r="F23" s="1340" t="s">
        <v>9</v>
      </c>
      <c r="G23" s="1067">
        <v>40</v>
      </c>
      <c r="H23" s="1179"/>
      <c r="I23" s="1179" t="s">
        <v>49</v>
      </c>
      <c r="J23" s="1390" t="s">
        <v>80</v>
      </c>
      <c r="K23" s="941" t="s">
        <v>74</v>
      </c>
      <c r="L23" s="358"/>
      <c r="M23" s="1386"/>
      <c r="N23" s="1387"/>
      <c r="O23" s="1388"/>
      <c r="P23" s="1387"/>
      <c r="Q23" s="1389"/>
      <c r="R23" s="1387"/>
      <c r="S23" s="730"/>
      <c r="T23" s="1068">
        <f>COUNTIF(D:D,N23)+COUNTIF(Dec!D:D,N23)</f>
        <v>0</v>
      </c>
      <c r="U23" s="341"/>
      <c r="V23" s="360"/>
      <c r="W23" s="360"/>
      <c r="X23" s="360"/>
      <c r="Y23" s="360"/>
      <c r="Z23" s="360"/>
      <c r="AA23" s="360"/>
      <c r="AB23" s="360"/>
      <c r="AC23" s="360"/>
      <c r="AD23" s="360"/>
      <c r="AE23" s="360"/>
      <c r="AF23" s="360"/>
      <c r="AG23" s="360"/>
      <c r="AH23" s="360"/>
      <c r="AI23" s="360"/>
    </row>
    <row r="24" spans="1:35" s="365" customFormat="1">
      <c r="A24" s="363"/>
      <c r="B24" s="364"/>
      <c r="C24" s="1064">
        <v>44140</v>
      </c>
      <c r="D24" s="1065">
        <v>901</v>
      </c>
      <c r="E24" s="1353" t="s">
        <v>848</v>
      </c>
      <c r="F24" s="1340" t="s">
        <v>8</v>
      </c>
      <c r="G24" s="1067">
        <f>IF( F24="Radio", VLOOKUP(H24,radio!$A$2:$B$33,2), IF(F24="PQR",VLOOKUP(H24,pqr!$A$2:$B$20,2),IF(F24="INTERNET",VLOOKUP(H24,internet!$A$2:$C$43,2),IF(F24="TV",VLOOKUP(H24,tv!$A$2:$B$10,2),""))) )</f>
        <v>65</v>
      </c>
      <c r="H24" s="1179" t="s">
        <v>735</v>
      </c>
      <c r="I24" s="1179" t="s">
        <v>47</v>
      </c>
      <c r="J24" s="1355" t="s">
        <v>80</v>
      </c>
      <c r="K24" s="941" t="s">
        <v>81</v>
      </c>
      <c r="L24" s="353"/>
      <c r="M24" s="1391"/>
      <c r="N24" s="1297"/>
      <c r="O24" s="727"/>
      <c r="P24" s="1297"/>
      <c r="Q24" s="1297"/>
      <c r="R24" s="1392"/>
      <c r="S24" s="781"/>
      <c r="T24" s="1068">
        <f>COUNTIF(D:D,N24)+COUNTIF(Dec!D:D,N24)</f>
        <v>0</v>
      </c>
      <c r="U24" s="341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3"/>
    </row>
    <row r="25" spans="1:35" s="362" customFormat="1">
      <c r="A25" s="360"/>
      <c r="B25" s="361"/>
      <c r="C25" s="1064">
        <v>44140</v>
      </c>
      <c r="D25" s="1065">
        <v>911</v>
      </c>
      <c r="E25" s="1008" t="s">
        <v>849</v>
      </c>
      <c r="F25" s="1340" t="s">
        <v>8</v>
      </c>
      <c r="G25" s="1067">
        <f>IF( F25="Radio", VLOOKUP(H25,radio!$A$2:$B$33,2), IF(F25="PQR",VLOOKUP(H25,pqr!$A$2:$B$20,2),IF(F25="INTERNET",VLOOKUP(H25,internet!$A$2:$C$43,2),IF(F25="TV",VLOOKUP(H25,tv!$A$2:$B$10,2),""))) )</f>
        <v>65</v>
      </c>
      <c r="H25" s="1179" t="s">
        <v>311</v>
      </c>
      <c r="I25" s="1179" t="s">
        <v>52</v>
      </c>
      <c r="J25" s="1355" t="s">
        <v>80</v>
      </c>
      <c r="K25" s="941" t="s">
        <v>81</v>
      </c>
      <c r="L25" s="353"/>
      <c r="M25" s="1391"/>
      <c r="N25" s="1297"/>
      <c r="O25" s="727"/>
      <c r="P25" s="1297"/>
      <c r="Q25" s="1297"/>
      <c r="R25" s="1392"/>
      <c r="S25" s="781"/>
      <c r="T25" s="1068">
        <f>COUNTIF(D:D,N25)+COUNTIF(Dec!D:D,N25)</f>
        <v>0</v>
      </c>
      <c r="U25" s="341"/>
      <c r="V25" s="360"/>
      <c r="W25" s="360"/>
      <c r="X25" s="360"/>
      <c r="Y25" s="360"/>
      <c r="Z25" s="360"/>
      <c r="AA25" s="360"/>
      <c r="AB25" s="360"/>
      <c r="AC25" s="360"/>
      <c r="AD25" s="360"/>
      <c r="AE25" s="360"/>
      <c r="AF25" s="360"/>
      <c r="AG25" s="360"/>
      <c r="AH25" s="360"/>
      <c r="AI25" s="360"/>
    </row>
    <row r="26" spans="1:35">
      <c r="A26" s="321"/>
      <c r="B26" s="339"/>
      <c r="C26" s="1064">
        <v>44140</v>
      </c>
      <c r="D26" s="1065">
        <v>91</v>
      </c>
      <c r="E26" s="1066" t="s">
        <v>844</v>
      </c>
      <c r="F26" s="1340" t="s">
        <v>9</v>
      </c>
      <c r="G26" s="1067">
        <v>65</v>
      </c>
      <c r="H26" s="1179" t="s">
        <v>91</v>
      </c>
      <c r="I26" s="1179" t="s">
        <v>50</v>
      </c>
      <c r="J26" s="1355" t="s">
        <v>80</v>
      </c>
      <c r="K26" s="941" t="s">
        <v>81</v>
      </c>
      <c r="L26" s="353"/>
      <c r="M26" s="1391"/>
      <c r="N26" s="1297"/>
      <c r="O26" s="727"/>
      <c r="P26" s="1297"/>
      <c r="Q26" s="1297"/>
      <c r="R26" s="1392"/>
      <c r="S26" s="781"/>
      <c r="T26" s="1068">
        <f>COUNTIF(D:D,N26)+COUNTIF(Dec!D:D,N26)</f>
        <v>0</v>
      </c>
      <c r="U26" s="341"/>
      <c r="V26" s="321"/>
    </row>
    <row r="27" spans="1:35">
      <c r="A27" s="321"/>
      <c r="B27" s="339"/>
      <c r="C27" s="1064">
        <v>44141</v>
      </c>
      <c r="D27" s="1065" t="s">
        <v>453</v>
      </c>
      <c r="E27" s="1066" t="s">
        <v>850</v>
      </c>
      <c r="F27" s="1340" t="s">
        <v>8</v>
      </c>
      <c r="G27" s="1067">
        <f>IF( F27="Radio", VLOOKUP(H27,radio!$A$2:$B$33,2), IF(F27="PQR",VLOOKUP(H27,pqr!$A$2:$B$20,2),IF(F27="INTERNET",VLOOKUP(H27,internet!$A$2:$C$43,2),IF(F27="TV",VLOOKUP(H27,tv!$A$2:$B$10,2),""))) )</f>
        <v>64</v>
      </c>
      <c r="H27" s="1179" t="s">
        <v>611</v>
      </c>
      <c r="I27" s="1179" t="s">
        <v>52</v>
      </c>
      <c r="J27" s="1390" t="s">
        <v>80</v>
      </c>
      <c r="K27" s="941" t="s">
        <v>81</v>
      </c>
      <c r="L27" s="353"/>
      <c r="M27" s="1391"/>
      <c r="N27" s="1297"/>
      <c r="O27" s="727"/>
      <c r="P27" s="1297"/>
      <c r="Q27" s="1297"/>
      <c r="R27" s="1392"/>
      <c r="S27" s="781"/>
      <c r="T27" s="1068">
        <f>COUNTIF(D:D,N27)+COUNTIF(Dec!D:D,N27)</f>
        <v>0</v>
      </c>
      <c r="U27" s="341"/>
      <c r="V27" s="321"/>
    </row>
    <row r="28" spans="1:35">
      <c r="A28" s="321"/>
      <c r="B28" s="339"/>
      <c r="C28" s="1064">
        <v>44141</v>
      </c>
      <c r="D28" s="1065">
        <v>99</v>
      </c>
      <c r="E28" s="1066" t="s">
        <v>851</v>
      </c>
      <c r="F28" s="1340" t="s">
        <v>8</v>
      </c>
      <c r="G28" s="1067">
        <f>IF( F28="Radio", VLOOKUP(H28,radio!$A$2:$B$33,2), IF(F28="PQR",VLOOKUP(H28,pqr!$A$2:$B$20,2),IF(F28="INTERNET",VLOOKUP(H28,internet!$A$2:$C$43,2),IF(F28="TV",VLOOKUP(H28,tv!$A$2:$B$10,2),""))) )</f>
        <v>64</v>
      </c>
      <c r="H28" s="1179" t="s">
        <v>203</v>
      </c>
      <c r="I28" s="1179" t="s">
        <v>50</v>
      </c>
      <c r="J28" s="1355" t="s">
        <v>80</v>
      </c>
      <c r="K28" s="941" t="s">
        <v>81</v>
      </c>
      <c r="L28" s="353"/>
      <c r="M28" s="1391"/>
      <c r="N28" s="1297"/>
      <c r="O28" s="727"/>
      <c r="P28" s="1297"/>
      <c r="Q28" s="1297"/>
      <c r="R28" s="1392"/>
      <c r="S28" s="781"/>
      <c r="T28" s="1068">
        <f>COUNTIF(D:D,N28)+COUNTIF(Dec!D:D,N28)</f>
        <v>0</v>
      </c>
      <c r="U28" s="341"/>
      <c r="V28" s="321"/>
    </row>
    <row r="29" spans="1:35">
      <c r="A29" s="321"/>
      <c r="B29" s="339"/>
      <c r="C29" s="1064">
        <v>44142</v>
      </c>
      <c r="D29" s="1065"/>
      <c r="E29" s="1066" t="s">
        <v>852</v>
      </c>
      <c r="F29" s="1340" t="s">
        <v>8</v>
      </c>
      <c r="G29" s="1067">
        <f>IF( F29="Radio", VLOOKUP(H29,radio!$A$2:$B$33,2), IF(F29="PQR",VLOOKUP(H29,pqr!$A$2:$B$20,2),IF(F29="INTERNET",VLOOKUP(H29,internet!$A$2:$C$43,2),IF(F29="TV",VLOOKUP(H29,tv!$A$2:$B$10,2),""))) )</f>
        <v>64</v>
      </c>
      <c r="H29" s="1179" t="s">
        <v>684</v>
      </c>
      <c r="I29" s="1179" t="s">
        <v>52</v>
      </c>
      <c r="J29" s="1355" t="s">
        <v>80</v>
      </c>
      <c r="K29" s="941" t="s">
        <v>81</v>
      </c>
      <c r="L29" s="353"/>
      <c r="M29" s="1391"/>
      <c r="N29" s="1297"/>
      <c r="O29" s="727"/>
      <c r="P29" s="1297"/>
      <c r="Q29" s="1297"/>
      <c r="R29" s="1392"/>
      <c r="S29" s="781"/>
      <c r="T29" s="1068">
        <f>COUNTIF(D:D,N29)+COUNTIF(Dec!D:D,N29)</f>
        <v>0</v>
      </c>
      <c r="U29" s="341"/>
      <c r="V29" s="321"/>
    </row>
    <row r="30" spans="1:35">
      <c r="A30" s="321"/>
      <c r="B30" s="339"/>
      <c r="C30" s="1064">
        <v>44142</v>
      </c>
      <c r="D30" s="1065"/>
      <c r="E30" s="1066" t="s">
        <v>853</v>
      </c>
      <c r="F30" s="1340" t="s">
        <v>8</v>
      </c>
      <c r="G30" s="1067">
        <f>IF( F30="Radio", VLOOKUP(H30,radio!$A$2:$B$33,2), IF(F30="PQR",VLOOKUP(H30,pqr!$A$2:$B$20,2),IF(F30="INTERNET",VLOOKUP(H30,internet!$A$2:$C$43,2),IF(F30="TV",VLOOKUP(H30,tv!$A$2:$B$10,2),""))) )</f>
        <v>65</v>
      </c>
      <c r="H30" s="1179" t="s">
        <v>735</v>
      </c>
      <c r="I30" s="1179" t="s">
        <v>51</v>
      </c>
      <c r="J30" s="1355" t="s">
        <v>80</v>
      </c>
      <c r="K30" s="941" t="s">
        <v>81</v>
      </c>
      <c r="L30" s="353"/>
      <c r="M30" s="1391"/>
      <c r="N30" s="1297"/>
      <c r="O30" s="727"/>
      <c r="P30" s="1297"/>
      <c r="Q30" s="1297"/>
      <c r="R30" s="1392"/>
      <c r="S30" s="781"/>
      <c r="T30" s="1068">
        <f>COUNTIF(D:D,N30)+COUNTIF(Dec!D:D,N30)</f>
        <v>0</v>
      </c>
      <c r="U30" s="341"/>
      <c r="V30" s="321"/>
    </row>
    <row r="31" spans="1:35">
      <c r="A31" s="321"/>
      <c r="B31" s="339"/>
      <c r="C31" s="1064">
        <v>44143</v>
      </c>
      <c r="D31" s="1065">
        <v>907</v>
      </c>
      <c r="E31" s="1066" t="s">
        <v>854</v>
      </c>
      <c r="F31" s="1340" t="s">
        <v>8</v>
      </c>
      <c r="G31" s="1067">
        <f>IF( F31="Radio", VLOOKUP(H31,radio!$A$2:$B$33,2), IF(F31="PQR",VLOOKUP(H31,pqr!$A$2:$B$20,2),IF(F31="INTERNET",VLOOKUP(H31,internet!$A$2:$C$43,2),IF(F31="TV",VLOOKUP(H31,tv!$A$2:$B$10,2),""))) )</f>
        <v>65</v>
      </c>
      <c r="H31" s="1179" t="s">
        <v>311</v>
      </c>
      <c r="I31" s="1179" t="s">
        <v>51</v>
      </c>
      <c r="J31" s="1355" t="s">
        <v>80</v>
      </c>
      <c r="K31" s="941" t="s">
        <v>81</v>
      </c>
      <c r="L31" s="353"/>
      <c r="M31" s="1391"/>
      <c r="N31" s="1297"/>
      <c r="O31" s="727"/>
      <c r="P31" s="1297"/>
      <c r="Q31" s="1297"/>
      <c r="R31" s="1392"/>
      <c r="S31" s="781"/>
      <c r="T31" s="1068">
        <f>COUNTIF(D:D,N31)+COUNTIF(Dec!D:D,N31)</f>
        <v>0</v>
      </c>
      <c r="U31" s="341"/>
      <c r="V31" s="321"/>
    </row>
    <row r="32" spans="1:35">
      <c r="A32" s="321"/>
      <c r="B32" s="339"/>
      <c r="C32" s="1064">
        <v>44144</v>
      </c>
      <c r="D32" s="1065"/>
      <c r="E32" s="1066" t="s">
        <v>855</v>
      </c>
      <c r="F32" s="1340" t="s">
        <v>8</v>
      </c>
      <c r="G32" s="1067">
        <f>IF( F32="Radio", VLOOKUP(H32,radio!$A$2:$B$33,2), IF(F32="PQR",VLOOKUP(H32,pqr!$A$2:$B$20,2),IF(F32="INTERNET",VLOOKUP(H32,internet!$A$2:$C$43,2),IF(F32="TV",VLOOKUP(H32,tv!$A$2:$B$10,2),""))) )</f>
        <v>64</v>
      </c>
      <c r="H32" s="1179" t="s">
        <v>684</v>
      </c>
      <c r="I32" s="1179" t="s">
        <v>51</v>
      </c>
      <c r="J32" s="1355" t="s">
        <v>80</v>
      </c>
      <c r="K32" s="941" t="s">
        <v>81</v>
      </c>
      <c r="L32" s="353"/>
      <c r="M32" s="1391"/>
      <c r="N32" s="1297"/>
      <c r="O32" s="727"/>
      <c r="P32" s="1297"/>
      <c r="Q32" s="1297"/>
      <c r="R32" s="1392"/>
      <c r="S32" s="781"/>
      <c r="T32" s="1068">
        <f>COUNTIF(D:D,N32)+COUNTIF(Dec!D:D,N32)</f>
        <v>0</v>
      </c>
      <c r="U32" s="341"/>
      <c r="V32" s="321"/>
    </row>
    <row r="33" spans="1:35">
      <c r="A33" s="321"/>
      <c r="B33" s="339"/>
      <c r="C33" s="1064">
        <v>44144</v>
      </c>
      <c r="D33" s="1065" t="s">
        <v>856</v>
      </c>
      <c r="E33" s="1066" t="s">
        <v>857</v>
      </c>
      <c r="F33" s="1340" t="s">
        <v>9</v>
      </c>
      <c r="G33" s="1067">
        <v>64</v>
      </c>
      <c r="H33" s="1179" t="s">
        <v>605</v>
      </c>
      <c r="I33" s="1179" t="s">
        <v>53</v>
      </c>
      <c r="J33" s="1355" t="s">
        <v>80</v>
      </c>
      <c r="K33" s="941" t="s">
        <v>74</v>
      </c>
      <c r="L33" s="353"/>
      <c r="M33" s="1391"/>
      <c r="N33" s="1297"/>
      <c r="O33" s="727"/>
      <c r="P33" s="1297"/>
      <c r="Q33" s="1297"/>
      <c r="R33" s="1392"/>
      <c r="S33" s="781"/>
      <c r="T33" s="1068">
        <f>COUNTIF(D:D,N33)+COUNTIF(Dec!D:D,N33)</f>
        <v>0</v>
      </c>
      <c r="U33" s="341"/>
      <c r="V33" s="321"/>
    </row>
    <row r="34" spans="1:35" s="365" customFormat="1" ht="15.75" customHeight="1">
      <c r="A34" s="363"/>
      <c r="B34" s="364"/>
      <c r="C34" s="1064">
        <v>44144</v>
      </c>
      <c r="D34" s="1065" t="s">
        <v>856</v>
      </c>
      <c r="E34" s="1008" t="s">
        <v>858</v>
      </c>
      <c r="F34" s="1340" t="s">
        <v>9</v>
      </c>
      <c r="G34" s="1067">
        <v>64</v>
      </c>
      <c r="H34" s="1179" t="s">
        <v>607</v>
      </c>
      <c r="I34" s="1179" t="s">
        <v>53</v>
      </c>
      <c r="J34" s="1355" t="s">
        <v>80</v>
      </c>
      <c r="K34" s="972" t="s">
        <v>74</v>
      </c>
      <c r="L34" s="353"/>
      <c r="M34" s="1393"/>
      <c r="N34" s="1394"/>
      <c r="O34" s="1388"/>
      <c r="P34" s="1395"/>
      <c r="Q34" s="1395"/>
      <c r="R34" s="1387"/>
      <c r="S34" s="781"/>
      <c r="T34" s="1068">
        <f>COUNTIF(D:D,N34)+COUNTIF(Dec!D:D,N34)</f>
        <v>0</v>
      </c>
      <c r="U34" s="341"/>
      <c r="V34" s="363"/>
      <c r="W34" s="363"/>
      <c r="X34" s="363"/>
      <c r="Y34" s="363"/>
      <c r="Z34" s="363"/>
      <c r="AA34" s="363"/>
      <c r="AB34" s="363"/>
      <c r="AC34" s="363"/>
      <c r="AD34" s="363"/>
      <c r="AE34" s="363"/>
      <c r="AF34" s="363"/>
      <c r="AG34" s="363"/>
      <c r="AH34" s="363"/>
      <c r="AI34" s="363"/>
    </row>
    <row r="35" spans="1:35" s="362" customFormat="1">
      <c r="A35" s="360"/>
      <c r="B35" s="361"/>
      <c r="C35" s="1064">
        <v>44144</v>
      </c>
      <c r="D35" s="1065">
        <v>92</v>
      </c>
      <c r="E35" s="1008" t="s">
        <v>859</v>
      </c>
      <c r="F35" s="1340" t="s">
        <v>9</v>
      </c>
      <c r="G35" s="1067">
        <v>64</v>
      </c>
      <c r="H35" s="1179" t="s">
        <v>605</v>
      </c>
      <c r="I35" s="1179" t="s">
        <v>49</v>
      </c>
      <c r="J35" s="1355" t="s">
        <v>80</v>
      </c>
      <c r="K35" s="941" t="s">
        <v>74</v>
      </c>
      <c r="L35" s="358"/>
      <c r="M35" s="1386"/>
      <c r="N35" s="1395"/>
      <c r="O35" s="1396"/>
      <c r="P35" s="1395"/>
      <c r="Q35" s="1395"/>
      <c r="R35" s="1395"/>
      <c r="S35" s="781"/>
      <c r="T35" s="1068">
        <f>COUNTIF(D:D,N35)+COUNTIF(Dec!D:D,N35)</f>
        <v>0</v>
      </c>
      <c r="U35" s="341"/>
      <c r="V35" s="360"/>
      <c r="W35" s="360"/>
      <c r="X35" s="360"/>
      <c r="Y35" s="360"/>
      <c r="Z35" s="360"/>
      <c r="AA35" s="360"/>
      <c r="AB35" s="360"/>
      <c r="AC35" s="360"/>
      <c r="AD35" s="360"/>
      <c r="AE35" s="360"/>
      <c r="AF35" s="360"/>
      <c r="AG35" s="360"/>
      <c r="AH35" s="360"/>
      <c r="AI35" s="360"/>
    </row>
    <row r="36" spans="1:35" s="362" customFormat="1">
      <c r="A36" s="360"/>
      <c r="B36" s="361"/>
      <c r="C36" s="1358">
        <v>44144</v>
      </c>
      <c r="D36" s="1065">
        <v>92</v>
      </c>
      <c r="E36" s="1008" t="s">
        <v>860</v>
      </c>
      <c r="F36" s="1340" t="s">
        <v>9</v>
      </c>
      <c r="G36" s="1067">
        <v>64</v>
      </c>
      <c r="H36" s="1179" t="s">
        <v>560</v>
      </c>
      <c r="I36" s="1179" t="s">
        <v>49</v>
      </c>
      <c r="J36" s="1355" t="s">
        <v>80</v>
      </c>
      <c r="K36" s="972" t="s">
        <v>81</v>
      </c>
      <c r="L36" s="370"/>
      <c r="M36" s="1386"/>
      <c r="N36" s="1395"/>
      <c r="O36" s="1397"/>
      <c r="P36" s="1398"/>
      <c r="Q36" s="1395"/>
      <c r="R36" s="1398"/>
      <c r="S36" s="781"/>
      <c r="T36" s="1068">
        <f>COUNTIF(D:D,N36)+COUNTIF(Dec!D:D,N36)</f>
        <v>0</v>
      </c>
      <c r="U36" s="341"/>
      <c r="V36" s="360"/>
      <c r="W36" s="360"/>
      <c r="X36" s="360"/>
      <c r="Y36" s="360"/>
      <c r="Z36" s="360"/>
      <c r="AA36" s="360"/>
      <c r="AB36" s="360"/>
      <c r="AC36" s="360"/>
      <c r="AD36" s="360"/>
      <c r="AE36" s="360"/>
      <c r="AF36" s="360"/>
      <c r="AG36" s="360"/>
      <c r="AH36" s="360"/>
      <c r="AI36" s="360"/>
    </row>
    <row r="37" spans="1:35">
      <c r="A37" s="321"/>
      <c r="B37" s="339"/>
      <c r="C37" s="1358">
        <v>44145</v>
      </c>
      <c r="D37" s="1065">
        <v>92</v>
      </c>
      <c r="E37" s="1008" t="s">
        <v>860</v>
      </c>
      <c r="F37" s="1340" t="s">
        <v>8</v>
      </c>
      <c r="G37" s="1067">
        <f>IF( F37="Radio", VLOOKUP(H37,radio!$A$2:$B$33,2), IF(F37="PQR",VLOOKUP(H37,pqr!$A$2:$B$20,2),IF(F37="INTERNET",VLOOKUP(H37,internet!$A$2:$C$43,2),IF(F37="TV",VLOOKUP(H37,tv!$A$2:$B$10,2),""))) )</f>
        <v>64</v>
      </c>
      <c r="H37" s="1179" t="s">
        <v>396</v>
      </c>
      <c r="I37" s="1179" t="s">
        <v>49</v>
      </c>
      <c r="J37" s="1355" t="s">
        <v>80</v>
      </c>
      <c r="K37" s="972" t="s">
        <v>81</v>
      </c>
      <c r="L37" s="370"/>
      <c r="M37" s="1386"/>
      <c r="N37" s="1395"/>
      <c r="O37" s="1397"/>
      <c r="P37" s="1398"/>
      <c r="Q37" s="1395"/>
      <c r="R37" s="1398"/>
      <c r="S37" s="781"/>
      <c r="T37" s="1068">
        <f>COUNTIF(D:D,N37)+COUNTIF(Dec!D:D,N37)</f>
        <v>0</v>
      </c>
      <c r="U37" s="341"/>
      <c r="V37" s="321"/>
    </row>
    <row r="38" spans="1:35" ht="16.5" thickBot="1">
      <c r="A38" s="321"/>
      <c r="B38" s="339"/>
      <c r="C38" s="1358">
        <v>44145</v>
      </c>
      <c r="D38" s="1065">
        <v>92</v>
      </c>
      <c r="E38" s="1008" t="s">
        <v>860</v>
      </c>
      <c r="F38" s="1340" t="s">
        <v>8</v>
      </c>
      <c r="G38" s="1067">
        <f>IF( F38="Radio", VLOOKUP(H38,radio!$A$2:$B$33,2), IF(F38="PQR",VLOOKUP(H38,pqr!$A$2:$B$20,2),IF(F38="INTERNET",VLOOKUP(H38,internet!$A$2:$C$43,2),IF(F38="TV",VLOOKUP(H38,tv!$A$2:$B$10,2),""))) )</f>
        <v>64</v>
      </c>
      <c r="H38" s="1179" t="s">
        <v>556</v>
      </c>
      <c r="I38" s="1179" t="s">
        <v>49</v>
      </c>
      <c r="J38" s="1355" t="s">
        <v>80</v>
      </c>
      <c r="K38" s="972" t="s">
        <v>81</v>
      </c>
      <c r="L38" s="370"/>
      <c r="M38" s="1399"/>
      <c r="N38" s="1400"/>
      <c r="O38" s="1401"/>
      <c r="P38" s="1400"/>
      <c r="Q38" s="1400"/>
      <c r="R38" s="1400"/>
      <c r="S38" s="1402"/>
      <c r="T38" s="1068">
        <f>COUNTIF(D:D,N38)+COUNTIF(Dec!D:D,N38)</f>
        <v>0</v>
      </c>
      <c r="U38" s="341"/>
      <c r="V38" s="321"/>
    </row>
    <row r="39" spans="1:35" ht="16.5" thickBot="1">
      <c r="A39" s="321"/>
      <c r="B39" s="339"/>
      <c r="C39" s="1064">
        <v>44145</v>
      </c>
      <c r="D39" s="1065"/>
      <c r="E39" s="1008" t="s">
        <v>861</v>
      </c>
      <c r="F39" s="1340" t="s">
        <v>8</v>
      </c>
      <c r="G39" s="1067">
        <f>IF( F39="Radio", VLOOKUP(H39,radio!$A$2:$B$33,2), IF(F39="PQR",VLOOKUP(H39,pqr!$A$2:$B$20,2),IF(F39="INTERNET",VLOOKUP(H39,internet!$A$2:$C$43,2),IF(F39="TV",VLOOKUP(H39,tv!$A$2:$B$10,2),""))) )</f>
        <v>40</v>
      </c>
      <c r="H39" s="1179" t="s">
        <v>85</v>
      </c>
      <c r="I39" s="1179" t="s">
        <v>47</v>
      </c>
      <c r="J39" s="1355" t="s">
        <v>80</v>
      </c>
      <c r="K39" s="972" t="s">
        <v>81</v>
      </c>
      <c r="L39" s="358"/>
      <c r="M39" s="373"/>
      <c r="N39" s="369"/>
      <c r="O39" s="369"/>
      <c r="P39" s="369"/>
      <c r="Q39" s="369"/>
      <c r="R39" s="369"/>
      <c r="S39" s="369"/>
      <c r="T39" s="369"/>
      <c r="U39" s="780"/>
      <c r="V39" s="321"/>
    </row>
    <row r="40" spans="1:35" s="362" customFormat="1">
      <c r="A40" s="360"/>
      <c r="B40" s="361"/>
      <c r="C40" s="1064">
        <v>44145</v>
      </c>
      <c r="D40" s="1065">
        <v>98</v>
      </c>
      <c r="E40" s="1179" t="s">
        <v>862</v>
      </c>
      <c r="F40" s="1340" t="s">
        <v>9</v>
      </c>
      <c r="G40" s="1067">
        <v>40</v>
      </c>
      <c r="H40" s="1179" t="s">
        <v>577</v>
      </c>
      <c r="I40" s="1179" t="s">
        <v>47</v>
      </c>
      <c r="J40" s="1355" t="s">
        <v>80</v>
      </c>
      <c r="K40" s="972" t="s">
        <v>74</v>
      </c>
      <c r="L40" s="370"/>
      <c r="M40" s="1036" t="s">
        <v>64</v>
      </c>
      <c r="N40" s="489"/>
      <c r="O40" s="346"/>
      <c r="P40" s="346"/>
      <c r="Q40" s="346"/>
      <c r="R40" s="346"/>
      <c r="S40" s="346"/>
      <c r="T40" s="378"/>
      <c r="U40" s="372"/>
      <c r="V40" s="360"/>
      <c r="W40" s="360"/>
      <c r="X40" s="360"/>
      <c r="Y40" s="360"/>
      <c r="Z40" s="360"/>
      <c r="AA40" s="360"/>
      <c r="AB40" s="360"/>
      <c r="AC40" s="360"/>
      <c r="AD40" s="360"/>
      <c r="AE40" s="360"/>
      <c r="AF40" s="360"/>
      <c r="AG40" s="360"/>
      <c r="AH40" s="360"/>
      <c r="AI40" s="360"/>
    </row>
    <row r="41" spans="1:35" s="362" customFormat="1">
      <c r="A41" s="360"/>
      <c r="B41" s="361"/>
      <c r="C41" s="1064">
        <v>44141</v>
      </c>
      <c r="D41" s="1065">
        <v>902</v>
      </c>
      <c r="E41" s="1354" t="s">
        <v>863</v>
      </c>
      <c r="F41" s="1340" t="s">
        <v>10</v>
      </c>
      <c r="G41" s="1067">
        <v>40</v>
      </c>
      <c r="H41" s="1179" t="s">
        <v>766</v>
      </c>
      <c r="I41" s="1179" t="s">
        <v>52</v>
      </c>
      <c r="J41" s="1355" t="s">
        <v>80</v>
      </c>
      <c r="K41" s="973"/>
      <c r="L41" s="370"/>
      <c r="M41" s="490" t="s">
        <v>128</v>
      </c>
      <c r="N41" s="450">
        <f>SUM(N42:N44)</f>
        <v>72</v>
      </c>
      <c r="O41" s="346"/>
      <c r="P41" s="346"/>
      <c r="Q41" s="695"/>
      <c r="R41" s="346"/>
      <c r="S41" s="346"/>
      <c r="T41" s="378"/>
      <c r="U41" s="372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</row>
    <row r="42" spans="1:35" s="362" customFormat="1">
      <c r="A42" s="360"/>
      <c r="B42" s="361"/>
      <c r="C42" s="1358">
        <v>44153</v>
      </c>
      <c r="D42" s="1065">
        <v>93</v>
      </c>
      <c r="E42" s="1354" t="s">
        <v>864</v>
      </c>
      <c r="F42" s="1340" t="s">
        <v>8</v>
      </c>
      <c r="G42" s="1067">
        <v>65</v>
      </c>
      <c r="H42" s="1179" t="s">
        <v>550</v>
      </c>
      <c r="I42" s="1179" t="s">
        <v>52</v>
      </c>
      <c r="J42" s="1355" t="s">
        <v>80</v>
      </c>
      <c r="K42" s="973"/>
      <c r="L42" s="370"/>
      <c r="M42" s="491" t="s">
        <v>129</v>
      </c>
      <c r="N42" s="450">
        <f>COUNTIF(G$1:G214,40)</f>
        <v>18</v>
      </c>
      <c r="O42" s="346"/>
      <c r="P42" s="346"/>
      <c r="Q42" s="346"/>
      <c r="R42" s="346"/>
      <c r="S42" s="346"/>
      <c r="T42" s="378"/>
      <c r="U42" s="372"/>
      <c r="V42" s="360"/>
      <c r="W42" s="360"/>
      <c r="X42" s="360"/>
      <c r="Y42" s="360"/>
      <c r="Z42" s="360"/>
      <c r="AA42" s="360"/>
      <c r="AB42" s="360"/>
      <c r="AC42" s="360"/>
      <c r="AD42" s="360"/>
      <c r="AE42" s="360"/>
      <c r="AF42" s="360"/>
      <c r="AG42" s="360"/>
      <c r="AH42" s="360"/>
      <c r="AI42" s="360"/>
    </row>
    <row r="43" spans="1:35">
      <c r="A43" s="321"/>
      <c r="B43" s="339"/>
      <c r="C43" s="1064">
        <v>44151</v>
      </c>
      <c r="D43" s="1065">
        <v>94</v>
      </c>
      <c r="E43" s="1066" t="s">
        <v>865</v>
      </c>
      <c r="F43" s="1340" t="s">
        <v>8</v>
      </c>
      <c r="G43" s="1067">
        <v>40</v>
      </c>
      <c r="H43" s="1179" t="s">
        <v>85</v>
      </c>
      <c r="I43" s="1179" t="s">
        <v>51</v>
      </c>
      <c r="J43" s="1355" t="s">
        <v>80</v>
      </c>
      <c r="K43" s="973"/>
      <c r="L43" s="370"/>
      <c r="M43" s="491" t="s">
        <v>132</v>
      </c>
      <c r="N43" s="450">
        <f>COUNTIF(G$1:G214,65)</f>
        <v>33</v>
      </c>
      <c r="O43" s="369"/>
      <c r="P43" s="369"/>
      <c r="Q43" s="369"/>
      <c r="R43" s="369"/>
      <c r="S43" s="369"/>
      <c r="T43" s="378"/>
      <c r="U43" s="341"/>
      <c r="V43" s="321"/>
    </row>
    <row r="44" spans="1:35" s="362" customFormat="1" ht="16.5" thickBot="1">
      <c r="A44" s="360"/>
      <c r="B44" s="361"/>
      <c r="C44" s="1064">
        <v>44152</v>
      </c>
      <c r="D44" s="1065">
        <v>94</v>
      </c>
      <c r="E44" s="1066" t="s">
        <v>866</v>
      </c>
      <c r="F44" s="1340" t="s">
        <v>9</v>
      </c>
      <c r="G44" s="1067">
        <v>40</v>
      </c>
      <c r="H44" s="1179" t="s">
        <v>577</v>
      </c>
      <c r="I44" s="1179" t="s">
        <v>51</v>
      </c>
      <c r="J44" s="1355" t="s">
        <v>80</v>
      </c>
      <c r="K44" s="973"/>
      <c r="L44" s="370"/>
      <c r="M44" s="492" t="s">
        <v>134</v>
      </c>
      <c r="N44" s="456">
        <f>COUNTIF(G$1:G214,64)</f>
        <v>21</v>
      </c>
      <c r="O44" s="346"/>
      <c r="P44" s="346"/>
      <c r="Q44" s="346"/>
      <c r="R44" s="346"/>
      <c r="S44" s="346"/>
      <c r="T44" s="378"/>
      <c r="U44" s="372"/>
      <c r="V44" s="360"/>
      <c r="W44" s="360"/>
      <c r="X44" s="360"/>
      <c r="Y44" s="360"/>
      <c r="Z44" s="360"/>
      <c r="AA44" s="360"/>
      <c r="AB44" s="360"/>
      <c r="AC44" s="360"/>
      <c r="AD44" s="360"/>
      <c r="AE44" s="360"/>
      <c r="AF44" s="360"/>
      <c r="AG44" s="360"/>
      <c r="AH44" s="360"/>
      <c r="AI44" s="360"/>
    </row>
    <row r="45" spans="1:35">
      <c r="A45" s="321"/>
      <c r="B45" s="339"/>
      <c r="C45" s="1064">
        <v>44152</v>
      </c>
      <c r="D45" s="1065">
        <v>94</v>
      </c>
      <c r="E45" s="1354" t="s">
        <v>867</v>
      </c>
      <c r="F45" s="1340" t="s">
        <v>10</v>
      </c>
      <c r="G45" s="1067">
        <v>40</v>
      </c>
      <c r="H45" s="1179" t="s">
        <v>275</v>
      </c>
      <c r="I45" s="1179" t="s">
        <v>51</v>
      </c>
      <c r="J45" s="1355" t="s">
        <v>356</v>
      </c>
      <c r="K45" s="973"/>
      <c r="L45" s="358"/>
      <c r="M45" s="373"/>
      <c r="N45" s="369"/>
      <c r="O45" s="369"/>
      <c r="P45" s="369"/>
      <c r="Q45" s="695"/>
      <c r="R45" s="369"/>
      <c r="S45" s="369"/>
      <c r="T45" s="378"/>
      <c r="U45" s="341"/>
      <c r="V45" s="321"/>
    </row>
    <row r="46" spans="1:35" s="362" customFormat="1">
      <c r="A46" s="360"/>
      <c r="B46" s="361"/>
      <c r="C46" s="1064">
        <v>44152</v>
      </c>
      <c r="D46" s="1065">
        <v>94</v>
      </c>
      <c r="E46" s="1179" t="s">
        <v>868</v>
      </c>
      <c r="F46" s="1340" t="s">
        <v>10</v>
      </c>
      <c r="G46" s="1067">
        <v>40</v>
      </c>
      <c r="H46" s="1179" t="s">
        <v>275</v>
      </c>
      <c r="I46" s="1179" t="s">
        <v>51</v>
      </c>
      <c r="J46" s="1355" t="s">
        <v>80</v>
      </c>
      <c r="K46" s="973"/>
      <c r="L46" s="358"/>
      <c r="M46" s="346"/>
      <c r="N46" s="346"/>
      <c r="O46" s="346"/>
      <c r="P46" s="346"/>
      <c r="Q46" s="346"/>
      <c r="R46" s="346"/>
      <c r="S46" s="346"/>
      <c r="T46" s="346"/>
      <c r="U46" s="372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  <c r="AF46" s="360"/>
      <c r="AG46" s="360"/>
      <c r="AH46" s="360"/>
      <c r="AI46" s="360"/>
    </row>
    <row r="47" spans="1:35" s="362" customFormat="1">
      <c r="A47" s="360"/>
      <c r="B47" s="361"/>
      <c r="C47" s="1064">
        <v>44154</v>
      </c>
      <c r="D47" s="1065"/>
      <c r="E47" s="1353" t="s">
        <v>869</v>
      </c>
      <c r="F47" s="1340" t="s">
        <v>10</v>
      </c>
      <c r="G47" s="1067">
        <v>64</v>
      </c>
      <c r="H47" s="1179" t="s">
        <v>261</v>
      </c>
      <c r="I47" s="1179" t="s">
        <v>51</v>
      </c>
      <c r="J47" s="1355" t="s">
        <v>356</v>
      </c>
      <c r="K47" s="973"/>
      <c r="L47" s="358"/>
      <c r="M47" s="346"/>
      <c r="N47" s="346"/>
      <c r="O47" s="346"/>
      <c r="P47" s="346"/>
      <c r="Q47" s="346"/>
      <c r="R47" s="346"/>
      <c r="S47" s="346"/>
      <c r="T47" s="346"/>
      <c r="U47" s="372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360"/>
    </row>
    <row r="48" spans="1:35" s="362" customFormat="1">
      <c r="A48" s="360"/>
      <c r="B48" s="361"/>
      <c r="C48" s="1064">
        <v>44153</v>
      </c>
      <c r="D48" s="1065">
        <v>93</v>
      </c>
      <c r="E48" s="1353" t="s">
        <v>870</v>
      </c>
      <c r="F48" s="1340" t="s">
        <v>8</v>
      </c>
      <c r="G48" s="1067">
        <v>65</v>
      </c>
      <c r="H48" s="1179" t="s">
        <v>735</v>
      </c>
      <c r="I48" s="1179" t="s">
        <v>52</v>
      </c>
      <c r="J48" s="1355" t="s">
        <v>356</v>
      </c>
      <c r="K48" s="973"/>
      <c r="L48" s="358"/>
      <c r="M48" s="346"/>
      <c r="N48" s="346"/>
      <c r="O48" s="346"/>
      <c r="P48" s="346"/>
      <c r="Q48" s="346"/>
      <c r="R48" s="346"/>
      <c r="S48" s="346"/>
      <c r="T48" s="346"/>
      <c r="U48" s="372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  <c r="AF48" s="360"/>
      <c r="AG48" s="360"/>
      <c r="AH48" s="360"/>
      <c r="AI48" s="360"/>
    </row>
    <row r="49" spans="1:35" s="362" customFormat="1" ht="16.5" customHeight="1">
      <c r="A49" s="360"/>
      <c r="B49" s="361"/>
      <c r="C49" s="963">
        <v>44148</v>
      </c>
      <c r="D49" s="1065">
        <v>92</v>
      </c>
      <c r="E49" s="1353" t="s">
        <v>871</v>
      </c>
      <c r="F49" s="1340" t="s">
        <v>8</v>
      </c>
      <c r="G49" s="1067">
        <v>64</v>
      </c>
      <c r="H49" s="1179" t="s">
        <v>684</v>
      </c>
      <c r="I49" s="1008" t="s">
        <v>49</v>
      </c>
      <c r="J49" s="1355" t="s">
        <v>80</v>
      </c>
      <c r="K49" s="973"/>
      <c r="L49" s="358"/>
      <c r="M49" s="373"/>
      <c r="N49" s="346"/>
      <c r="O49" s="346"/>
      <c r="P49" s="346"/>
      <c r="Q49" s="346"/>
      <c r="R49" s="346"/>
      <c r="S49" s="346"/>
      <c r="T49" s="346"/>
      <c r="U49" s="372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/>
      <c r="AG49" s="360"/>
      <c r="AH49" s="360"/>
      <c r="AI49" s="360"/>
    </row>
    <row r="50" spans="1:35" s="362" customFormat="1">
      <c r="A50" s="360"/>
      <c r="B50" s="361"/>
      <c r="C50" s="963">
        <v>44148</v>
      </c>
      <c r="D50" s="936"/>
      <c r="E50" s="936" t="s">
        <v>872</v>
      </c>
      <c r="F50" s="1340" t="s">
        <v>8</v>
      </c>
      <c r="G50" s="1067">
        <v>64</v>
      </c>
      <c r="H50" s="1179" t="s">
        <v>684</v>
      </c>
      <c r="I50" s="1008" t="s">
        <v>52</v>
      </c>
      <c r="J50" s="1355" t="s">
        <v>625</v>
      </c>
      <c r="K50" s="973"/>
      <c r="L50" s="358"/>
      <c r="M50" s="373"/>
      <c r="N50" s="374"/>
      <c r="O50" s="346"/>
      <c r="P50" s="346"/>
      <c r="Q50" s="346"/>
      <c r="R50" s="346"/>
      <c r="S50" s="346"/>
      <c r="T50" s="346"/>
      <c r="U50" s="372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  <c r="AF50" s="360"/>
      <c r="AG50" s="360"/>
      <c r="AH50" s="360"/>
      <c r="AI50" s="360"/>
    </row>
    <row r="51" spans="1:35" s="362" customFormat="1">
      <c r="A51" s="360"/>
      <c r="B51" s="361"/>
      <c r="C51" s="963">
        <v>44154</v>
      </c>
      <c r="D51" s="1038">
        <v>95</v>
      </c>
      <c r="E51" s="936" t="s">
        <v>873</v>
      </c>
      <c r="F51" s="1340" t="s">
        <v>9</v>
      </c>
      <c r="G51" s="1067">
        <v>40</v>
      </c>
      <c r="H51" s="1179"/>
      <c r="I51" s="1008" t="s">
        <v>47</v>
      </c>
      <c r="J51" s="1355" t="s">
        <v>356</v>
      </c>
      <c r="K51" s="973"/>
      <c r="L51" s="370"/>
      <c r="M51" s="373"/>
      <c r="N51" s="374"/>
      <c r="O51" s="346"/>
      <c r="P51" s="346"/>
      <c r="Q51" s="346"/>
      <c r="R51" s="346"/>
      <c r="S51" s="346"/>
      <c r="T51" s="346"/>
      <c r="U51" s="372"/>
      <c r="V51" s="360"/>
      <c r="W51" s="360"/>
      <c r="X51" s="360"/>
      <c r="Y51" s="360"/>
      <c r="Z51" s="360"/>
      <c r="AA51" s="360"/>
      <c r="AB51" s="360"/>
      <c r="AC51" s="360"/>
      <c r="AD51" s="360"/>
      <c r="AE51" s="360"/>
      <c r="AF51" s="360"/>
      <c r="AG51" s="360"/>
      <c r="AH51" s="360"/>
      <c r="AI51" s="360"/>
    </row>
    <row r="52" spans="1:35" s="362" customFormat="1">
      <c r="A52" s="360"/>
      <c r="B52" s="361"/>
      <c r="C52" s="963">
        <v>44159</v>
      </c>
      <c r="D52" s="936"/>
      <c r="E52" s="936" t="s">
        <v>874</v>
      </c>
      <c r="F52" s="1340" t="s">
        <v>11</v>
      </c>
      <c r="G52" s="1067">
        <v>64</v>
      </c>
      <c r="H52" s="1179" t="s">
        <v>787</v>
      </c>
      <c r="I52" s="1008" t="s">
        <v>53</v>
      </c>
      <c r="J52" s="1355" t="s">
        <v>625</v>
      </c>
      <c r="K52" s="973"/>
      <c r="L52" s="370"/>
      <c r="M52" s="373"/>
      <c r="N52" s="374"/>
      <c r="O52" s="346"/>
      <c r="P52" s="346"/>
      <c r="Q52" s="346"/>
      <c r="R52" s="346"/>
      <c r="S52" s="346"/>
      <c r="T52" s="346"/>
      <c r="U52" s="372"/>
      <c r="V52" s="360"/>
      <c r="W52" s="360"/>
      <c r="X52" s="360"/>
      <c r="Y52" s="360"/>
      <c r="Z52" s="360"/>
      <c r="AA52" s="360"/>
      <c r="AB52" s="360"/>
      <c r="AC52" s="360"/>
      <c r="AD52" s="360"/>
      <c r="AE52" s="360"/>
      <c r="AF52" s="360"/>
      <c r="AG52" s="360"/>
      <c r="AH52" s="360"/>
      <c r="AI52" s="360"/>
    </row>
    <row r="53" spans="1:35">
      <c r="A53" s="321"/>
      <c r="B53" s="339"/>
      <c r="C53" s="963">
        <v>44160</v>
      </c>
      <c r="D53" s="936"/>
      <c r="E53" s="936" t="s">
        <v>874</v>
      </c>
      <c r="F53" s="1340" t="s">
        <v>11</v>
      </c>
      <c r="G53" s="1067">
        <v>40</v>
      </c>
      <c r="H53" s="1179" t="s">
        <v>802</v>
      </c>
      <c r="I53" s="1008" t="s">
        <v>53</v>
      </c>
      <c r="J53" s="1355" t="s">
        <v>625</v>
      </c>
      <c r="K53" s="973"/>
      <c r="L53" s="370"/>
      <c r="M53" s="373"/>
      <c r="N53" s="369"/>
      <c r="O53" s="369"/>
      <c r="P53" s="369"/>
      <c r="Q53" s="369"/>
      <c r="R53" s="369"/>
      <c r="S53" s="369"/>
      <c r="T53" s="369"/>
      <c r="U53" s="341"/>
      <c r="V53" s="321"/>
    </row>
    <row r="54" spans="1:35">
      <c r="A54" s="321"/>
      <c r="B54" s="339"/>
      <c r="C54" s="964">
        <v>44155</v>
      </c>
      <c r="D54" s="965">
        <v>93</v>
      </c>
      <c r="E54" s="959" t="s">
        <v>875</v>
      </c>
      <c r="F54" s="1340" t="s">
        <v>8</v>
      </c>
      <c r="G54" s="1067">
        <v>65</v>
      </c>
      <c r="H54" s="1179" t="s">
        <v>311</v>
      </c>
      <c r="I54" s="1008" t="s">
        <v>52</v>
      </c>
      <c r="J54" s="1355" t="s">
        <v>356</v>
      </c>
      <c r="K54" s="973"/>
      <c r="L54" s="370"/>
      <c r="M54" s="373"/>
      <c r="N54" s="369"/>
      <c r="O54" s="369"/>
      <c r="P54" s="369"/>
      <c r="Q54" s="369"/>
      <c r="R54" s="369"/>
      <c r="S54" s="369"/>
      <c r="T54" s="369"/>
      <c r="U54" s="341"/>
      <c r="V54" s="321"/>
    </row>
    <row r="55" spans="1:35">
      <c r="A55" s="321"/>
      <c r="B55" s="339"/>
      <c r="C55" s="964">
        <v>44155</v>
      </c>
      <c r="D55" s="965">
        <v>93</v>
      </c>
      <c r="E55" s="959" t="s">
        <v>875</v>
      </c>
      <c r="F55" s="1340" t="s">
        <v>9</v>
      </c>
      <c r="G55" s="1067">
        <v>65</v>
      </c>
      <c r="H55" s="1179" t="s">
        <v>311</v>
      </c>
      <c r="I55" s="1008" t="s">
        <v>52</v>
      </c>
      <c r="J55" s="1355" t="s">
        <v>356</v>
      </c>
      <c r="K55" s="974"/>
      <c r="L55" s="370"/>
      <c r="M55" s="373"/>
      <c r="N55" s="369"/>
      <c r="O55" s="369"/>
      <c r="P55" s="369"/>
      <c r="Q55" s="369"/>
      <c r="R55" s="369"/>
      <c r="S55" s="369"/>
      <c r="T55" s="369"/>
      <c r="U55" s="341"/>
      <c r="V55" s="321"/>
    </row>
    <row r="56" spans="1:35">
      <c r="A56" s="321"/>
      <c r="B56" s="339"/>
      <c r="C56" s="1353">
        <v>44161</v>
      </c>
      <c r="D56" s="1065">
        <v>96</v>
      </c>
      <c r="E56" s="1354" t="s">
        <v>876</v>
      </c>
      <c r="F56" s="1340" t="s">
        <v>9</v>
      </c>
      <c r="G56" s="1067">
        <v>65</v>
      </c>
      <c r="H56" s="1179" t="s">
        <v>572</v>
      </c>
      <c r="I56" s="1008" t="s">
        <v>52</v>
      </c>
      <c r="J56" s="1355" t="s">
        <v>80</v>
      </c>
      <c r="K56" s="974"/>
      <c r="L56" s="375"/>
      <c r="M56" s="373"/>
      <c r="N56" s="369"/>
      <c r="O56" s="369"/>
      <c r="P56" s="369"/>
      <c r="Q56" s="369"/>
      <c r="R56" s="369"/>
      <c r="S56" s="369"/>
      <c r="T56" s="369"/>
      <c r="U56" s="341"/>
      <c r="V56" s="321"/>
    </row>
    <row r="57" spans="1:35" s="362" customFormat="1">
      <c r="A57" s="360"/>
      <c r="B57" s="361"/>
      <c r="C57" s="1353">
        <v>44161</v>
      </c>
      <c r="D57" s="1065">
        <v>96</v>
      </c>
      <c r="E57" s="1354" t="s">
        <v>876</v>
      </c>
      <c r="F57" s="1340" t="s">
        <v>8</v>
      </c>
      <c r="G57" s="1067">
        <v>65</v>
      </c>
      <c r="H57" s="1179" t="s">
        <v>572</v>
      </c>
      <c r="I57" s="1008" t="s">
        <v>52</v>
      </c>
      <c r="J57" s="1355" t="s">
        <v>80</v>
      </c>
      <c r="K57" s="974"/>
      <c r="L57" s="358"/>
      <c r="M57" s="373"/>
      <c r="N57" s="346"/>
      <c r="O57" s="346"/>
      <c r="P57" s="346"/>
      <c r="Q57" s="346"/>
      <c r="R57" s="346"/>
      <c r="S57" s="346"/>
      <c r="T57" s="346"/>
      <c r="U57" s="372"/>
      <c r="V57" s="360"/>
      <c r="W57" s="360"/>
      <c r="X57" s="360"/>
      <c r="Y57" s="360"/>
      <c r="Z57" s="360"/>
      <c r="AA57" s="360"/>
      <c r="AB57" s="360"/>
      <c r="AC57" s="360"/>
      <c r="AD57" s="360"/>
      <c r="AE57" s="360"/>
      <c r="AF57" s="360"/>
      <c r="AG57" s="360"/>
      <c r="AH57" s="360"/>
      <c r="AI57" s="360"/>
    </row>
    <row r="58" spans="1:35" s="362" customFormat="1">
      <c r="A58" s="360"/>
      <c r="B58" s="361"/>
      <c r="C58" s="1064">
        <v>44161</v>
      </c>
      <c r="D58" s="1065">
        <v>96</v>
      </c>
      <c r="E58" s="1354" t="s">
        <v>877</v>
      </c>
      <c r="F58" s="1340" t="s">
        <v>8</v>
      </c>
      <c r="G58" s="1067">
        <v>65</v>
      </c>
      <c r="H58" s="1179" t="s">
        <v>91</v>
      </c>
      <c r="I58" s="1008" t="s">
        <v>52</v>
      </c>
      <c r="J58" s="1355" t="s">
        <v>356</v>
      </c>
      <c r="K58" s="974"/>
      <c r="L58" s="370"/>
      <c r="M58" s="373"/>
      <c r="N58" s="346"/>
      <c r="O58" s="346"/>
      <c r="P58" s="346"/>
      <c r="Q58" s="346"/>
      <c r="R58" s="346"/>
      <c r="S58" s="346"/>
      <c r="T58" s="346"/>
      <c r="U58" s="372"/>
      <c r="V58" s="360"/>
      <c r="W58" s="360"/>
      <c r="X58" s="360"/>
      <c r="Y58" s="360"/>
      <c r="Z58" s="360"/>
      <c r="AA58" s="360"/>
      <c r="AB58" s="360"/>
      <c r="AC58" s="360"/>
      <c r="AD58" s="360"/>
      <c r="AE58" s="360"/>
      <c r="AF58" s="360"/>
      <c r="AG58" s="360"/>
      <c r="AH58" s="360"/>
      <c r="AI58" s="360"/>
    </row>
    <row r="59" spans="1:35" s="362" customFormat="1">
      <c r="A59" s="360"/>
      <c r="B59" s="361"/>
      <c r="C59" s="1064">
        <v>44161</v>
      </c>
      <c r="D59" s="1065" t="s">
        <v>453</v>
      </c>
      <c r="E59" s="1338" t="s">
        <v>878</v>
      </c>
      <c r="F59" s="1340" t="s">
        <v>8</v>
      </c>
      <c r="G59" s="1067">
        <v>40</v>
      </c>
      <c r="H59" s="1179" t="s">
        <v>85</v>
      </c>
      <c r="I59" s="1008" t="s">
        <v>52</v>
      </c>
      <c r="J59" s="1355" t="s">
        <v>356</v>
      </c>
      <c r="K59" s="974"/>
      <c r="L59" s="370"/>
      <c r="M59" s="373"/>
      <c r="N59" s="346"/>
      <c r="O59" s="346"/>
      <c r="P59" s="346"/>
      <c r="Q59" s="346"/>
      <c r="R59" s="346"/>
      <c r="S59" s="346"/>
      <c r="T59" s="346"/>
      <c r="U59" s="372"/>
      <c r="V59" s="360"/>
      <c r="W59" s="360"/>
      <c r="X59" s="360"/>
      <c r="Y59" s="360"/>
      <c r="Z59" s="360"/>
      <c r="AA59" s="360"/>
      <c r="AB59" s="360"/>
      <c r="AC59" s="360"/>
      <c r="AD59" s="360"/>
      <c r="AE59" s="360"/>
      <c r="AF59" s="360"/>
      <c r="AG59" s="360"/>
      <c r="AH59" s="360"/>
      <c r="AI59" s="360"/>
    </row>
    <row r="60" spans="1:35" s="362" customFormat="1">
      <c r="A60" s="360"/>
      <c r="B60" s="361"/>
      <c r="C60" s="1064">
        <v>44155</v>
      </c>
      <c r="D60" s="1065">
        <v>93</v>
      </c>
      <c r="E60" s="1179" t="s">
        <v>875</v>
      </c>
      <c r="F60" s="1340" t="s">
        <v>8</v>
      </c>
      <c r="G60" s="1067">
        <v>65</v>
      </c>
      <c r="H60" s="1179" t="s">
        <v>91</v>
      </c>
      <c r="I60" s="1008" t="s">
        <v>52</v>
      </c>
      <c r="J60" s="1355" t="s">
        <v>356</v>
      </c>
      <c r="K60" s="973"/>
      <c r="L60" s="370"/>
      <c r="M60" s="373"/>
      <c r="N60" s="346"/>
      <c r="O60" s="346"/>
      <c r="P60" s="346"/>
      <c r="Q60" s="346"/>
      <c r="R60" s="346"/>
      <c r="S60" s="346"/>
      <c r="T60" s="346"/>
      <c r="U60" s="372"/>
      <c r="V60" s="360"/>
      <c r="W60" s="360"/>
      <c r="X60" s="360"/>
      <c r="Y60" s="360"/>
      <c r="Z60" s="360"/>
      <c r="AA60" s="360"/>
      <c r="AB60" s="360"/>
      <c r="AC60" s="360"/>
      <c r="AD60" s="360"/>
      <c r="AE60" s="360"/>
      <c r="AF60" s="360"/>
      <c r="AG60" s="360"/>
      <c r="AH60" s="360"/>
      <c r="AI60" s="360"/>
    </row>
    <row r="61" spans="1:35" s="362" customFormat="1">
      <c r="A61" s="360"/>
      <c r="B61" s="361"/>
      <c r="C61" s="1064">
        <v>44159</v>
      </c>
      <c r="D61" s="1065">
        <v>96</v>
      </c>
      <c r="E61" s="1354" t="s">
        <v>876</v>
      </c>
      <c r="F61" s="1340" t="s">
        <v>8</v>
      </c>
      <c r="G61" s="1067">
        <v>65</v>
      </c>
      <c r="H61" s="1179" t="s">
        <v>735</v>
      </c>
      <c r="I61" s="1008" t="s">
        <v>52</v>
      </c>
      <c r="J61" s="1355" t="s">
        <v>356</v>
      </c>
      <c r="K61" s="974"/>
      <c r="L61" s="370"/>
      <c r="M61" s="373"/>
      <c r="N61" s="346"/>
      <c r="O61" s="346"/>
      <c r="P61" s="346"/>
      <c r="Q61" s="346"/>
      <c r="R61" s="346"/>
      <c r="S61" s="346"/>
      <c r="T61" s="346"/>
      <c r="U61" s="372"/>
      <c r="V61" s="360"/>
      <c r="W61" s="360"/>
      <c r="X61" s="360"/>
      <c r="Y61" s="360"/>
      <c r="Z61" s="360"/>
      <c r="AA61" s="360"/>
      <c r="AB61" s="360"/>
      <c r="AC61" s="360"/>
      <c r="AD61" s="360"/>
      <c r="AE61" s="360"/>
      <c r="AF61" s="360"/>
      <c r="AG61" s="360"/>
      <c r="AH61" s="360"/>
      <c r="AI61" s="360"/>
    </row>
    <row r="62" spans="1:35" s="362" customFormat="1">
      <c r="A62" s="360"/>
      <c r="B62" s="361"/>
      <c r="C62" s="1064">
        <v>44159</v>
      </c>
      <c r="D62" s="1065" t="s">
        <v>879</v>
      </c>
      <c r="E62" s="1007" t="s">
        <v>880</v>
      </c>
      <c r="F62" s="1340" t="s">
        <v>8</v>
      </c>
      <c r="G62" s="1067"/>
      <c r="H62" s="1179"/>
      <c r="I62" s="1008" t="s">
        <v>53</v>
      </c>
      <c r="J62" s="1355" t="s">
        <v>80</v>
      </c>
      <c r="K62" s="974"/>
      <c r="L62" s="370"/>
      <c r="M62" s="373"/>
      <c r="N62" s="346"/>
      <c r="O62" s="346"/>
      <c r="P62" s="346"/>
      <c r="Q62" s="346"/>
      <c r="R62" s="346"/>
      <c r="S62" s="346"/>
      <c r="T62" s="346"/>
      <c r="U62" s="372"/>
      <c r="V62" s="360"/>
      <c r="W62" s="360"/>
      <c r="X62" s="360"/>
      <c r="Y62" s="360"/>
      <c r="Z62" s="360"/>
      <c r="AA62" s="360"/>
      <c r="AB62" s="360"/>
      <c r="AC62" s="360"/>
      <c r="AD62" s="360"/>
      <c r="AE62" s="360"/>
      <c r="AF62" s="360"/>
      <c r="AG62" s="360"/>
      <c r="AH62" s="360"/>
      <c r="AI62" s="360"/>
    </row>
    <row r="63" spans="1:35" s="362" customFormat="1">
      <c r="A63" s="360"/>
      <c r="B63" s="361"/>
      <c r="C63" s="1064">
        <v>44159</v>
      </c>
      <c r="D63" s="1065" t="s">
        <v>879</v>
      </c>
      <c r="E63" s="1007" t="s">
        <v>880</v>
      </c>
      <c r="F63" s="1340" t="s">
        <v>8</v>
      </c>
      <c r="G63" s="1067"/>
      <c r="H63" s="1179"/>
      <c r="I63" s="1008" t="s">
        <v>53</v>
      </c>
      <c r="J63" s="1355" t="s">
        <v>80</v>
      </c>
      <c r="K63" s="973"/>
      <c r="L63" s="375"/>
      <c r="M63" s="373"/>
      <c r="N63" s="346"/>
      <c r="O63" s="346"/>
      <c r="P63" s="346"/>
      <c r="Q63" s="346"/>
      <c r="R63" s="346"/>
      <c r="S63" s="346"/>
      <c r="T63" s="346"/>
      <c r="U63" s="372"/>
      <c r="V63" s="327"/>
      <c r="W63" s="327"/>
      <c r="X63" s="689"/>
      <c r="Y63" s="326"/>
      <c r="Z63" s="328"/>
      <c r="AA63" s="1306"/>
      <c r="AB63" s="1306"/>
      <c r="AC63" s="1306"/>
      <c r="AD63" s="1306"/>
      <c r="AE63" s="326"/>
      <c r="AF63" s="326"/>
      <c r="AG63" s="321"/>
      <c r="AH63" s="321"/>
      <c r="AI63" s="360"/>
    </row>
    <row r="64" spans="1:35" s="362" customFormat="1">
      <c r="A64" s="360"/>
      <c r="B64" s="361"/>
      <c r="C64" s="1064">
        <v>44155</v>
      </c>
      <c r="D64" s="1065" t="s">
        <v>879</v>
      </c>
      <c r="E64" s="1007" t="s">
        <v>881</v>
      </c>
      <c r="F64" s="1340" t="s">
        <v>8</v>
      </c>
      <c r="G64" s="1067"/>
      <c r="H64" s="1179"/>
      <c r="I64" s="1008" t="s">
        <v>52</v>
      </c>
      <c r="J64" s="1355" t="s">
        <v>356</v>
      </c>
      <c r="K64" s="973"/>
      <c r="L64" s="358"/>
      <c r="M64" s="373"/>
      <c r="N64" s="346"/>
      <c r="O64" s="346"/>
      <c r="P64" s="346"/>
      <c r="Q64" s="346"/>
      <c r="R64" s="346"/>
      <c r="S64" s="346"/>
      <c r="T64" s="346"/>
      <c r="U64" s="372"/>
      <c r="V64" s="327"/>
      <c r="W64" s="327"/>
      <c r="X64" s="689"/>
      <c r="Y64" s="326"/>
      <c r="Z64" s="328"/>
      <c r="AA64" s="1306"/>
      <c r="AB64" s="1306"/>
      <c r="AC64" s="1306"/>
      <c r="AD64" s="1306"/>
      <c r="AE64" s="326"/>
      <c r="AF64" s="326"/>
      <c r="AG64" s="321"/>
      <c r="AH64" s="321"/>
      <c r="AI64" s="360"/>
    </row>
    <row r="65" spans="1:35" s="362" customFormat="1">
      <c r="A65" s="360"/>
      <c r="B65" s="361"/>
      <c r="C65" s="1064">
        <v>44161</v>
      </c>
      <c r="D65" s="1065" t="s">
        <v>879</v>
      </c>
      <c r="E65" s="1007" t="s">
        <v>882</v>
      </c>
      <c r="F65" s="1340" t="s">
        <v>8</v>
      </c>
      <c r="G65" s="1067"/>
      <c r="H65" s="1179"/>
      <c r="I65" s="1008" t="s">
        <v>52</v>
      </c>
      <c r="J65" s="1355" t="s">
        <v>356</v>
      </c>
      <c r="K65" s="973"/>
      <c r="L65" s="358"/>
      <c r="M65" s="373"/>
      <c r="N65" s="346"/>
      <c r="O65" s="346"/>
      <c r="P65" s="346"/>
      <c r="Q65" s="346"/>
      <c r="R65" s="346"/>
      <c r="S65" s="346"/>
      <c r="T65" s="346"/>
      <c r="U65" s="372"/>
      <c r="V65" s="327"/>
      <c r="W65" s="327"/>
      <c r="X65" s="689"/>
      <c r="Y65" s="326"/>
      <c r="Z65" s="328"/>
      <c r="AA65" s="1306"/>
      <c r="AB65" s="1306"/>
      <c r="AC65" s="1306"/>
      <c r="AD65" s="1306"/>
      <c r="AE65" s="326"/>
      <c r="AF65" s="326"/>
      <c r="AG65" s="321"/>
      <c r="AH65" s="321"/>
      <c r="AI65" s="360"/>
    </row>
    <row r="66" spans="1:35" s="362" customFormat="1">
      <c r="A66" s="360"/>
      <c r="B66" s="361"/>
      <c r="C66" s="1064">
        <v>44161</v>
      </c>
      <c r="D66" s="1065" t="s">
        <v>879</v>
      </c>
      <c r="E66" s="1007" t="s">
        <v>882</v>
      </c>
      <c r="F66" s="1340" t="s">
        <v>8</v>
      </c>
      <c r="G66" s="1067"/>
      <c r="H66" s="1179"/>
      <c r="I66" s="1008" t="s">
        <v>52</v>
      </c>
      <c r="J66" s="1355" t="s">
        <v>356</v>
      </c>
      <c r="K66" s="973"/>
      <c r="L66" s="358"/>
      <c r="M66" s="373"/>
      <c r="N66" s="369"/>
      <c r="O66" s="346"/>
      <c r="P66" s="346"/>
      <c r="Q66" s="346"/>
      <c r="R66" s="346"/>
      <c r="S66" s="346"/>
      <c r="T66" s="346"/>
      <c r="U66" s="372"/>
      <c r="V66" s="327"/>
      <c r="W66" s="327"/>
      <c r="X66" s="689"/>
      <c r="Y66" s="326"/>
      <c r="Z66" s="328"/>
      <c r="AA66" s="1306"/>
      <c r="AB66" s="1306"/>
      <c r="AC66" s="1306"/>
      <c r="AD66" s="1306"/>
      <c r="AE66" s="326"/>
      <c r="AF66" s="326"/>
      <c r="AG66" s="321"/>
      <c r="AH66" s="321"/>
      <c r="AI66" s="360"/>
    </row>
    <row r="67" spans="1:35" s="362" customFormat="1">
      <c r="A67" s="360"/>
      <c r="B67" s="361"/>
      <c r="C67" s="1064">
        <v>44161</v>
      </c>
      <c r="D67" s="1065" t="s">
        <v>879</v>
      </c>
      <c r="E67" s="1354" t="s">
        <v>883</v>
      </c>
      <c r="F67" s="1340" t="s">
        <v>8</v>
      </c>
      <c r="G67" s="1067">
        <v>64</v>
      </c>
      <c r="H67" s="1179" t="s">
        <v>396</v>
      </c>
      <c r="I67" s="1008" t="s">
        <v>52</v>
      </c>
      <c r="J67" s="1355" t="s">
        <v>356</v>
      </c>
      <c r="K67" s="974"/>
      <c r="L67" s="358"/>
      <c r="M67" s="373"/>
      <c r="N67" s="369"/>
      <c r="O67" s="346"/>
      <c r="P67" s="346"/>
      <c r="Q67" s="346"/>
      <c r="R67" s="346"/>
      <c r="S67" s="346"/>
      <c r="T67" s="346"/>
      <c r="U67" s="372"/>
      <c r="V67" s="327"/>
      <c r="W67" s="327"/>
      <c r="X67" s="689"/>
      <c r="Y67" s="326"/>
      <c r="Z67" s="328"/>
      <c r="AA67" s="1306"/>
      <c r="AB67" s="1306"/>
      <c r="AC67" s="1306"/>
      <c r="AD67" s="1306"/>
      <c r="AE67" s="326"/>
      <c r="AF67" s="326"/>
      <c r="AG67" s="321"/>
      <c r="AH67" s="321"/>
      <c r="AI67" s="360"/>
    </row>
    <row r="68" spans="1:35" s="362" customFormat="1">
      <c r="A68" s="360"/>
      <c r="B68" s="361"/>
      <c r="C68" s="1064">
        <v>44161</v>
      </c>
      <c r="D68" s="1065" t="s">
        <v>879</v>
      </c>
      <c r="E68" s="1354" t="s">
        <v>883</v>
      </c>
      <c r="F68" s="1340" t="s">
        <v>8</v>
      </c>
      <c r="G68" s="1067">
        <v>64</v>
      </c>
      <c r="H68" s="1179" t="s">
        <v>556</v>
      </c>
      <c r="I68" s="1008" t="s">
        <v>52</v>
      </c>
      <c r="J68" s="1355" t="s">
        <v>356</v>
      </c>
      <c r="K68" s="973"/>
      <c r="L68" s="358"/>
      <c r="M68" s="373"/>
      <c r="N68" s="369"/>
      <c r="O68" s="346"/>
      <c r="P68" s="346"/>
      <c r="Q68" s="346"/>
      <c r="R68" s="346"/>
      <c r="S68" s="346"/>
      <c r="T68" s="346"/>
      <c r="U68" s="372"/>
      <c r="V68" s="327"/>
      <c r="W68" s="327"/>
      <c r="X68" s="689"/>
      <c r="Y68" s="326"/>
      <c r="Z68" s="328"/>
      <c r="AA68" s="1306"/>
      <c r="AB68" s="1306"/>
      <c r="AC68" s="1306"/>
      <c r="AD68" s="1306"/>
      <c r="AE68" s="326"/>
      <c r="AF68" s="326"/>
      <c r="AG68" s="321"/>
      <c r="AH68" s="321"/>
      <c r="AI68" s="360"/>
    </row>
    <row r="69" spans="1:35" s="362" customFormat="1">
      <c r="A69" s="360"/>
      <c r="B69" s="361"/>
      <c r="C69" s="1064">
        <v>44144</v>
      </c>
      <c r="D69" s="1065" t="s">
        <v>856</v>
      </c>
      <c r="E69" s="967" t="s">
        <v>884</v>
      </c>
      <c r="F69" s="1340" t="s">
        <v>9</v>
      </c>
      <c r="G69" s="1067">
        <v>40</v>
      </c>
      <c r="H69" s="1179" t="s">
        <v>577</v>
      </c>
      <c r="I69" s="1008" t="s">
        <v>53</v>
      </c>
      <c r="J69" s="1355" t="s">
        <v>356</v>
      </c>
      <c r="K69" s="973"/>
      <c r="L69" s="358"/>
      <c r="M69" s="373"/>
      <c r="N69" s="369"/>
      <c r="O69" s="346"/>
      <c r="P69" s="346"/>
      <c r="Q69" s="346"/>
      <c r="R69" s="346"/>
      <c r="S69" s="346"/>
      <c r="T69" s="346"/>
      <c r="U69" s="372"/>
      <c r="V69" s="327"/>
      <c r="W69" s="327"/>
      <c r="X69" s="689"/>
      <c r="Y69" s="326"/>
      <c r="Z69" s="690"/>
      <c r="AA69" s="691"/>
      <c r="AB69" s="691"/>
      <c r="AC69" s="326"/>
      <c r="AD69" s="326"/>
      <c r="AE69" s="326"/>
      <c r="AF69" s="326"/>
      <c r="AG69" s="321"/>
      <c r="AH69" s="321"/>
      <c r="AI69" s="360"/>
    </row>
    <row r="70" spans="1:35" s="362" customFormat="1">
      <c r="A70" s="360"/>
      <c r="B70" s="361"/>
      <c r="C70" s="968">
        <v>44147</v>
      </c>
      <c r="D70" s="969">
        <v>100</v>
      </c>
      <c r="E70" s="970" t="s">
        <v>885</v>
      </c>
      <c r="F70" s="1340" t="s">
        <v>9</v>
      </c>
      <c r="G70" s="1067">
        <v>40</v>
      </c>
      <c r="H70" s="1179" t="s">
        <v>203</v>
      </c>
      <c r="I70" s="1008" t="s">
        <v>50</v>
      </c>
      <c r="J70" s="1355" t="s">
        <v>356</v>
      </c>
      <c r="K70" s="973"/>
      <c r="L70" s="353"/>
      <c r="M70" s="373"/>
      <c r="N70" s="369"/>
      <c r="O70" s="346"/>
      <c r="P70" s="346"/>
      <c r="Q70" s="346"/>
      <c r="R70" s="346"/>
      <c r="S70" s="346"/>
      <c r="T70" s="346"/>
      <c r="U70" s="372"/>
      <c r="V70" s="327"/>
      <c r="W70" s="327"/>
      <c r="X70" s="689"/>
      <c r="Y70" s="326"/>
      <c r="Z70" s="326"/>
      <c r="AA70" s="326"/>
      <c r="AB70" s="326"/>
      <c r="AC70" s="326"/>
      <c r="AD70" s="326"/>
      <c r="AE70" s="326"/>
      <c r="AF70" s="326"/>
      <c r="AG70" s="321"/>
      <c r="AH70" s="321"/>
      <c r="AI70" s="360"/>
    </row>
    <row r="71" spans="1:35" s="362" customFormat="1">
      <c r="A71" s="360"/>
      <c r="B71" s="361"/>
      <c r="C71" s="1064">
        <v>44164</v>
      </c>
      <c r="D71" s="1065"/>
      <c r="E71" s="966" t="s">
        <v>886</v>
      </c>
      <c r="F71" s="1340" t="s">
        <v>8</v>
      </c>
      <c r="G71" s="1067">
        <v>65</v>
      </c>
      <c r="H71" s="1179" t="s">
        <v>311</v>
      </c>
      <c r="I71" s="1008" t="s">
        <v>53</v>
      </c>
      <c r="J71" s="1355" t="s">
        <v>625</v>
      </c>
      <c r="K71" s="973"/>
      <c r="L71" s="353"/>
      <c r="M71" s="373"/>
      <c r="N71" s="369"/>
      <c r="O71" s="346"/>
      <c r="P71" s="346"/>
      <c r="Q71" s="346"/>
      <c r="R71" s="346"/>
      <c r="S71" s="346"/>
      <c r="T71" s="346"/>
      <c r="U71" s="372"/>
      <c r="V71" s="360"/>
      <c r="W71" s="360"/>
      <c r="X71" s="360"/>
      <c r="Y71" s="327"/>
      <c r="Z71" s="327"/>
      <c r="AA71" s="327"/>
      <c r="AB71" s="327"/>
      <c r="AC71" s="327"/>
      <c r="AD71" s="327"/>
      <c r="AE71" s="327"/>
      <c r="AF71" s="327"/>
      <c r="AG71" s="360"/>
      <c r="AH71" s="360"/>
      <c r="AI71" s="360"/>
    </row>
    <row r="72" spans="1:35" s="362" customFormat="1">
      <c r="A72" s="360"/>
      <c r="B72" s="361"/>
      <c r="C72" s="1064">
        <v>44162</v>
      </c>
      <c r="D72" s="1065"/>
      <c r="E72" s="1338" t="s">
        <v>887</v>
      </c>
      <c r="F72" s="1340" t="s">
        <v>9</v>
      </c>
      <c r="G72" s="1067">
        <v>65</v>
      </c>
      <c r="H72" s="1179" t="s">
        <v>572</v>
      </c>
      <c r="I72" s="1008" t="s">
        <v>53</v>
      </c>
      <c r="J72" s="1355" t="s">
        <v>625</v>
      </c>
      <c r="K72" s="972" t="s">
        <v>427</v>
      </c>
      <c r="L72" s="346"/>
      <c r="M72" s="373"/>
      <c r="N72" s="369"/>
      <c r="O72" s="346"/>
      <c r="P72" s="346"/>
      <c r="Q72" s="346"/>
      <c r="R72" s="346"/>
      <c r="S72" s="346"/>
      <c r="T72" s="346"/>
      <c r="U72" s="372"/>
      <c r="V72" s="360"/>
      <c r="W72" s="360"/>
      <c r="X72" s="360"/>
      <c r="Y72" s="360"/>
      <c r="Z72" s="360"/>
      <c r="AA72" s="360"/>
      <c r="AB72" s="360"/>
      <c r="AC72" s="360"/>
      <c r="AD72" s="360"/>
      <c r="AE72" s="360"/>
      <c r="AF72" s="360"/>
      <c r="AG72" s="360"/>
      <c r="AH72" s="360"/>
      <c r="AI72" s="360"/>
    </row>
    <row r="73" spans="1:35" s="362" customFormat="1">
      <c r="A73" s="360"/>
      <c r="B73" s="361"/>
      <c r="C73" s="1353">
        <v>44162</v>
      </c>
      <c r="D73" s="1065"/>
      <c r="E73" s="1403" t="s">
        <v>887</v>
      </c>
      <c r="F73" s="1340" t="s">
        <v>9</v>
      </c>
      <c r="G73" s="1067">
        <v>65</v>
      </c>
      <c r="H73" s="1179" t="s">
        <v>888</v>
      </c>
      <c r="I73" s="1008" t="s">
        <v>53</v>
      </c>
      <c r="J73" s="1355" t="s">
        <v>625</v>
      </c>
      <c r="K73" s="973"/>
      <c r="L73" s="346"/>
      <c r="M73" s="346"/>
      <c r="N73" s="369"/>
      <c r="O73" s="346"/>
      <c r="P73" s="346"/>
      <c r="Q73" s="346"/>
      <c r="R73" s="346"/>
      <c r="S73" s="346"/>
      <c r="T73" s="346"/>
      <c r="U73" s="372"/>
      <c r="V73" s="360"/>
      <c r="W73" s="360"/>
      <c r="X73" s="360"/>
      <c r="Y73" s="360"/>
      <c r="Z73" s="360"/>
      <c r="AA73" s="360"/>
      <c r="AB73" s="360"/>
      <c r="AC73" s="360"/>
      <c r="AD73" s="360"/>
      <c r="AE73" s="360"/>
      <c r="AF73" s="360"/>
      <c r="AG73" s="360"/>
      <c r="AH73" s="360"/>
      <c r="AI73" s="360"/>
    </row>
    <row r="74" spans="1:35" s="362" customFormat="1">
      <c r="A74" s="360"/>
      <c r="B74" s="361"/>
      <c r="C74" s="1353">
        <v>44162</v>
      </c>
      <c r="D74" s="1038" t="s">
        <v>889</v>
      </c>
      <c r="E74" s="1404" t="s">
        <v>890</v>
      </c>
      <c r="F74" s="1340" t="s">
        <v>8</v>
      </c>
      <c r="G74" s="1405">
        <v>40</v>
      </c>
      <c r="H74" s="1179" t="s">
        <v>85</v>
      </c>
      <c r="I74" s="1179" t="s">
        <v>52</v>
      </c>
      <c r="J74" s="1355" t="s">
        <v>356</v>
      </c>
      <c r="K74" s="975"/>
      <c r="L74" s="346"/>
      <c r="M74" s="346"/>
      <c r="N74" s="369"/>
      <c r="O74" s="346"/>
      <c r="P74" s="346"/>
      <c r="Q74" s="346"/>
      <c r="R74" s="346"/>
      <c r="S74" s="346"/>
      <c r="T74" s="346"/>
      <c r="U74" s="372"/>
      <c r="V74" s="360"/>
      <c r="W74" s="360"/>
      <c r="X74" s="360"/>
      <c r="Y74" s="360"/>
      <c r="Z74" s="360"/>
      <c r="AA74" s="360"/>
      <c r="AB74" s="360"/>
      <c r="AC74" s="360"/>
      <c r="AD74" s="360"/>
      <c r="AE74" s="360"/>
      <c r="AF74" s="360"/>
      <c r="AG74" s="360"/>
      <c r="AH74" s="360"/>
      <c r="AI74" s="360"/>
    </row>
    <row r="75" spans="1:35">
      <c r="A75" s="321"/>
      <c r="B75" s="339"/>
      <c r="C75" s="1353">
        <v>44162</v>
      </c>
      <c r="D75" s="1065"/>
      <c r="E75" s="1406" t="s">
        <v>891</v>
      </c>
      <c r="F75" s="1340" t="s">
        <v>8</v>
      </c>
      <c r="G75" s="1067">
        <v>40</v>
      </c>
      <c r="H75" s="1179" t="s">
        <v>85</v>
      </c>
      <c r="I75" s="1008" t="s">
        <v>49</v>
      </c>
      <c r="J75" s="1355" t="s">
        <v>356</v>
      </c>
      <c r="K75" s="975"/>
      <c r="L75" s="346"/>
      <c r="M75" s="373"/>
      <c r="N75" s="369"/>
      <c r="O75" s="353"/>
      <c r="P75" s="369"/>
      <c r="Q75" s="369"/>
      <c r="R75" s="369"/>
      <c r="S75" s="369"/>
      <c r="T75" s="369"/>
      <c r="U75" s="341"/>
      <c r="V75" s="321"/>
    </row>
    <row r="76" spans="1:35" s="362" customFormat="1">
      <c r="A76" s="360"/>
      <c r="B76" s="361"/>
      <c r="C76" s="963">
        <v>44165</v>
      </c>
      <c r="D76" s="1038" t="s">
        <v>889</v>
      </c>
      <c r="E76" s="971" t="s">
        <v>892</v>
      </c>
      <c r="F76" s="1340" t="s">
        <v>8</v>
      </c>
      <c r="G76" s="927">
        <v>65</v>
      </c>
      <c r="H76" s="1179" t="s">
        <v>311</v>
      </c>
      <c r="I76" s="1008" t="s">
        <v>52</v>
      </c>
      <c r="J76" s="1355" t="s">
        <v>356</v>
      </c>
      <c r="K76" s="975"/>
      <c r="L76" s="346"/>
      <c r="M76" s="373"/>
      <c r="N76" s="346"/>
      <c r="O76" s="346"/>
      <c r="P76" s="346"/>
      <c r="Q76" s="346"/>
      <c r="R76" s="346"/>
      <c r="S76" s="346"/>
      <c r="T76" s="346"/>
      <c r="U76" s="372"/>
      <c r="V76" s="360"/>
      <c r="W76" s="360"/>
      <c r="X76" s="360"/>
      <c r="Y76" s="360"/>
      <c r="Z76" s="360"/>
      <c r="AA76" s="360"/>
      <c r="AB76" s="360"/>
      <c r="AC76" s="360"/>
      <c r="AD76" s="360"/>
      <c r="AE76" s="360"/>
      <c r="AF76" s="360"/>
      <c r="AG76" s="360"/>
      <c r="AH76" s="360"/>
      <c r="AI76" s="360"/>
    </row>
    <row r="77" spans="1:35" s="362" customFormat="1">
      <c r="A77" s="360"/>
      <c r="B77" s="361"/>
      <c r="C77" s="1353">
        <v>44165</v>
      </c>
      <c r="D77" s="1407" t="s">
        <v>889</v>
      </c>
      <c r="E77" s="971" t="s">
        <v>892</v>
      </c>
      <c r="F77" s="1340" t="s">
        <v>8</v>
      </c>
      <c r="G77" s="1067">
        <v>65</v>
      </c>
      <c r="H77" s="1179" t="s">
        <v>91</v>
      </c>
      <c r="I77" s="1008" t="s">
        <v>52</v>
      </c>
      <c r="J77" s="1355" t="s">
        <v>356</v>
      </c>
      <c r="K77" s="975"/>
      <c r="L77" s="346"/>
      <c r="M77" s="373"/>
      <c r="N77" s="346"/>
      <c r="O77" s="346"/>
      <c r="P77" s="346"/>
      <c r="Q77" s="346"/>
      <c r="R77" s="346"/>
      <c r="S77" s="346"/>
      <c r="T77" s="346"/>
      <c r="U77" s="372"/>
      <c r="V77" s="360"/>
      <c r="W77" s="360"/>
      <c r="X77" s="360"/>
      <c r="Y77" s="360"/>
      <c r="Z77" s="360"/>
      <c r="AA77" s="360"/>
      <c r="AB77" s="360"/>
      <c r="AC77" s="360"/>
      <c r="AD77" s="360"/>
      <c r="AE77" s="360"/>
      <c r="AF77" s="360"/>
      <c r="AG77" s="360"/>
      <c r="AH77" s="360"/>
      <c r="AI77" s="360"/>
    </row>
    <row r="78" spans="1:35" s="362" customFormat="1" ht="14.25" customHeight="1">
      <c r="A78" s="360"/>
      <c r="B78" s="361"/>
      <c r="C78" s="1353">
        <v>44162</v>
      </c>
      <c r="D78" s="1407" t="s">
        <v>893</v>
      </c>
      <c r="E78" s="1408" t="s">
        <v>894</v>
      </c>
      <c r="F78" s="1340" t="s">
        <v>8</v>
      </c>
      <c r="G78" s="1067">
        <v>64</v>
      </c>
      <c r="H78" s="1179" t="s">
        <v>684</v>
      </c>
      <c r="I78" s="1008" t="s">
        <v>52</v>
      </c>
      <c r="J78" s="1355" t="s">
        <v>356</v>
      </c>
      <c r="K78" s="975"/>
      <c r="L78" s="346"/>
      <c r="M78" s="373"/>
      <c r="N78" s="346"/>
      <c r="O78" s="346"/>
      <c r="P78" s="346"/>
      <c r="Q78" s="346"/>
      <c r="R78" s="346"/>
      <c r="S78" s="346"/>
      <c r="T78" s="346"/>
      <c r="U78" s="372"/>
      <c r="V78" s="360"/>
      <c r="W78" s="360"/>
      <c r="X78" s="360"/>
      <c r="Y78" s="360"/>
      <c r="Z78" s="360"/>
      <c r="AA78" s="360"/>
      <c r="AB78" s="360"/>
      <c r="AC78" s="360"/>
      <c r="AD78" s="360"/>
      <c r="AE78" s="360"/>
      <c r="AF78" s="360"/>
      <c r="AG78" s="360"/>
      <c r="AH78" s="360"/>
      <c r="AI78" s="360"/>
    </row>
    <row r="79" spans="1:35" s="362" customFormat="1" ht="15.75" customHeight="1">
      <c r="A79" s="360"/>
      <c r="B79" s="361"/>
      <c r="C79" s="1064">
        <v>44161</v>
      </c>
      <c r="D79" s="1407">
        <v>97</v>
      </c>
      <c r="E79" s="1008" t="s">
        <v>895</v>
      </c>
      <c r="F79" s="1340" t="s">
        <v>9</v>
      </c>
      <c r="G79" s="1067">
        <v>40</v>
      </c>
      <c r="H79" s="1179"/>
      <c r="I79" s="1008" t="s">
        <v>47</v>
      </c>
      <c r="J79" s="1355" t="s">
        <v>896</v>
      </c>
      <c r="K79" s="975"/>
      <c r="L79" s="346"/>
      <c r="M79" s="373"/>
      <c r="N79" s="346"/>
      <c r="O79" s="346"/>
      <c r="P79" s="346"/>
      <c r="Q79" s="346"/>
      <c r="R79" s="346"/>
      <c r="S79" s="346"/>
      <c r="T79" s="346"/>
      <c r="U79" s="372"/>
      <c r="V79" s="360"/>
      <c r="W79" s="360"/>
      <c r="X79" s="360"/>
      <c r="Y79" s="360"/>
      <c r="Z79" s="360"/>
      <c r="AA79" s="360"/>
      <c r="AB79" s="360"/>
      <c r="AC79" s="360"/>
      <c r="AD79" s="360"/>
      <c r="AE79" s="360"/>
      <c r="AF79" s="360"/>
      <c r="AG79" s="360"/>
      <c r="AH79" s="360"/>
      <c r="AI79" s="360"/>
    </row>
    <row r="80" spans="1:35" s="362" customFormat="1">
      <c r="A80" s="360"/>
      <c r="B80" s="361"/>
      <c r="C80" s="1064">
        <v>44140</v>
      </c>
      <c r="D80" s="1065">
        <v>91</v>
      </c>
      <c r="E80" s="1066" t="s">
        <v>844</v>
      </c>
      <c r="F80" s="1340" t="s">
        <v>9</v>
      </c>
      <c r="G80" s="1067">
        <v>65</v>
      </c>
      <c r="H80" s="1179" t="s">
        <v>311</v>
      </c>
      <c r="I80" s="1179" t="s">
        <v>50</v>
      </c>
      <c r="J80" s="1355" t="s">
        <v>80</v>
      </c>
      <c r="K80" s="941" t="s">
        <v>81</v>
      </c>
      <c r="L80" s="346"/>
      <c r="M80" s="373"/>
      <c r="N80" s="346"/>
      <c r="O80" s="346"/>
      <c r="P80" s="346"/>
      <c r="Q80" s="346"/>
      <c r="R80" s="346"/>
      <c r="S80" s="346"/>
      <c r="T80" s="346"/>
      <c r="U80" s="372"/>
      <c r="V80" s="360"/>
      <c r="W80" s="360"/>
      <c r="X80" s="360"/>
      <c r="Y80" s="360"/>
      <c r="Z80" s="360"/>
      <c r="AA80" s="360"/>
      <c r="AB80" s="360"/>
      <c r="AC80" s="360"/>
      <c r="AD80" s="360"/>
      <c r="AE80" s="360"/>
      <c r="AF80" s="360"/>
      <c r="AG80" s="360"/>
      <c r="AH80" s="360"/>
      <c r="AI80" s="360"/>
    </row>
    <row r="81" spans="1:35" s="362" customFormat="1">
      <c r="A81" s="360"/>
      <c r="B81" s="361"/>
      <c r="C81" s="1064">
        <v>44140</v>
      </c>
      <c r="D81" s="1065">
        <v>93</v>
      </c>
      <c r="E81" s="1008" t="s">
        <v>849</v>
      </c>
      <c r="F81" s="1340" t="s">
        <v>9</v>
      </c>
      <c r="G81" s="1067">
        <v>65</v>
      </c>
      <c r="H81" s="1179" t="s">
        <v>572</v>
      </c>
      <c r="I81" s="1179" t="s">
        <v>52</v>
      </c>
      <c r="J81" s="1355" t="s">
        <v>80</v>
      </c>
      <c r="K81" s="941" t="s">
        <v>81</v>
      </c>
      <c r="L81" s="346"/>
      <c r="M81" s="373"/>
      <c r="N81" s="346"/>
      <c r="O81" s="346"/>
      <c r="P81" s="346"/>
      <c r="Q81" s="346"/>
      <c r="R81" s="346"/>
      <c r="S81" s="346"/>
      <c r="T81" s="346"/>
      <c r="U81" s="372"/>
      <c r="V81" s="360"/>
      <c r="W81" s="360"/>
      <c r="X81" s="360"/>
      <c r="Y81" s="360"/>
      <c r="Z81" s="360"/>
      <c r="AA81" s="360"/>
      <c r="AB81" s="360"/>
      <c r="AC81" s="360"/>
      <c r="AD81" s="360"/>
      <c r="AE81" s="360"/>
      <c r="AF81" s="360"/>
      <c r="AG81" s="360"/>
      <c r="AH81" s="360"/>
      <c r="AI81" s="360"/>
    </row>
    <row r="82" spans="1:35" s="362" customFormat="1">
      <c r="A82" s="360"/>
      <c r="B82" s="361"/>
      <c r="C82" s="1064">
        <v>44140</v>
      </c>
      <c r="D82" s="1065">
        <v>911</v>
      </c>
      <c r="E82" s="1354" t="s">
        <v>845</v>
      </c>
      <c r="F82" s="1340" t="s">
        <v>9</v>
      </c>
      <c r="G82" s="1067">
        <v>65</v>
      </c>
      <c r="H82" s="1179" t="s">
        <v>91</v>
      </c>
      <c r="I82" s="1179" t="s">
        <v>52</v>
      </c>
      <c r="J82" s="1355" t="s">
        <v>80</v>
      </c>
      <c r="K82" s="941" t="s">
        <v>81</v>
      </c>
      <c r="L82" s="346"/>
      <c r="M82" s="373"/>
      <c r="N82" s="346"/>
      <c r="O82" s="346"/>
      <c r="P82" s="346"/>
      <c r="Q82" s="346"/>
      <c r="R82" s="346"/>
      <c r="S82" s="346"/>
      <c r="T82" s="346"/>
      <c r="U82" s="372"/>
      <c r="V82" s="360"/>
      <c r="W82" s="360"/>
      <c r="X82" s="360"/>
      <c r="Y82" s="360"/>
      <c r="Z82" s="360"/>
      <c r="AA82" s="360"/>
      <c r="AB82" s="360"/>
      <c r="AC82" s="360"/>
      <c r="AD82" s="360"/>
      <c r="AE82" s="360"/>
      <c r="AF82" s="360"/>
      <c r="AG82" s="360"/>
      <c r="AH82" s="360"/>
      <c r="AI82" s="360"/>
    </row>
    <row r="83" spans="1:35" s="362" customFormat="1">
      <c r="A83" s="360"/>
      <c r="B83" s="361"/>
      <c r="C83" s="1064">
        <v>44137</v>
      </c>
      <c r="D83" s="1065" t="s">
        <v>453</v>
      </c>
      <c r="E83" s="1008" t="s">
        <v>897</v>
      </c>
      <c r="F83" s="1340" t="s">
        <v>8</v>
      </c>
      <c r="G83" s="1067">
        <v>64</v>
      </c>
      <c r="H83" s="1179" t="s">
        <v>396</v>
      </c>
      <c r="I83" s="1179" t="s">
        <v>52</v>
      </c>
      <c r="J83" s="1355" t="s">
        <v>356</v>
      </c>
      <c r="K83" s="941"/>
      <c r="L83" s="346"/>
      <c r="M83" s="373"/>
      <c r="N83" s="346"/>
      <c r="O83" s="346"/>
      <c r="P83" s="346"/>
      <c r="Q83" s="346"/>
      <c r="R83" s="346"/>
      <c r="S83" s="346"/>
      <c r="T83" s="346"/>
      <c r="U83" s="372"/>
      <c r="V83" s="360"/>
      <c r="W83" s="360"/>
      <c r="X83" s="360"/>
      <c r="Y83" s="360"/>
      <c r="Z83" s="360"/>
      <c r="AA83" s="360"/>
      <c r="AB83" s="360"/>
      <c r="AC83" s="360"/>
      <c r="AD83" s="360"/>
      <c r="AE83" s="360"/>
      <c r="AF83" s="360"/>
      <c r="AG83" s="360"/>
      <c r="AH83" s="360"/>
      <c r="AI83" s="360"/>
    </row>
    <row r="84" spans="1:35" s="362" customFormat="1">
      <c r="A84" s="360"/>
      <c r="B84" s="361"/>
      <c r="C84" s="1064">
        <v>44144</v>
      </c>
      <c r="D84" s="1065">
        <v>92</v>
      </c>
      <c r="E84" s="1008" t="s">
        <v>859</v>
      </c>
      <c r="F84" s="1340" t="s">
        <v>8</v>
      </c>
      <c r="G84" s="1067">
        <v>64</v>
      </c>
      <c r="H84" s="1179" t="s">
        <v>605</v>
      </c>
      <c r="I84" s="1179" t="s">
        <v>49</v>
      </c>
      <c r="J84" s="1355" t="s">
        <v>80</v>
      </c>
      <c r="K84" s="941"/>
      <c r="L84" s="346"/>
      <c r="M84" s="373"/>
      <c r="N84" s="346"/>
      <c r="O84" s="346"/>
      <c r="P84" s="346"/>
      <c r="Q84" s="346"/>
      <c r="R84" s="346"/>
      <c r="S84" s="346"/>
      <c r="T84" s="346"/>
      <c r="U84" s="372"/>
      <c r="V84" s="360"/>
      <c r="W84" s="360"/>
      <c r="X84" s="360"/>
      <c r="Y84" s="360"/>
      <c r="Z84" s="360"/>
      <c r="AA84" s="360"/>
      <c r="AB84" s="360"/>
      <c r="AC84" s="360"/>
      <c r="AD84" s="360"/>
      <c r="AE84" s="360"/>
      <c r="AF84" s="360"/>
      <c r="AG84" s="360"/>
      <c r="AH84" s="360"/>
      <c r="AI84" s="360"/>
    </row>
    <row r="85" spans="1:35" s="362" customFormat="1">
      <c r="A85" s="360"/>
      <c r="B85" s="361"/>
      <c r="C85" s="1064">
        <v>44145</v>
      </c>
      <c r="D85" s="1065">
        <v>98</v>
      </c>
      <c r="E85" s="1179" t="s">
        <v>862</v>
      </c>
      <c r="F85" s="1340" t="s">
        <v>8</v>
      </c>
      <c r="G85" s="1067">
        <v>40</v>
      </c>
      <c r="H85" s="1179" t="s">
        <v>577</v>
      </c>
      <c r="I85" s="1179" t="s">
        <v>47</v>
      </c>
      <c r="J85" s="1355" t="s">
        <v>80</v>
      </c>
      <c r="K85" s="972" t="s">
        <v>74</v>
      </c>
      <c r="L85" s="346"/>
      <c r="M85" s="373"/>
      <c r="N85" s="346"/>
      <c r="O85" s="346"/>
      <c r="P85" s="346"/>
      <c r="Q85" s="346"/>
      <c r="R85" s="346"/>
      <c r="S85" s="346"/>
      <c r="T85" s="346"/>
      <c r="U85" s="372"/>
      <c r="V85" s="360"/>
      <c r="W85" s="360"/>
      <c r="X85" s="360"/>
      <c r="Y85" s="360"/>
      <c r="Z85" s="360"/>
      <c r="AA85" s="360"/>
      <c r="AB85" s="360"/>
      <c r="AC85" s="360"/>
      <c r="AD85" s="360"/>
      <c r="AE85" s="360"/>
      <c r="AF85" s="360"/>
      <c r="AG85" s="360"/>
      <c r="AH85" s="360"/>
      <c r="AI85" s="360"/>
    </row>
    <row r="86" spans="1:35" s="362" customFormat="1">
      <c r="A86" s="360"/>
      <c r="B86" s="361"/>
      <c r="C86" s="1358">
        <v>44153</v>
      </c>
      <c r="D86" s="1065"/>
      <c r="E86" s="1008" t="s">
        <v>898</v>
      </c>
      <c r="F86" s="1340" t="s">
        <v>9</v>
      </c>
      <c r="G86" s="1067">
        <v>65</v>
      </c>
      <c r="H86" s="1179" t="s">
        <v>899</v>
      </c>
      <c r="I86" s="1008" t="s">
        <v>53</v>
      </c>
      <c r="J86" s="1355" t="s">
        <v>356</v>
      </c>
      <c r="K86" s="973"/>
      <c r="L86" s="346"/>
      <c r="M86" s="346"/>
      <c r="N86" s="346"/>
      <c r="O86" s="346"/>
      <c r="P86" s="346"/>
      <c r="Q86" s="346"/>
      <c r="R86" s="346"/>
      <c r="S86" s="346"/>
      <c r="T86" s="346"/>
      <c r="U86" s="372"/>
      <c r="V86" s="360"/>
      <c r="W86" s="360"/>
      <c r="X86" s="360"/>
      <c r="Y86" s="360"/>
      <c r="Z86" s="360"/>
      <c r="AA86" s="360"/>
      <c r="AB86" s="360"/>
      <c r="AC86" s="360"/>
      <c r="AD86" s="360"/>
      <c r="AE86" s="360"/>
      <c r="AF86" s="360"/>
      <c r="AG86" s="360"/>
      <c r="AH86" s="360"/>
      <c r="AI86" s="360"/>
    </row>
    <row r="87" spans="1:35" s="362" customFormat="1">
      <c r="A87" s="360"/>
      <c r="B87" s="361"/>
      <c r="C87" s="963">
        <v>44148</v>
      </c>
      <c r="D87" s="1065">
        <v>92</v>
      </c>
      <c r="E87" s="1353" t="s">
        <v>871</v>
      </c>
      <c r="F87" s="1340" t="s">
        <v>9</v>
      </c>
      <c r="G87" s="1067">
        <v>64</v>
      </c>
      <c r="H87" s="1179" t="s">
        <v>684</v>
      </c>
      <c r="I87" s="1008" t="s">
        <v>49</v>
      </c>
      <c r="J87" s="1355" t="s">
        <v>80</v>
      </c>
      <c r="K87" s="973"/>
      <c r="L87" s="346"/>
      <c r="M87" s="373"/>
      <c r="N87" s="346"/>
      <c r="O87" s="346"/>
      <c r="P87" s="346"/>
      <c r="Q87" s="346"/>
      <c r="R87" s="346"/>
      <c r="S87" s="346"/>
      <c r="T87" s="346"/>
      <c r="U87" s="372"/>
      <c r="V87" s="360"/>
      <c r="W87" s="360"/>
      <c r="X87" s="360"/>
      <c r="Y87" s="360"/>
      <c r="Z87" s="360"/>
      <c r="AA87" s="360"/>
      <c r="AB87" s="360"/>
      <c r="AC87" s="360"/>
      <c r="AD87" s="360"/>
      <c r="AE87" s="360"/>
      <c r="AF87" s="360"/>
      <c r="AG87" s="360"/>
      <c r="AH87" s="360"/>
      <c r="AI87" s="360"/>
    </row>
    <row r="88" spans="1:35" s="362" customFormat="1">
      <c r="A88" s="360"/>
      <c r="B88" s="361"/>
      <c r="C88" s="1409"/>
      <c r="D88" s="1410"/>
      <c r="E88" s="1388"/>
      <c r="F88" s="1355"/>
      <c r="G88" s="1395" t="str">
        <f>IF( F88="Radio", VLOOKUP(H88,radio!$A$2:$B$33,2), IF(F88="PQR",VLOOKUP(H88,pqr!$A$2:$B$20,2),IF(F88="INTERNET",VLOOKUP(H88,internet!$A$2:$C$43,2),IF(F88="TV",VLOOKUP(H88,tv!$A$2:$B$10,2),""))) )</f>
        <v/>
      </c>
      <c r="H88" s="1387"/>
      <c r="I88" s="1388"/>
      <c r="J88" s="1355"/>
      <c r="K88" s="774"/>
      <c r="L88" s="346"/>
      <c r="M88" s="373"/>
      <c r="N88" s="346"/>
      <c r="O88" s="346"/>
      <c r="P88" s="346"/>
      <c r="Q88" s="346"/>
      <c r="R88" s="346"/>
      <c r="S88" s="346"/>
      <c r="T88" s="346"/>
      <c r="U88" s="372"/>
      <c r="V88" s="360"/>
      <c r="W88" s="360"/>
      <c r="X88" s="360"/>
      <c r="Y88" s="360"/>
      <c r="Z88" s="360"/>
      <c r="AA88" s="360"/>
      <c r="AB88" s="360"/>
      <c r="AC88" s="360"/>
      <c r="AD88" s="360"/>
      <c r="AE88" s="360"/>
      <c r="AF88" s="360"/>
      <c r="AG88" s="360"/>
      <c r="AH88" s="360"/>
      <c r="AI88" s="360"/>
    </row>
    <row r="89" spans="1:35" s="362" customFormat="1">
      <c r="A89" s="360"/>
      <c r="B89" s="361"/>
      <c r="C89" s="1409"/>
      <c r="D89" s="1410"/>
      <c r="E89" s="1388"/>
      <c r="F89" s="1355"/>
      <c r="G89" s="1395" t="str">
        <f>IF( F89="Radio", VLOOKUP(H89,radio!$A$2:$B$33,2), IF(F89="PQR",VLOOKUP(H89,pqr!$A$2:$B$20,2),IF(F89="INTERNET",VLOOKUP(H89,internet!$A$2:$C$43,2),IF(F89="TV",VLOOKUP(H89,tv!$A$2:$B$10,2),""))) )</f>
        <v/>
      </c>
      <c r="H89" s="1387"/>
      <c r="I89" s="1388"/>
      <c r="J89" s="1355"/>
      <c r="K89" s="774"/>
      <c r="L89" s="346"/>
      <c r="M89" s="373"/>
      <c r="N89" s="346"/>
      <c r="O89" s="346"/>
      <c r="P89" s="346"/>
      <c r="Q89" s="346"/>
      <c r="R89" s="346"/>
      <c r="S89" s="346"/>
      <c r="T89" s="346"/>
      <c r="U89" s="372"/>
      <c r="V89" s="360"/>
      <c r="W89" s="360"/>
      <c r="X89" s="360"/>
      <c r="Y89" s="360"/>
      <c r="Z89" s="360"/>
      <c r="AA89" s="360"/>
      <c r="AB89" s="360"/>
      <c r="AC89" s="360"/>
      <c r="AD89" s="360"/>
      <c r="AE89" s="360"/>
      <c r="AF89" s="360"/>
      <c r="AG89" s="360"/>
      <c r="AH89" s="360"/>
      <c r="AI89" s="360"/>
    </row>
    <row r="90" spans="1:35" s="362" customFormat="1">
      <c r="A90" s="360"/>
      <c r="B90" s="361"/>
      <c r="C90" s="1409"/>
      <c r="D90" s="1410"/>
      <c r="E90" s="1388"/>
      <c r="F90" s="1355"/>
      <c r="G90" s="1395" t="str">
        <f>IF( F90="Radio", VLOOKUP(H90,radio!$A$2:$B$33,2), IF(F90="PQR",VLOOKUP(H90,pqr!$A$2:$B$20,2),IF(F90="INTERNET",VLOOKUP(H90,internet!$A$2:$C$43,2),IF(F90="TV",VLOOKUP(H90,tv!$A$2:$B$10,2),""))) )</f>
        <v/>
      </c>
      <c r="H90" s="1387"/>
      <c r="I90" s="1388"/>
      <c r="J90" s="1355"/>
      <c r="K90" s="774"/>
      <c r="L90" s="346"/>
      <c r="M90" s="373"/>
      <c r="N90" s="346"/>
      <c r="O90" s="346"/>
      <c r="P90" s="346"/>
      <c r="Q90" s="346"/>
      <c r="R90" s="346"/>
      <c r="S90" s="346"/>
      <c r="T90" s="346"/>
      <c r="U90" s="372"/>
      <c r="V90" s="360"/>
      <c r="W90" s="360"/>
      <c r="X90" s="360"/>
      <c r="Y90" s="360"/>
      <c r="Z90" s="360"/>
      <c r="AA90" s="360"/>
      <c r="AB90" s="360"/>
      <c r="AC90" s="360"/>
      <c r="AD90" s="360"/>
      <c r="AE90" s="360"/>
      <c r="AF90" s="360"/>
      <c r="AG90" s="360"/>
      <c r="AH90" s="360"/>
      <c r="AI90" s="360"/>
    </row>
    <row r="91" spans="1:35" s="362" customFormat="1">
      <c r="A91" s="360"/>
      <c r="B91" s="361"/>
      <c r="C91" s="1409"/>
      <c r="D91" s="1410"/>
      <c r="E91" s="1388"/>
      <c r="F91" s="1355"/>
      <c r="G91" s="1395" t="str">
        <f>IF( F91="Radio", VLOOKUP(H91,radio!$A$2:$B$33,2), IF(F91="PQR",VLOOKUP(H91,pqr!$A$2:$B$20,2),IF(F91="INTERNET",VLOOKUP(H91,internet!$A$2:$C$43,2),IF(F91="TV",VLOOKUP(H91,tv!$A$2:$B$10,2),""))) )</f>
        <v/>
      </c>
      <c r="H91" s="1387"/>
      <c r="I91" s="1388"/>
      <c r="J91" s="1355"/>
      <c r="K91" s="774"/>
      <c r="L91" s="346"/>
      <c r="M91" s="373"/>
      <c r="N91" s="346"/>
      <c r="O91" s="346"/>
      <c r="P91" s="346"/>
      <c r="Q91" s="346"/>
      <c r="R91" s="346"/>
      <c r="S91" s="346"/>
      <c r="T91" s="346"/>
      <c r="U91" s="372"/>
      <c r="V91" s="360"/>
      <c r="W91" s="360"/>
      <c r="X91" s="360"/>
      <c r="Y91" s="360"/>
      <c r="Z91" s="360"/>
      <c r="AA91" s="360"/>
      <c r="AB91" s="360"/>
      <c r="AC91" s="360"/>
      <c r="AD91" s="360"/>
      <c r="AE91" s="360"/>
      <c r="AF91" s="360"/>
      <c r="AG91" s="360"/>
      <c r="AH91" s="360"/>
      <c r="AI91" s="360"/>
    </row>
    <row r="92" spans="1:35" s="362" customFormat="1">
      <c r="A92" s="327"/>
      <c r="B92" s="361"/>
      <c r="C92" s="1409"/>
      <c r="D92" s="1410"/>
      <c r="E92" s="1388"/>
      <c r="F92" s="1355"/>
      <c r="G92" s="1395" t="str">
        <f>IF( F92="Radio", VLOOKUP(H92,radio!$A$2:$B$33,2), IF(F92="PQR",VLOOKUP(H92,pqr!$A$2:$B$20,2),IF(F92="INTERNET",VLOOKUP(H92,internet!$A$2:$C$43,2),IF(F92="TV",VLOOKUP(H92,tv!$A$2:$B$10,2),""))) )</f>
        <v/>
      </c>
      <c r="H92" s="1387"/>
      <c r="I92" s="1388"/>
      <c r="J92" s="1355"/>
      <c r="K92" s="774"/>
      <c r="L92" s="721"/>
      <c r="M92" s="373"/>
      <c r="N92" s="346"/>
      <c r="O92" s="346"/>
      <c r="P92" s="346"/>
      <c r="Q92" s="346"/>
      <c r="R92" s="346"/>
      <c r="S92" s="346"/>
      <c r="T92" s="346"/>
      <c r="U92" s="372"/>
      <c r="V92" s="360"/>
      <c r="W92" s="360"/>
      <c r="X92" s="360"/>
      <c r="Y92" s="360"/>
      <c r="Z92" s="360"/>
      <c r="AA92" s="360"/>
      <c r="AB92" s="360"/>
      <c r="AC92" s="360"/>
      <c r="AD92" s="360"/>
      <c r="AE92" s="360"/>
      <c r="AF92" s="360"/>
      <c r="AG92" s="360"/>
      <c r="AH92" s="360"/>
      <c r="AI92" s="360"/>
    </row>
    <row r="93" spans="1:35" s="362" customFormat="1">
      <c r="A93" s="327"/>
      <c r="B93" s="361"/>
      <c r="C93" s="1409"/>
      <c r="D93" s="1410"/>
      <c r="E93" s="1388"/>
      <c r="F93" s="1355"/>
      <c r="G93" s="1395" t="str">
        <f>IF( F93="Radio", VLOOKUP(H93,radio!$A$2:$B$33,2), IF(F93="PQR",VLOOKUP(H93,pqr!$A$2:$B$20,2),IF(F93="INTERNET",VLOOKUP(H93,internet!$A$2:$C$43,2),IF(F93="TV",VLOOKUP(H93,tv!$A$2:$B$10,2),""))) )</f>
        <v/>
      </c>
      <c r="H93" s="1387"/>
      <c r="I93" s="1388"/>
      <c r="J93" s="1355"/>
      <c r="K93" s="774"/>
      <c r="L93" s="346"/>
      <c r="M93" s="373"/>
      <c r="N93" s="346"/>
      <c r="O93" s="346"/>
      <c r="P93" s="346"/>
      <c r="Q93" s="346"/>
      <c r="R93" s="346"/>
      <c r="S93" s="346"/>
      <c r="T93" s="346"/>
      <c r="U93" s="372"/>
      <c r="V93" s="360"/>
      <c r="W93" s="360"/>
      <c r="X93" s="360"/>
      <c r="Y93" s="360"/>
      <c r="Z93" s="360"/>
      <c r="AA93" s="360"/>
      <c r="AB93" s="360"/>
      <c r="AC93" s="360"/>
      <c r="AD93" s="360"/>
      <c r="AE93" s="360"/>
      <c r="AF93" s="360"/>
      <c r="AG93" s="360"/>
      <c r="AH93" s="360"/>
      <c r="AI93" s="360"/>
    </row>
    <row r="94" spans="1:35" s="362" customFormat="1">
      <c r="A94" s="327"/>
      <c r="B94" s="361"/>
      <c r="C94" s="1409"/>
      <c r="D94" s="1410"/>
      <c r="E94" s="1388"/>
      <c r="F94" s="1355"/>
      <c r="G94" s="1395" t="str">
        <f>IF( F94="Radio", VLOOKUP(H94,radio!$A$2:$B$33,2), IF(F94="PQR",VLOOKUP(H94,pqr!$A$2:$B$20,2),IF(F94="INTERNET",VLOOKUP(H94,internet!$A$2:$C$43,2),IF(F94="TV",VLOOKUP(H94,tv!$A$2:$B$10,2),""))) )</f>
        <v/>
      </c>
      <c r="H94" s="1387"/>
      <c r="I94" s="1388"/>
      <c r="J94" s="1355"/>
      <c r="K94" s="774"/>
      <c r="L94" s="346"/>
      <c r="M94" s="373"/>
      <c r="N94" s="346"/>
      <c r="O94" s="346"/>
      <c r="P94" s="346"/>
      <c r="Q94" s="346"/>
      <c r="R94" s="346"/>
      <c r="S94" s="346"/>
      <c r="T94" s="346"/>
      <c r="U94" s="372"/>
      <c r="V94" s="360"/>
      <c r="W94" s="360"/>
      <c r="X94" s="360"/>
      <c r="Y94" s="360"/>
      <c r="Z94" s="360"/>
      <c r="AA94" s="360"/>
      <c r="AB94" s="360"/>
      <c r="AC94" s="360"/>
      <c r="AD94" s="360"/>
      <c r="AE94" s="360"/>
      <c r="AF94" s="360"/>
      <c r="AG94" s="360"/>
      <c r="AH94" s="360"/>
      <c r="AI94" s="360"/>
    </row>
    <row r="95" spans="1:35" s="362" customFormat="1">
      <c r="A95" s="327"/>
      <c r="B95" s="361"/>
      <c r="C95" s="1409"/>
      <c r="D95" s="1410"/>
      <c r="E95" s="1388"/>
      <c r="F95" s="1355"/>
      <c r="G95" s="1395" t="str">
        <f>IF( F95="Radio", VLOOKUP(H95,radio!$A$2:$B$33,2), IF(F95="PQR",VLOOKUP(H95,pqr!$A$2:$B$20,2),IF(F95="INTERNET",VLOOKUP(H95,internet!$A$2:$C$43,2),IF(F95="TV",VLOOKUP(H95,tv!$A$2:$B$10,2),""))) )</f>
        <v/>
      </c>
      <c r="H95" s="1387"/>
      <c r="I95" s="1388"/>
      <c r="J95" s="1355"/>
      <c r="K95" s="774"/>
      <c r="L95" s="346"/>
      <c r="M95" s="373"/>
      <c r="N95" s="346"/>
      <c r="O95" s="346"/>
      <c r="P95" s="346"/>
      <c r="Q95" s="346"/>
      <c r="R95" s="346"/>
      <c r="S95" s="346"/>
      <c r="T95" s="346"/>
      <c r="U95" s="372"/>
      <c r="V95" s="360"/>
      <c r="W95" s="360"/>
      <c r="X95" s="360"/>
      <c r="Y95" s="360"/>
      <c r="Z95" s="360"/>
      <c r="AA95" s="360"/>
      <c r="AB95" s="360"/>
      <c r="AC95" s="360"/>
      <c r="AD95" s="360"/>
      <c r="AE95" s="360"/>
      <c r="AF95" s="360"/>
      <c r="AG95" s="360"/>
      <c r="AH95" s="360"/>
      <c r="AI95" s="360"/>
    </row>
    <row r="96" spans="1:35" s="399" customFormat="1">
      <c r="A96" s="395"/>
      <c r="B96" s="361"/>
      <c r="C96" s="1409"/>
      <c r="D96" s="1410"/>
      <c r="E96" s="1388"/>
      <c r="F96" s="1355"/>
      <c r="G96" s="1395" t="str">
        <f>IF( F96="Radio", VLOOKUP(H96,radio!$A$2:$B$33,2), IF(F96="PQR",VLOOKUP(H96,pqr!$A$2:$B$20,2),IF(F96="INTERNET",VLOOKUP(H96,internet!$A$2:$C$43,2),IF(F96="TV",VLOOKUP(H96,tv!$A$2:$B$10,2),""))) )</f>
        <v/>
      </c>
      <c r="H96" s="1387"/>
      <c r="I96" s="1388"/>
      <c r="J96" s="1355"/>
      <c r="K96" s="774"/>
      <c r="L96" s="358"/>
      <c r="M96" s="722"/>
      <c r="N96" s="720"/>
      <c r="O96" s="720"/>
      <c r="P96" s="720"/>
      <c r="Q96" s="720"/>
      <c r="R96" s="720"/>
      <c r="S96" s="720"/>
      <c r="T96" s="720"/>
      <c r="U96" s="723"/>
      <c r="V96" s="398"/>
      <c r="W96" s="398"/>
      <c r="X96" s="398"/>
      <c r="Y96" s="398"/>
      <c r="Z96" s="398"/>
      <c r="AA96" s="398"/>
      <c r="AB96" s="398"/>
      <c r="AC96" s="398"/>
      <c r="AD96" s="398"/>
      <c r="AE96" s="398"/>
      <c r="AF96" s="398"/>
      <c r="AG96" s="398"/>
      <c r="AH96" s="398"/>
      <c r="AI96" s="398"/>
    </row>
    <row r="97" spans="1:22">
      <c r="A97" s="326"/>
      <c r="B97" s="361"/>
      <c r="C97" s="1409"/>
      <c r="D97" s="1410"/>
      <c r="E97" s="1388"/>
      <c r="F97" s="1355"/>
      <c r="G97" s="1395" t="str">
        <f>IF( F97="Radio", VLOOKUP(H97,radio!$A$2:$B$33,2), IF(F97="PQR",VLOOKUP(H97,pqr!$A$2:$B$20,2),IF(F97="INTERNET",VLOOKUP(H97,internet!$A$2:$C$43,2),IF(F97="TV",VLOOKUP(H97,tv!$A$2:$B$10,2),""))) )</f>
        <v/>
      </c>
      <c r="H97" s="1387"/>
      <c r="I97" s="1388"/>
      <c r="J97" s="1355"/>
      <c r="K97" s="774"/>
      <c r="L97" s="346"/>
      <c r="M97" s="373"/>
      <c r="N97" s="369"/>
      <c r="O97" s="369"/>
      <c r="P97" s="369"/>
      <c r="Q97" s="369"/>
      <c r="R97" s="369"/>
      <c r="S97" s="369"/>
      <c r="T97" s="369"/>
      <c r="U97" s="341"/>
      <c r="V97" s="321"/>
    </row>
    <row r="98" spans="1:22">
      <c r="A98" s="326"/>
      <c r="B98" s="361"/>
      <c r="C98" s="1409"/>
      <c r="D98" s="1410"/>
      <c r="E98" s="1388"/>
      <c r="F98" s="1355"/>
      <c r="G98" s="1395" t="str">
        <f>IF( F98="Radio", VLOOKUP(H98,radio!$A$2:$B$33,2), IF(F98="PQR",VLOOKUP(H98,pqr!$A$2:$B$20,2),IF(F98="INTERNET",VLOOKUP(H98,internet!$A$2:$C$43,2),IF(F98="TV",VLOOKUP(H98,tv!$A$2:$B$10,2),""))) )</f>
        <v/>
      </c>
      <c r="H98" s="1387"/>
      <c r="I98" s="1388"/>
      <c r="J98" s="1355"/>
      <c r="K98" s="774"/>
      <c r="L98" s="346"/>
      <c r="M98" s="373"/>
      <c r="N98" s="369"/>
      <c r="O98" s="369"/>
      <c r="P98" s="369"/>
      <c r="Q98" s="369"/>
      <c r="R98" s="369"/>
      <c r="S98" s="369"/>
      <c r="T98" s="369"/>
      <c r="U98" s="341"/>
      <c r="V98" s="321"/>
    </row>
    <row r="99" spans="1:22">
      <c r="A99" s="326"/>
      <c r="B99" s="361"/>
      <c r="C99" s="1409"/>
      <c r="D99" s="1410"/>
      <c r="E99" s="1388"/>
      <c r="F99" s="1355"/>
      <c r="G99" s="1395" t="str">
        <f>IF( F99="Radio", VLOOKUP(H99,radio!$A$2:$B$33,2), IF(F99="PQR",VLOOKUP(H99,pqr!$A$2:$B$20,2),IF(F99="INTERNET",VLOOKUP(H99,internet!$A$2:$C$43,2),IF(F99="TV",VLOOKUP(H99,tv!$A$2:$B$10,2),""))) )</f>
        <v/>
      </c>
      <c r="H99" s="1387"/>
      <c r="I99" s="1388"/>
      <c r="J99" s="1355"/>
      <c r="K99" s="774"/>
      <c r="L99" s="346"/>
      <c r="M99" s="373"/>
      <c r="N99" s="369"/>
      <c r="O99" s="369"/>
      <c r="P99" s="369"/>
      <c r="Q99" s="369"/>
      <c r="R99" s="369"/>
      <c r="S99" s="369"/>
      <c r="T99" s="369"/>
      <c r="U99" s="341"/>
      <c r="V99" s="321"/>
    </row>
    <row r="100" spans="1:22" ht="15.75" customHeight="1">
      <c r="A100" s="326"/>
      <c r="B100" s="361"/>
      <c r="C100" s="1409"/>
      <c r="D100" s="1410"/>
      <c r="E100" s="1388"/>
      <c r="F100" s="1355"/>
      <c r="G100" s="1395" t="str">
        <f>IF( F100="Radio", VLOOKUP(H100,radio!$A$2:$B$33,2), IF(F100="PQR",VLOOKUP(H100,pqr!$A$2:$B$20,2),IF(F100="INTERNET",VLOOKUP(H100,internet!$A$2:$C$43,2),IF(F100="TV",VLOOKUP(H100,tv!$A$2:$B$10,2),""))) )</f>
        <v/>
      </c>
      <c r="H100" s="1387"/>
      <c r="I100" s="1388"/>
      <c r="J100" s="1355"/>
      <c r="K100" s="774"/>
      <c r="L100" s="346"/>
      <c r="M100" s="373"/>
      <c r="N100" s="369"/>
      <c r="O100" s="369"/>
      <c r="P100" s="369"/>
      <c r="Q100" s="373"/>
      <c r="R100" s="369"/>
      <c r="S100" s="369"/>
      <c r="T100" s="369"/>
      <c r="U100" s="341"/>
      <c r="V100" s="321"/>
    </row>
    <row r="101" spans="1:22" ht="15.75" customHeight="1">
      <c r="A101" s="321"/>
      <c r="B101" s="361"/>
      <c r="C101" s="1409"/>
      <c r="D101" s="1410"/>
      <c r="E101" s="1388"/>
      <c r="F101" s="1355"/>
      <c r="G101" s="1395" t="str">
        <f>IF( F101="Radio", VLOOKUP(H101,radio!$A$2:$B$33,2), IF(F101="PQR",VLOOKUP(H101,pqr!$A$2:$B$20,2),IF(F101="INTERNET",VLOOKUP(H101,internet!$A$2:$C$43,2),IF(F101="TV",VLOOKUP(H101,tv!$A$2:$B$10,2),""))) )</f>
        <v/>
      </c>
      <c r="H101" s="1387"/>
      <c r="I101" s="1388"/>
      <c r="J101" s="1355"/>
      <c r="K101" s="774"/>
      <c r="L101" s="346"/>
      <c r="M101" s="373"/>
      <c r="N101" s="369"/>
      <c r="O101" s="369"/>
      <c r="P101" s="369"/>
      <c r="Q101" s="373"/>
      <c r="R101" s="369"/>
      <c r="S101" s="369"/>
      <c r="T101" s="369"/>
      <c r="U101" s="341"/>
      <c r="V101" s="321"/>
    </row>
    <row r="102" spans="1:22" ht="15.75" customHeight="1">
      <c r="A102" s="321"/>
      <c r="B102" s="361"/>
      <c r="C102" s="1409"/>
      <c r="D102" s="1410"/>
      <c r="E102" s="1388"/>
      <c r="F102" s="1355"/>
      <c r="G102" s="1395" t="str">
        <f>IF( F102="Radio", VLOOKUP(H102,radio!$A$2:$B$33,2), IF(F102="PQR",VLOOKUP(H102,pqr!$A$2:$B$20,2),IF(F102="INTERNET",VLOOKUP(H102,internet!$A$2:$C$43,2),IF(F102="TV",VLOOKUP(H102,tv!$A$2:$B$10,2),""))) )</f>
        <v/>
      </c>
      <c r="H102" s="1387"/>
      <c r="I102" s="1388"/>
      <c r="J102" s="1355"/>
      <c r="K102" s="774"/>
      <c r="L102" s="346"/>
      <c r="M102" s="373"/>
      <c r="N102" s="369"/>
      <c r="O102" s="369"/>
      <c r="P102" s="369"/>
      <c r="Q102" s="373"/>
      <c r="R102" s="369"/>
      <c r="S102" s="369"/>
      <c r="T102" s="369"/>
      <c r="U102" s="341"/>
      <c r="V102" s="321"/>
    </row>
    <row r="103" spans="1:22">
      <c r="A103" s="321"/>
      <c r="B103" s="361"/>
      <c r="C103" s="1409"/>
      <c r="D103" s="1410"/>
      <c r="E103" s="1388"/>
      <c r="F103" s="1355"/>
      <c r="G103" s="1395" t="str">
        <f>IF( F103="Radio", VLOOKUP(H103,radio!$A$2:$B$33,2), IF(F103="PQR",VLOOKUP(H103,pqr!$A$2:$B$20,2),IF(F103="INTERNET",VLOOKUP(H103,internet!$A$2:$C$43,2),IF(F103="TV",VLOOKUP(H103,tv!$A$2:$B$10,2),""))) )</f>
        <v/>
      </c>
      <c r="H103" s="1387"/>
      <c r="I103" s="1388"/>
      <c r="J103" s="1355"/>
      <c r="K103" s="774"/>
      <c r="L103" s="346"/>
      <c r="M103" s="373"/>
      <c r="N103" s="369"/>
      <c r="O103" s="369"/>
      <c r="P103" s="369"/>
      <c r="Q103" s="373"/>
      <c r="R103" s="369"/>
      <c r="S103" s="369"/>
      <c r="T103" s="369"/>
      <c r="U103" s="341"/>
      <c r="V103" s="321"/>
    </row>
    <row r="104" spans="1:22">
      <c r="A104" s="321"/>
      <c r="B104" s="361"/>
      <c r="C104" s="1409"/>
      <c r="D104" s="1410"/>
      <c r="E104" s="1388"/>
      <c r="F104" s="1355"/>
      <c r="G104" s="1395" t="str">
        <f>IF( F104="Radio", VLOOKUP(H104,radio!$A$2:$B$33,2), IF(F104="PQR",VLOOKUP(H104,pqr!$A$2:$B$20,2),IF(F104="INTERNET",VLOOKUP(H104,internet!$A$2:$C$43,2),IF(F104="TV",VLOOKUP(H104,tv!$A$2:$B$10,2),""))) )</f>
        <v/>
      </c>
      <c r="H104" s="1387"/>
      <c r="I104" s="1388"/>
      <c r="J104" s="1355"/>
      <c r="K104" s="774"/>
      <c r="L104" s="346"/>
      <c r="M104" s="373"/>
      <c r="N104" s="369"/>
      <c r="O104" s="369"/>
      <c r="P104" s="369"/>
      <c r="Q104" s="373"/>
      <c r="R104" s="369"/>
      <c r="S104" s="369"/>
      <c r="T104" s="369"/>
      <c r="U104" s="341"/>
      <c r="V104" s="321"/>
    </row>
    <row r="105" spans="1:22">
      <c r="A105" s="321"/>
      <c r="B105" s="361"/>
      <c r="C105" s="1409"/>
      <c r="D105" s="1410"/>
      <c r="E105" s="1388"/>
      <c r="F105" s="1355"/>
      <c r="G105" s="1395" t="str">
        <f>IF( F105="Radio", VLOOKUP(H105,radio!$A$2:$B$33,2), IF(F105="PQR",VLOOKUP(H105,pqr!$A$2:$B$20,2),IF(F105="INTERNET",VLOOKUP(H105,internet!$A$2:$C$43,2),IF(F105="TV",VLOOKUP(H105,tv!$A$2:$B$10,2),""))) )</f>
        <v/>
      </c>
      <c r="H105" s="1387"/>
      <c r="I105" s="1388"/>
      <c r="J105" s="1355"/>
      <c r="K105" s="774"/>
      <c r="L105" s="346"/>
      <c r="M105" s="373"/>
      <c r="N105" s="369"/>
      <c r="O105" s="369"/>
      <c r="P105" s="369"/>
      <c r="Q105" s="373"/>
      <c r="R105" s="369"/>
      <c r="S105" s="369"/>
      <c r="T105" s="369"/>
      <c r="U105" s="341"/>
      <c r="V105" s="321"/>
    </row>
    <row r="106" spans="1:22" ht="16.5" thickBot="1">
      <c r="A106" s="321"/>
      <c r="B106" s="361"/>
      <c r="C106" s="1411"/>
      <c r="D106" s="1412"/>
      <c r="E106" s="1413"/>
      <c r="F106" s="1414"/>
      <c r="G106" s="1400" t="str">
        <f>IF( F106="Radio", VLOOKUP(H106,radio!$A$2:$B$33,2), IF(F106="PQR",VLOOKUP(H106,pqr!$A$2:$B$20,2),IF(F106="INTERNET",VLOOKUP(H106,internet!$A$2:$C$43,2),IF(F106="TV",VLOOKUP(H106,tv!$A$2:$B$10,2),""))) )</f>
        <v/>
      </c>
      <c r="H106" s="1415"/>
      <c r="I106" s="1388"/>
      <c r="J106" s="1355"/>
      <c r="K106" s="782"/>
      <c r="L106" s="346"/>
      <c r="M106" s="373"/>
      <c r="N106" s="369"/>
      <c r="O106" s="369"/>
      <c r="P106" s="369"/>
      <c r="Q106" s="373"/>
      <c r="R106" s="369"/>
      <c r="S106" s="369"/>
      <c r="T106" s="369"/>
      <c r="U106" s="341"/>
      <c r="V106" s="321"/>
    </row>
    <row r="107" spans="1:22" ht="16.5" thickBot="1">
      <c r="A107" s="321"/>
      <c r="B107" s="381"/>
      <c r="C107" s="775"/>
      <c r="D107" s="776"/>
      <c r="E107" s="386"/>
      <c r="F107" s="767"/>
      <c r="G107" s="389" t="str">
        <f>IF( F107="Radio", VLOOKUP(H107,radio!$A$2:$B$33,2), IF(F107="PQR",VLOOKUP(H107,pqr!$A$2:$B$20,2),IF(F107="INTERNET",VLOOKUP(H107,internet!$A$2:$C$43,2),IF(F107="TV",VLOOKUP(H107,tv!$A$2:$B$10,2),""))) )</f>
        <v/>
      </c>
      <c r="H107" s="777"/>
      <c r="I107" s="778"/>
      <c r="J107" s="1416"/>
      <c r="K107" s="779"/>
      <c r="L107" s="388"/>
      <c r="M107" s="389"/>
      <c r="N107" s="376"/>
      <c r="O107" s="376"/>
      <c r="P107" s="376"/>
      <c r="Q107" s="389"/>
      <c r="R107" s="376"/>
      <c r="S107" s="376"/>
      <c r="T107" s="376"/>
      <c r="U107" s="672"/>
      <c r="V107" s="321"/>
    </row>
    <row r="108" spans="1:22">
      <c r="A108" s="321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60"/>
      <c r="M108" s="392"/>
      <c r="N108" s="321"/>
      <c r="O108" s="321"/>
      <c r="P108" s="321"/>
      <c r="Q108" s="392"/>
      <c r="R108" s="321"/>
      <c r="S108" s="321"/>
      <c r="T108" s="321"/>
      <c r="U108" s="321"/>
      <c r="V108" s="321"/>
    </row>
    <row r="109" spans="1:22" ht="15.75" customHeight="1">
      <c r="A109" s="321"/>
      <c r="B109" s="327"/>
      <c r="C109" s="323"/>
      <c r="D109" s="323"/>
      <c r="E109" s="323"/>
      <c r="F109" s="323"/>
      <c r="G109" s="323"/>
      <c r="H109" s="323"/>
      <c r="I109" s="323"/>
      <c r="J109" s="323"/>
      <c r="K109" s="323"/>
      <c r="L109" s="360"/>
      <c r="M109" s="392"/>
      <c r="N109" s="321"/>
      <c r="O109" s="321"/>
      <c r="P109" s="321"/>
      <c r="Q109" s="321"/>
      <c r="R109" s="321"/>
      <c r="S109" s="321"/>
      <c r="T109" s="321"/>
      <c r="U109" s="321"/>
      <c r="V109" s="321"/>
    </row>
    <row r="110" spans="1:22">
      <c r="A110" s="321"/>
      <c r="B110" s="321"/>
      <c r="C110" s="323"/>
      <c r="D110" s="323"/>
      <c r="E110" s="323"/>
      <c r="F110" s="323"/>
      <c r="G110" s="323"/>
      <c r="H110" s="323"/>
      <c r="I110" s="323"/>
      <c r="J110" s="323"/>
      <c r="K110" s="323"/>
      <c r="L110" s="360"/>
      <c r="M110" s="392"/>
      <c r="N110" s="321"/>
      <c r="O110" s="321"/>
      <c r="P110" s="321"/>
      <c r="Q110" s="321"/>
      <c r="R110" s="321"/>
      <c r="S110" s="321"/>
      <c r="T110" s="321"/>
      <c r="U110" s="321"/>
      <c r="V110" s="321"/>
    </row>
    <row r="111" spans="1:22">
      <c r="A111" s="321"/>
      <c r="B111" s="321"/>
      <c r="C111" s="322"/>
      <c r="D111" s="323"/>
      <c r="E111" s="324"/>
      <c r="F111" s="321"/>
      <c r="G111" s="325"/>
      <c r="H111" s="321"/>
      <c r="I111" s="322"/>
      <c r="J111" s="322"/>
      <c r="K111" s="321"/>
      <c r="L111" s="360"/>
      <c r="M111" s="392"/>
      <c r="N111" s="321"/>
      <c r="O111" s="321"/>
      <c r="P111" s="321"/>
      <c r="Q111" s="321"/>
      <c r="R111" s="321"/>
      <c r="S111" s="321"/>
      <c r="T111" s="321"/>
      <c r="U111" s="321"/>
      <c r="V111" s="321"/>
    </row>
    <row r="112" spans="1:22">
      <c r="A112" s="321"/>
      <c r="B112" s="321"/>
      <c r="C112" s="322"/>
      <c r="D112" s="323"/>
      <c r="E112" s="324"/>
      <c r="F112" s="321"/>
      <c r="G112" s="325"/>
      <c r="H112" s="321"/>
      <c r="I112" s="322"/>
      <c r="J112" s="322"/>
      <c r="K112" s="321"/>
      <c r="L112" s="360"/>
      <c r="M112" s="392"/>
      <c r="N112" s="321"/>
      <c r="O112" s="321"/>
      <c r="P112" s="321"/>
      <c r="Q112" s="321"/>
      <c r="R112" s="321"/>
      <c r="S112" s="321"/>
      <c r="T112" s="321"/>
      <c r="U112" s="321"/>
      <c r="V112" s="321"/>
    </row>
    <row r="113" spans="1:22">
      <c r="A113" s="321"/>
      <c r="B113" s="321"/>
      <c r="C113" s="322"/>
      <c r="D113" s="323"/>
      <c r="E113" s="324"/>
      <c r="F113" s="321"/>
      <c r="G113" s="325"/>
      <c r="H113" s="321"/>
      <c r="I113" s="322"/>
      <c r="J113" s="322"/>
      <c r="K113" s="321"/>
      <c r="L113" s="360"/>
      <c r="M113" s="392"/>
      <c r="N113" s="321"/>
      <c r="O113" s="321"/>
      <c r="P113" s="321"/>
      <c r="Q113" s="321"/>
      <c r="R113" s="321"/>
      <c r="S113" s="321"/>
      <c r="T113" s="321"/>
      <c r="U113" s="321"/>
      <c r="V113" s="321"/>
    </row>
    <row r="114" spans="1:22">
      <c r="A114" s="321"/>
      <c r="B114" s="321"/>
      <c r="C114" s="322"/>
      <c r="D114" s="323"/>
      <c r="E114" s="324"/>
      <c r="F114" s="321"/>
      <c r="G114" s="325"/>
      <c r="H114" s="321"/>
      <c r="I114" s="322"/>
      <c r="J114" s="322"/>
      <c r="K114" s="321"/>
      <c r="L114" s="360"/>
      <c r="M114" s="392"/>
      <c r="N114" s="321"/>
      <c r="O114" s="321"/>
      <c r="P114" s="321"/>
      <c r="Q114" s="321"/>
      <c r="R114" s="321"/>
      <c r="S114" s="321"/>
      <c r="T114" s="321"/>
      <c r="U114" s="321"/>
      <c r="V114" s="321"/>
    </row>
    <row r="115" spans="1:22">
      <c r="A115" s="321"/>
      <c r="B115" s="321"/>
      <c r="C115" s="322"/>
      <c r="D115" s="323"/>
      <c r="E115" s="324"/>
      <c r="F115" s="321"/>
      <c r="G115" s="325"/>
      <c r="H115" s="321"/>
      <c r="I115" s="322"/>
      <c r="J115" s="322"/>
      <c r="K115" s="321"/>
      <c r="L115" s="360"/>
      <c r="M115" s="392"/>
      <c r="N115" s="321"/>
      <c r="O115" s="321"/>
      <c r="P115" s="321"/>
      <c r="Q115" s="321"/>
      <c r="R115" s="321"/>
      <c r="S115" s="321"/>
      <c r="T115" s="321"/>
      <c r="U115" s="321"/>
      <c r="V115" s="321"/>
    </row>
    <row r="116" spans="1:22">
      <c r="A116" s="321"/>
      <c r="B116" s="321"/>
      <c r="C116" s="322"/>
      <c r="D116" s="323"/>
      <c r="E116" s="324"/>
      <c r="F116" s="321"/>
      <c r="G116" s="325"/>
      <c r="H116" s="321"/>
      <c r="I116" s="322"/>
      <c r="J116" s="322"/>
      <c r="K116" s="321"/>
      <c r="L116" s="360"/>
      <c r="M116" s="392"/>
      <c r="N116" s="321"/>
      <c r="O116" s="321"/>
      <c r="P116" s="321"/>
      <c r="Q116" s="321"/>
      <c r="R116" s="321"/>
      <c r="S116" s="321"/>
      <c r="T116" s="321"/>
      <c r="U116" s="321"/>
      <c r="V116" s="321"/>
    </row>
    <row r="117" spans="1:22">
      <c r="A117" s="321"/>
      <c r="B117" s="321"/>
      <c r="C117" s="322"/>
      <c r="D117" s="323"/>
      <c r="E117" s="324"/>
      <c r="F117" s="321"/>
      <c r="G117" s="325"/>
      <c r="H117" s="321"/>
      <c r="I117" s="322"/>
      <c r="J117" s="322"/>
      <c r="K117" s="321"/>
      <c r="L117" s="360"/>
      <c r="M117" s="392"/>
      <c r="N117" s="321"/>
      <c r="O117" s="321"/>
      <c r="P117" s="321"/>
      <c r="Q117" s="368"/>
      <c r="R117" s="321"/>
      <c r="S117" s="321"/>
      <c r="T117" s="321"/>
      <c r="U117" s="321"/>
      <c r="V117" s="321"/>
    </row>
    <row r="118" spans="1:22">
      <c r="A118" s="321"/>
      <c r="B118" s="321"/>
      <c r="C118" s="322"/>
      <c r="D118" s="323"/>
      <c r="E118" s="324"/>
      <c r="F118" s="321"/>
      <c r="G118" s="325"/>
      <c r="H118" s="321"/>
      <c r="I118" s="322"/>
      <c r="J118" s="322"/>
      <c r="K118" s="321"/>
      <c r="L118" s="360"/>
      <c r="M118" s="392"/>
      <c r="N118" s="321"/>
      <c r="O118" s="321"/>
      <c r="P118" s="321"/>
      <c r="Q118" s="321"/>
      <c r="R118" s="321"/>
      <c r="S118" s="321"/>
      <c r="T118" s="321"/>
      <c r="U118" s="321"/>
      <c r="V118" s="321"/>
    </row>
    <row r="119" spans="1:22">
      <c r="A119" s="321"/>
      <c r="B119" s="321"/>
      <c r="C119" s="322"/>
      <c r="D119" s="323"/>
      <c r="E119" s="324"/>
      <c r="F119" s="321"/>
      <c r="G119" s="325"/>
      <c r="H119" s="321"/>
      <c r="I119" s="322"/>
      <c r="J119" s="322"/>
      <c r="K119" s="321"/>
      <c r="L119" s="360"/>
      <c r="M119" s="392"/>
      <c r="N119" s="321"/>
      <c r="O119" s="321"/>
      <c r="P119" s="321"/>
      <c r="Q119" s="321"/>
      <c r="R119" s="321"/>
      <c r="S119" s="321"/>
      <c r="T119" s="321"/>
      <c r="U119" s="321"/>
      <c r="V119" s="321"/>
    </row>
    <row r="120" spans="1:22">
      <c r="A120" s="321"/>
      <c r="B120" s="321"/>
      <c r="C120" s="322"/>
      <c r="D120" s="323"/>
      <c r="E120" s="324"/>
      <c r="F120" s="321"/>
      <c r="G120" s="325"/>
      <c r="H120" s="321"/>
      <c r="I120" s="322"/>
      <c r="J120" s="322"/>
      <c r="K120" s="321"/>
      <c r="L120" s="360"/>
      <c r="M120" s="392"/>
      <c r="N120" s="321"/>
      <c r="O120" s="321"/>
      <c r="P120" s="321"/>
      <c r="Q120" s="321"/>
      <c r="R120" s="321"/>
      <c r="S120" s="321"/>
      <c r="T120" s="321"/>
      <c r="U120" s="321"/>
      <c r="V120" s="321"/>
    </row>
    <row r="121" spans="1:22">
      <c r="A121" s="321"/>
      <c r="B121" s="321"/>
      <c r="C121" s="322"/>
      <c r="D121" s="323"/>
      <c r="E121" s="324"/>
      <c r="F121" s="321"/>
      <c r="G121" s="325"/>
      <c r="H121" s="321"/>
      <c r="I121" s="322"/>
      <c r="J121" s="322"/>
      <c r="K121" s="321"/>
      <c r="L121" s="360"/>
      <c r="M121" s="392"/>
      <c r="N121" s="321"/>
      <c r="O121" s="321"/>
      <c r="P121" s="321"/>
      <c r="Q121" s="321"/>
      <c r="R121" s="321"/>
      <c r="S121" s="321"/>
      <c r="T121" s="321"/>
      <c r="U121" s="321"/>
      <c r="V121" s="321"/>
    </row>
    <row r="122" spans="1:22">
      <c r="A122" s="321"/>
      <c r="B122" s="321"/>
      <c r="C122" s="322"/>
      <c r="D122" s="323"/>
      <c r="E122" s="324"/>
      <c r="F122" s="321"/>
      <c r="G122" s="325"/>
      <c r="H122" s="321"/>
      <c r="I122" s="322"/>
      <c r="J122" s="322"/>
      <c r="K122" s="321"/>
      <c r="L122" s="360"/>
      <c r="M122" s="392"/>
      <c r="N122" s="321"/>
      <c r="O122" s="321"/>
      <c r="P122" s="321"/>
      <c r="Q122" s="321"/>
      <c r="R122" s="321"/>
      <c r="S122" s="321"/>
      <c r="T122" s="321"/>
      <c r="U122" s="321"/>
      <c r="V122" s="321"/>
    </row>
    <row r="123" spans="1:22">
      <c r="A123" s="321"/>
      <c r="B123" s="321"/>
      <c r="C123" s="322"/>
      <c r="D123" s="323"/>
      <c r="E123" s="324"/>
      <c r="F123" s="321"/>
      <c r="G123" s="325"/>
      <c r="H123" s="321"/>
      <c r="I123" s="322"/>
      <c r="J123" s="322"/>
      <c r="K123" s="321"/>
      <c r="L123" s="360"/>
      <c r="M123" s="392"/>
      <c r="N123" s="321"/>
      <c r="O123" s="321"/>
      <c r="P123" s="321"/>
      <c r="Q123" s="321"/>
      <c r="R123" s="321"/>
      <c r="S123" s="321"/>
      <c r="T123" s="321"/>
      <c r="U123" s="321"/>
      <c r="V123" s="321"/>
    </row>
    <row r="124" spans="1:22">
      <c r="A124" s="321"/>
      <c r="B124" s="321"/>
      <c r="C124" s="322"/>
      <c r="D124" s="323"/>
      <c r="E124" s="324"/>
      <c r="F124" s="321"/>
      <c r="G124" s="325"/>
      <c r="H124" s="321"/>
      <c r="I124" s="322"/>
      <c r="J124" s="322"/>
      <c r="K124" s="321"/>
      <c r="L124" s="360"/>
      <c r="M124" s="392"/>
      <c r="N124" s="321"/>
      <c r="O124" s="321"/>
      <c r="P124" s="321"/>
      <c r="Q124" s="321"/>
      <c r="R124" s="321"/>
      <c r="S124" s="321"/>
      <c r="T124" s="321"/>
      <c r="U124" s="321"/>
      <c r="V124" s="321"/>
    </row>
    <row r="125" spans="1:22">
      <c r="A125" s="321"/>
      <c r="B125" s="321"/>
      <c r="C125" s="322"/>
      <c r="D125" s="323"/>
      <c r="E125" s="324"/>
      <c r="F125" s="321"/>
      <c r="G125" s="325"/>
      <c r="H125" s="321"/>
      <c r="I125" s="322"/>
      <c r="J125" s="322"/>
      <c r="K125" s="321"/>
      <c r="L125" s="360"/>
      <c r="M125" s="392"/>
      <c r="N125" s="321"/>
      <c r="O125" s="321"/>
      <c r="P125" s="321"/>
      <c r="Q125" s="321"/>
      <c r="R125" s="321"/>
      <c r="S125" s="321"/>
      <c r="T125" s="321"/>
      <c r="U125" s="321"/>
      <c r="V125" s="321"/>
    </row>
    <row r="126" spans="1:22">
      <c r="A126" s="321"/>
      <c r="B126" s="321"/>
      <c r="C126" s="322"/>
      <c r="D126" s="323"/>
      <c r="E126" s="324"/>
      <c r="F126" s="321"/>
      <c r="G126" s="325"/>
      <c r="H126" s="321"/>
      <c r="I126" s="322"/>
      <c r="J126" s="322"/>
      <c r="K126" s="321"/>
      <c r="L126" s="360"/>
      <c r="M126" s="392"/>
      <c r="N126" s="321"/>
      <c r="O126" s="321"/>
      <c r="P126" s="321"/>
      <c r="Q126" s="321"/>
      <c r="R126" s="321"/>
      <c r="S126" s="321"/>
      <c r="T126" s="321"/>
      <c r="U126" s="321"/>
      <c r="V126" s="321"/>
    </row>
    <row r="127" spans="1:22">
      <c r="A127" s="321"/>
      <c r="B127" s="321"/>
      <c r="C127" s="322"/>
      <c r="D127" s="323"/>
      <c r="E127" s="324"/>
      <c r="F127" s="321"/>
      <c r="G127" s="325"/>
      <c r="H127" s="321"/>
      <c r="I127" s="322"/>
      <c r="J127" s="322"/>
      <c r="K127" s="321"/>
      <c r="L127" s="360"/>
      <c r="M127" s="392"/>
      <c r="N127" s="321"/>
      <c r="O127" s="321"/>
      <c r="P127" s="321"/>
      <c r="Q127" s="321"/>
      <c r="R127" s="321"/>
      <c r="S127" s="321"/>
      <c r="T127" s="321"/>
      <c r="U127" s="321"/>
      <c r="V127" s="321"/>
    </row>
    <row r="128" spans="1:22">
      <c r="A128" s="321"/>
      <c r="B128" s="321"/>
      <c r="C128" s="322"/>
      <c r="D128" s="323"/>
      <c r="E128" s="324"/>
      <c r="F128" s="321"/>
      <c r="G128" s="325"/>
      <c r="H128" s="321"/>
      <c r="I128" s="322"/>
      <c r="J128" s="322"/>
      <c r="K128" s="321"/>
      <c r="L128" s="360"/>
      <c r="M128" s="392"/>
      <c r="N128" s="321"/>
      <c r="O128" s="321"/>
      <c r="P128" s="321"/>
      <c r="Q128" s="321"/>
      <c r="R128" s="321"/>
      <c r="S128" s="321"/>
      <c r="T128" s="321"/>
      <c r="U128" s="321"/>
      <c r="V128" s="321"/>
    </row>
    <row r="129" spans="1:22">
      <c r="A129" s="321"/>
      <c r="B129" s="321"/>
      <c r="C129" s="322"/>
      <c r="D129" s="323"/>
      <c r="E129" s="324"/>
      <c r="F129" s="321"/>
      <c r="G129" s="325"/>
      <c r="H129" s="321"/>
      <c r="I129" s="322"/>
      <c r="J129" s="322"/>
      <c r="K129" s="321"/>
      <c r="L129" s="360"/>
      <c r="M129" s="392"/>
      <c r="N129" s="321"/>
      <c r="O129" s="321"/>
      <c r="P129" s="321"/>
      <c r="Q129" s="321"/>
      <c r="R129" s="321"/>
      <c r="S129" s="321"/>
      <c r="T129" s="321"/>
      <c r="U129" s="321"/>
      <c r="V129" s="321"/>
    </row>
    <row r="130" spans="1:22">
      <c r="A130" s="321"/>
      <c r="B130" s="321"/>
      <c r="C130" s="322"/>
      <c r="D130" s="323"/>
      <c r="E130" s="324"/>
      <c r="F130" s="321"/>
      <c r="G130" s="325"/>
      <c r="H130" s="321"/>
      <c r="I130" s="322"/>
      <c r="J130" s="322"/>
      <c r="K130" s="321"/>
      <c r="L130" s="360"/>
      <c r="M130" s="392"/>
      <c r="N130" s="321"/>
      <c r="O130" s="321"/>
      <c r="P130" s="321"/>
      <c r="Q130" s="321"/>
      <c r="R130" s="321"/>
      <c r="S130" s="321"/>
      <c r="T130" s="321"/>
      <c r="U130" s="321"/>
      <c r="V130" s="321"/>
    </row>
    <row r="131" spans="1:22">
      <c r="A131" s="321"/>
      <c r="B131" s="321"/>
      <c r="C131" s="322"/>
      <c r="D131" s="323"/>
      <c r="E131" s="324"/>
      <c r="F131" s="321"/>
      <c r="G131" s="325"/>
      <c r="H131" s="321"/>
      <c r="I131" s="322"/>
      <c r="J131" s="322"/>
      <c r="K131" s="321"/>
      <c r="L131" s="360"/>
      <c r="M131" s="392"/>
      <c r="N131" s="321"/>
      <c r="O131" s="321"/>
      <c r="P131" s="321"/>
      <c r="Q131" s="321"/>
      <c r="R131" s="321"/>
      <c r="S131" s="321"/>
      <c r="T131" s="321"/>
      <c r="U131" s="321"/>
      <c r="V131" s="321"/>
    </row>
    <row r="132" spans="1:22">
      <c r="A132" s="321"/>
      <c r="B132" s="321"/>
      <c r="C132" s="322"/>
      <c r="D132" s="323"/>
      <c r="E132" s="324"/>
      <c r="F132" s="321"/>
      <c r="G132" s="325"/>
      <c r="H132" s="321"/>
      <c r="I132" s="322"/>
      <c r="J132" s="322"/>
      <c r="K132" s="321"/>
      <c r="L132" s="360"/>
      <c r="M132" s="392"/>
      <c r="N132" s="321"/>
      <c r="O132" s="321"/>
      <c r="P132" s="321"/>
      <c r="Q132" s="321"/>
      <c r="R132" s="321"/>
      <c r="S132" s="321"/>
      <c r="T132" s="321"/>
      <c r="U132" s="321"/>
      <c r="V132" s="321"/>
    </row>
    <row r="133" spans="1:22">
      <c r="A133" s="321"/>
      <c r="B133" s="321"/>
      <c r="C133" s="322"/>
      <c r="D133" s="323"/>
      <c r="E133" s="324"/>
      <c r="F133" s="321"/>
      <c r="G133" s="325"/>
      <c r="H133" s="321"/>
      <c r="I133" s="322"/>
      <c r="J133" s="322"/>
      <c r="K133" s="321"/>
      <c r="L133" s="360"/>
      <c r="M133" s="392"/>
      <c r="N133" s="321"/>
      <c r="O133" s="321"/>
      <c r="P133" s="321"/>
      <c r="Q133" s="321"/>
      <c r="R133" s="321"/>
      <c r="S133" s="321"/>
      <c r="T133" s="321"/>
      <c r="U133" s="321"/>
      <c r="V133" s="321"/>
    </row>
    <row r="134" spans="1:22">
      <c r="A134" s="321"/>
      <c r="B134" s="321"/>
      <c r="C134" s="322"/>
      <c r="D134" s="323"/>
      <c r="E134" s="324"/>
      <c r="F134" s="321"/>
      <c r="G134" s="325"/>
      <c r="H134" s="321"/>
      <c r="I134" s="322"/>
      <c r="J134" s="322"/>
      <c r="K134" s="321"/>
      <c r="L134" s="360"/>
      <c r="M134" s="392"/>
      <c r="N134" s="321"/>
      <c r="O134" s="321"/>
      <c r="P134" s="321"/>
      <c r="Q134" s="321"/>
      <c r="R134" s="321"/>
      <c r="S134" s="321"/>
      <c r="T134" s="321"/>
      <c r="U134" s="321"/>
      <c r="V134" s="321"/>
    </row>
    <row r="135" spans="1:22">
      <c r="A135" s="321"/>
      <c r="B135" s="321"/>
      <c r="C135" s="322"/>
      <c r="D135" s="323"/>
      <c r="E135" s="324"/>
      <c r="F135" s="321"/>
      <c r="G135" s="325"/>
      <c r="H135" s="321"/>
      <c r="I135" s="322"/>
      <c r="J135" s="322"/>
      <c r="K135" s="321"/>
      <c r="L135" s="360"/>
      <c r="M135" s="392"/>
      <c r="N135" s="321"/>
      <c r="O135" s="321"/>
      <c r="P135" s="321"/>
      <c r="Q135" s="321"/>
      <c r="R135" s="321"/>
      <c r="S135" s="321"/>
      <c r="T135" s="321"/>
      <c r="U135" s="321"/>
      <c r="V135" s="321"/>
    </row>
    <row r="136" spans="1:22">
      <c r="A136" s="321"/>
      <c r="B136" s="321"/>
      <c r="C136" s="322"/>
      <c r="D136" s="323"/>
      <c r="E136" s="324"/>
      <c r="F136" s="321"/>
      <c r="G136" s="325"/>
      <c r="H136" s="321"/>
      <c r="I136" s="322"/>
      <c r="J136" s="322"/>
      <c r="K136" s="321"/>
      <c r="L136" s="360"/>
      <c r="M136" s="392"/>
      <c r="N136" s="321"/>
      <c r="O136" s="321"/>
      <c r="P136" s="321"/>
      <c r="Q136" s="321"/>
      <c r="R136" s="321"/>
      <c r="S136" s="321"/>
      <c r="T136" s="321"/>
      <c r="U136" s="321"/>
      <c r="V136" s="321"/>
    </row>
    <row r="137" spans="1:22">
      <c r="A137" s="321"/>
      <c r="B137" s="321"/>
      <c r="C137" s="322"/>
      <c r="D137" s="323"/>
      <c r="E137" s="324"/>
      <c r="F137" s="321"/>
      <c r="G137" s="325"/>
      <c r="H137" s="321"/>
      <c r="I137" s="322"/>
      <c r="J137" s="322"/>
      <c r="K137" s="321"/>
      <c r="L137" s="360"/>
      <c r="M137" s="392"/>
      <c r="N137" s="321"/>
      <c r="O137" s="321"/>
      <c r="P137" s="321"/>
      <c r="Q137" s="321"/>
      <c r="R137" s="321"/>
      <c r="S137" s="321"/>
      <c r="T137" s="321"/>
      <c r="U137" s="321"/>
      <c r="V137" s="321"/>
    </row>
    <row r="138" spans="1:22">
      <c r="A138" s="321"/>
      <c r="B138" s="321"/>
      <c r="C138" s="322"/>
      <c r="D138" s="323"/>
      <c r="E138" s="324"/>
      <c r="F138" s="321"/>
      <c r="G138" s="325"/>
      <c r="H138" s="321"/>
      <c r="I138" s="322"/>
      <c r="J138" s="322"/>
      <c r="K138" s="321"/>
      <c r="L138" s="360"/>
      <c r="M138" s="392"/>
      <c r="N138" s="321"/>
      <c r="O138" s="321"/>
      <c r="P138" s="321"/>
      <c r="Q138" s="321"/>
      <c r="R138" s="321"/>
      <c r="S138" s="321"/>
      <c r="T138" s="321"/>
      <c r="U138" s="321"/>
      <c r="V138" s="321"/>
    </row>
    <row r="139" spans="1:22">
      <c r="A139" s="321"/>
      <c r="B139" s="321"/>
      <c r="C139" s="322"/>
      <c r="D139" s="323"/>
      <c r="E139" s="324"/>
      <c r="F139" s="321"/>
      <c r="G139" s="325"/>
      <c r="H139" s="321"/>
      <c r="I139" s="322"/>
      <c r="J139" s="322"/>
      <c r="K139" s="321"/>
      <c r="L139" s="360"/>
      <c r="M139" s="392"/>
      <c r="N139" s="321"/>
      <c r="O139" s="321"/>
      <c r="P139" s="321"/>
      <c r="Q139" s="321"/>
      <c r="R139" s="321"/>
      <c r="S139" s="321"/>
      <c r="T139" s="321"/>
      <c r="U139" s="321"/>
      <c r="V139" s="321"/>
    </row>
    <row r="140" spans="1:22">
      <c r="A140" s="321"/>
      <c r="B140" s="321"/>
      <c r="C140" s="322"/>
      <c r="D140" s="323"/>
      <c r="E140" s="324"/>
      <c r="F140" s="321"/>
      <c r="G140" s="325"/>
      <c r="H140" s="321"/>
      <c r="I140" s="322"/>
      <c r="J140" s="322"/>
      <c r="K140" s="321"/>
      <c r="L140" s="360"/>
      <c r="M140" s="392"/>
      <c r="N140" s="321"/>
      <c r="O140" s="321"/>
      <c r="P140" s="321"/>
      <c r="Q140" s="321"/>
      <c r="R140" s="321"/>
      <c r="S140" s="321"/>
      <c r="T140" s="321"/>
      <c r="U140" s="321"/>
      <c r="V140" s="321"/>
    </row>
    <row r="141" spans="1:22">
      <c r="A141" s="321"/>
      <c r="B141" s="321"/>
      <c r="C141" s="322"/>
      <c r="D141" s="323"/>
      <c r="E141" s="324"/>
      <c r="F141" s="321"/>
      <c r="G141" s="325"/>
      <c r="H141" s="321"/>
      <c r="I141" s="322"/>
      <c r="J141" s="322"/>
      <c r="K141" s="321"/>
      <c r="L141" s="360"/>
      <c r="M141" s="392"/>
      <c r="N141" s="321"/>
      <c r="O141" s="321"/>
      <c r="P141" s="321"/>
      <c r="Q141" s="321"/>
      <c r="R141" s="321"/>
      <c r="S141" s="321"/>
      <c r="T141" s="321"/>
      <c r="U141" s="321"/>
      <c r="V141" s="321"/>
    </row>
    <row r="142" spans="1:22">
      <c r="A142" s="321"/>
      <c r="B142" s="321"/>
      <c r="C142" s="322"/>
      <c r="D142" s="323"/>
      <c r="E142" s="324"/>
      <c r="F142" s="321"/>
      <c r="G142" s="325"/>
      <c r="H142" s="321"/>
      <c r="I142" s="322"/>
      <c r="J142" s="322"/>
      <c r="K142" s="321"/>
      <c r="L142" s="360"/>
      <c r="M142" s="392"/>
      <c r="N142" s="321"/>
      <c r="O142" s="321"/>
      <c r="P142" s="321"/>
      <c r="Q142" s="321"/>
      <c r="R142" s="321"/>
      <c r="S142" s="321"/>
      <c r="T142" s="321"/>
      <c r="U142" s="321"/>
      <c r="V142" s="321"/>
    </row>
    <row r="143" spans="1:22">
      <c r="A143" s="321"/>
      <c r="B143" s="321"/>
      <c r="C143" s="322"/>
      <c r="D143" s="323"/>
      <c r="E143" s="324"/>
      <c r="F143" s="321"/>
      <c r="G143" s="325"/>
      <c r="H143" s="321"/>
      <c r="I143" s="322"/>
      <c r="J143" s="322"/>
      <c r="K143" s="321"/>
      <c r="L143" s="360"/>
      <c r="M143" s="392"/>
      <c r="N143" s="321"/>
      <c r="O143" s="321"/>
      <c r="P143" s="321"/>
      <c r="Q143" s="321"/>
      <c r="R143" s="321"/>
      <c r="S143" s="321"/>
      <c r="T143" s="321"/>
      <c r="U143" s="321"/>
      <c r="V143" s="321"/>
    </row>
    <row r="144" spans="1:22" ht="48.75" customHeight="1" thickBot="1">
      <c r="A144" s="321"/>
      <c r="B144" s="321"/>
      <c r="C144" s="1633" t="s">
        <v>136</v>
      </c>
      <c r="D144" s="1633"/>
      <c r="E144" s="1633"/>
      <c r="F144" s="1633"/>
      <c r="G144" s="1633"/>
      <c r="H144" s="1633"/>
      <c r="I144" s="1703"/>
      <c r="J144" s="1633"/>
      <c r="K144" s="1633"/>
      <c r="L144" s="1633"/>
      <c r="M144" s="1633"/>
      <c r="N144" s="446"/>
      <c r="O144" s="321"/>
      <c r="P144" s="321"/>
      <c r="Q144" s="321"/>
      <c r="R144" s="321"/>
      <c r="S144" s="321"/>
      <c r="T144" s="321"/>
      <c r="U144" s="321"/>
      <c r="V144" s="321"/>
    </row>
    <row r="145" spans="1:22" ht="16.5" customHeight="1" thickBot="1">
      <c r="A145" s="321"/>
      <c r="B145" s="321"/>
      <c r="C145" s="1608" t="s">
        <v>138</v>
      </c>
      <c r="D145" s="406"/>
      <c r="E145" s="407"/>
      <c r="F145" s="408"/>
      <c r="G145" s="409"/>
      <c r="H145" s="410"/>
      <c r="I145" s="577"/>
      <c r="J145" s="411"/>
      <c r="K145" s="406"/>
      <c r="L145" s="216"/>
      <c r="M145" s="217"/>
      <c r="N145" s="446"/>
      <c r="O145" s="321"/>
      <c r="P145" s="321"/>
      <c r="Q145" s="321"/>
      <c r="R145" s="321"/>
      <c r="S145" s="321"/>
      <c r="T145" s="321"/>
      <c r="U145" s="321"/>
      <c r="V145" s="321"/>
    </row>
    <row r="146" spans="1:22">
      <c r="A146" s="321"/>
      <c r="B146" s="321"/>
      <c r="C146" s="1609"/>
      <c r="D146" s="412"/>
      <c r="E146" s="1152" t="s">
        <v>139</v>
      </c>
      <c r="F146" s="413" t="s">
        <v>140</v>
      </c>
      <c r="G146" s="414" t="s">
        <v>141</v>
      </c>
      <c r="H146" s="415"/>
      <c r="I146" s="578" t="s">
        <v>142</v>
      </c>
      <c r="J146" s="416" t="s">
        <v>143</v>
      </c>
      <c r="K146" s="413" t="s">
        <v>132</v>
      </c>
      <c r="L146" s="246" t="s">
        <v>134</v>
      </c>
      <c r="M146" s="1146"/>
      <c r="N146" s="446"/>
      <c r="O146" s="321"/>
      <c r="P146" s="321"/>
      <c r="Q146" s="321"/>
      <c r="R146" s="321"/>
      <c r="S146" s="321"/>
      <c r="T146" s="321"/>
      <c r="U146" s="321"/>
      <c r="V146" s="321"/>
    </row>
    <row r="147" spans="1:22">
      <c r="A147" s="321"/>
      <c r="B147" s="321"/>
      <c r="C147" s="1609"/>
      <c r="D147" s="412"/>
      <c r="E147" s="417" t="s">
        <v>144</v>
      </c>
      <c r="F147" s="418">
        <f>COUNTIF(J$1:J$144,"Positif")</f>
        <v>71</v>
      </c>
      <c r="G147" s="419">
        <f>COUNTIF(J$1:J$144,"Negatif")</f>
        <v>6</v>
      </c>
      <c r="H147" s="415"/>
      <c r="I147" s="579" t="s">
        <v>145</v>
      </c>
      <c r="J147" s="418">
        <f>COUNTIFS(F$1:F$144,"PQR",G$1:G$144, 40)</f>
        <v>6</v>
      </c>
      <c r="K147" s="421">
        <f>COUNTIFS(F$1:F$144,"PQR",G$1:G$144, 65)</f>
        <v>22</v>
      </c>
      <c r="L147" s="422">
        <f>COUNTIFS(F$1:F$144,"PQR",G$1:G$144,64)</f>
        <v>13</v>
      </c>
      <c r="M147" s="1146"/>
      <c r="N147" s="446"/>
      <c r="O147" s="321"/>
      <c r="P147" s="321"/>
      <c r="Q147" s="321"/>
      <c r="R147" s="321"/>
      <c r="S147" s="321"/>
      <c r="T147" s="321"/>
      <c r="U147" s="321"/>
      <c r="V147" s="321"/>
    </row>
    <row r="148" spans="1:22">
      <c r="A148" s="321"/>
      <c r="B148" s="321"/>
      <c r="C148" s="1609"/>
      <c r="D148" s="412"/>
      <c r="E148" s="423" t="s">
        <v>143</v>
      </c>
      <c r="F148" s="424">
        <f>COUNTIFS(G$1:G$144,40,J$1:J$144, "Positif")</f>
        <v>17</v>
      </c>
      <c r="G148" s="419">
        <f>COUNTIFS(G$1:G$144,40,J$1:J$144, "Negatif")+COUNTIFS(G$1:G$144,40,J$1:J$144, "Negative")+COUNTIFS(G$1:G$144,40,J$1:J$144, "négatif")+COUNTIFS(G$1:G$144,40,J$1:J$144, "négative")</f>
        <v>1</v>
      </c>
      <c r="H148" s="415"/>
      <c r="I148" s="580" t="s">
        <v>146</v>
      </c>
      <c r="J148" s="418">
        <f>COUNTIFS(F$1:F$144,"web",G$1:G$144, 40)</f>
        <v>7</v>
      </c>
      <c r="K148" s="418">
        <f>COUNTIFS(F$1:F$144,"web",G$1:G$144, 65)</f>
        <v>11</v>
      </c>
      <c r="L148" s="419">
        <f>COUNTIFS(F$1:F$144,"web",G$1:G$144, 64)</f>
        <v>5</v>
      </c>
      <c r="M148" s="1146"/>
      <c r="N148" s="446"/>
      <c r="O148" s="321"/>
      <c r="P148" s="321"/>
      <c r="Q148" s="321"/>
      <c r="R148" s="321"/>
      <c r="S148" s="321"/>
      <c r="T148" s="321"/>
      <c r="U148" s="321"/>
      <c r="V148" s="321"/>
    </row>
    <row r="149" spans="1:22">
      <c r="A149" s="321"/>
      <c r="B149" s="321"/>
      <c r="C149" s="1609"/>
      <c r="D149" s="412"/>
      <c r="E149" s="423" t="s">
        <v>132</v>
      </c>
      <c r="F149" s="424">
        <f>COUNTIFS(G$1:G$144,65,J$1:J$144, "Positif")+COUNTIFS(G$1:G$144,65,J$1:J$144,"Positive")</f>
        <v>30</v>
      </c>
      <c r="G149" s="419">
        <f>COUNTIFS(G$1:G$144,65,J$1:J$144, "Negatif")+COUNTIFS(G$1:G$144,65,J$1:J$144, "Negative")+COUNTIFS(G$1:G$144,65,J$1:J$144, "négatif")+COUNTIFS(G$1:G$144,65,J$1:J$144, "négative")</f>
        <v>3</v>
      </c>
      <c r="H149" s="415"/>
      <c r="I149" s="580" t="s">
        <v>147</v>
      </c>
      <c r="J149" s="418">
        <f>COUNTIFS(F$1:F$144,"radio",G$1:G$144, 40)</f>
        <v>4</v>
      </c>
      <c r="K149" s="418">
        <f>COUNTIFS(F$1:F$144,"radio",G$1:G$144, 65)</f>
        <v>0</v>
      </c>
      <c r="L149" s="419">
        <f>COUNTIFS(F$1:F$144,"radio",G$1:G$144, 64)</f>
        <v>2</v>
      </c>
      <c r="M149" s="1146"/>
      <c r="N149" s="446"/>
      <c r="O149" s="321"/>
      <c r="P149" s="321"/>
      <c r="Q149" s="321"/>
      <c r="R149" s="321"/>
      <c r="S149" s="321"/>
      <c r="T149" s="321"/>
      <c r="U149" s="321"/>
      <c r="V149" s="321"/>
    </row>
    <row r="150" spans="1:22" ht="16.5" thickBot="1">
      <c r="A150" s="321"/>
      <c r="B150" s="321"/>
      <c r="C150" s="1609"/>
      <c r="D150" s="412"/>
      <c r="E150" s="426" t="s">
        <v>134</v>
      </c>
      <c r="F150" s="427">
        <f>COUNTIFS(G$1:G$144,64,J$1:J$144, "Positif")+COUNTIFS(G$1:G$144,64,J$1:J$144,"Positive")</f>
        <v>19</v>
      </c>
      <c r="G150" s="428">
        <f>COUNTIFS(G$7:G$144,64,J$7:J$144, "Negatif")+COUNTIFS(G$7:G$144,64,J$7:J$144, "Negative")+COUNTIFS(G$7:G$144,64,J$7:J$144, "négatif")+COUNTIFS(G$7:G$144,64,J$7:J$144, "négative")</f>
        <v>2</v>
      </c>
      <c r="H150" s="415"/>
      <c r="I150" s="581" t="s">
        <v>148</v>
      </c>
      <c r="J150" s="430">
        <f>COUNTIFS(F$1:F$144,"TV",G$1:G$144, 40)</f>
        <v>1</v>
      </c>
      <c r="K150" s="430">
        <f>COUNTIFS(F$1:F$144,"TV",G$1:G$144, 65)</f>
        <v>0</v>
      </c>
      <c r="L150" s="431">
        <f>COUNTIFS(F$1:F$144,"TV",G$1:G$144, 64)</f>
        <v>1</v>
      </c>
      <c r="M150" s="1146"/>
      <c r="N150" s="446"/>
      <c r="O150" s="321"/>
      <c r="P150" s="321"/>
      <c r="Q150" s="321"/>
      <c r="R150" s="321"/>
      <c r="S150" s="321"/>
      <c r="T150" s="321"/>
      <c r="U150" s="321"/>
      <c r="V150" s="321"/>
    </row>
    <row r="151" spans="1:22">
      <c r="A151" s="321"/>
      <c r="B151" s="321"/>
      <c r="C151" s="1609"/>
      <c r="D151" s="412"/>
      <c r="E151" s="432"/>
      <c r="F151" s="433"/>
      <c r="G151" s="433"/>
      <c r="H151" s="415"/>
      <c r="I151" s="436"/>
      <c r="J151" s="435"/>
      <c r="K151" s="436"/>
      <c r="L151" s="434"/>
      <c r="M151" s="437"/>
      <c r="N151" s="446"/>
      <c r="O151" s="321"/>
      <c r="P151" s="321"/>
      <c r="Q151" s="321"/>
      <c r="R151" s="321"/>
      <c r="S151" s="321"/>
      <c r="T151" s="321"/>
      <c r="U151" s="321"/>
      <c r="V151" s="321"/>
    </row>
    <row r="152" spans="1:22" ht="16.5" thickBot="1">
      <c r="A152" s="321"/>
      <c r="B152" s="321"/>
      <c r="C152" s="1610"/>
      <c r="D152" s="438"/>
      <c r="E152" s="439"/>
      <c r="F152" s="440"/>
      <c r="G152" s="441"/>
      <c r="H152" s="442"/>
      <c r="I152" s="444"/>
      <c r="J152" s="441"/>
      <c r="K152" s="444"/>
      <c r="L152" s="443"/>
      <c r="M152" s="445"/>
      <c r="N152" s="446"/>
      <c r="O152" s="321"/>
      <c r="P152" s="321"/>
      <c r="Q152" s="321"/>
      <c r="R152" s="321"/>
      <c r="S152" s="321"/>
      <c r="T152" s="321"/>
      <c r="U152" s="321"/>
      <c r="V152" s="321"/>
    </row>
    <row r="153" spans="1:22" ht="16.5" thickBot="1">
      <c r="A153" s="321"/>
      <c r="B153" s="321"/>
      <c r="C153" s="446"/>
      <c r="D153" s="446"/>
      <c r="E153" s="446"/>
      <c r="F153" s="446"/>
      <c r="G153" s="446"/>
      <c r="H153" s="446"/>
      <c r="I153" s="540"/>
      <c r="J153" s="446"/>
      <c r="K153" s="446"/>
      <c r="L153" s="446"/>
      <c r="M153" s="446"/>
      <c r="N153" s="446"/>
      <c r="O153" s="321"/>
      <c r="P153" s="321"/>
      <c r="Q153" s="321"/>
      <c r="R153" s="321"/>
      <c r="S153" s="321"/>
      <c r="T153" s="321"/>
      <c r="U153" s="321"/>
      <c r="V153" s="321"/>
    </row>
    <row r="154" spans="1:22" ht="16.5" customHeight="1" thickBot="1">
      <c r="A154" s="321"/>
      <c r="B154" s="351"/>
      <c r="C154" s="1608" t="s">
        <v>138</v>
      </c>
      <c r="D154" s="1147"/>
      <c r="E154" s="447"/>
      <c r="F154" s="1148"/>
      <c r="G154" s="1149"/>
      <c r="H154" s="1148"/>
      <c r="I154" s="582"/>
      <c r="J154" s="1150"/>
      <c r="K154" s="446"/>
      <c r="L154" s="446"/>
      <c r="M154" s="446"/>
      <c r="N154" s="538"/>
      <c r="O154" s="321"/>
      <c r="P154" s="321"/>
      <c r="Q154" s="321"/>
      <c r="R154" s="321"/>
      <c r="S154" s="321"/>
      <c r="T154" s="321"/>
      <c r="U154" s="321"/>
      <c r="V154" s="321"/>
    </row>
    <row r="155" spans="1:22">
      <c r="A155" s="321"/>
      <c r="B155" s="351"/>
      <c r="C155" s="1609"/>
      <c r="D155" s="1151"/>
      <c r="E155" s="1611" t="s">
        <v>149</v>
      </c>
      <c r="F155" s="1612"/>
      <c r="G155" s="1153"/>
      <c r="H155" s="1611" t="s">
        <v>236</v>
      </c>
      <c r="I155" s="1701"/>
      <c r="J155" s="1146"/>
      <c r="K155" s="446"/>
      <c r="L155" s="446"/>
      <c r="M155" s="446"/>
      <c r="N155" s="538"/>
      <c r="O155" s="321"/>
      <c r="P155" s="321"/>
      <c r="Q155" s="321"/>
      <c r="R155" s="321"/>
      <c r="S155" s="321"/>
      <c r="T155" s="321"/>
      <c r="U155" s="321"/>
      <c r="V155" s="321"/>
    </row>
    <row r="156" spans="1:22">
      <c r="A156" s="321"/>
      <c r="B156" s="321"/>
      <c r="C156" s="1609"/>
      <c r="D156" s="1151"/>
      <c r="E156" s="1613"/>
      <c r="F156" s="1614"/>
      <c r="G156" s="1153"/>
      <c r="H156" s="1615"/>
      <c r="I156" s="1702"/>
      <c r="J156" s="1146"/>
      <c r="K156" s="446"/>
      <c r="L156" s="446"/>
      <c r="M156" s="446"/>
      <c r="N156" s="446"/>
      <c r="O156" s="321"/>
      <c r="P156" s="321"/>
      <c r="Q156" s="321"/>
      <c r="R156" s="321"/>
      <c r="S156" s="321"/>
      <c r="T156" s="321"/>
      <c r="U156" s="321"/>
      <c r="V156" s="321"/>
    </row>
    <row r="157" spans="1:22">
      <c r="A157" s="321"/>
      <c r="B157" s="360"/>
      <c r="C157" s="1609"/>
      <c r="D157" s="1151"/>
      <c r="E157" s="1613"/>
      <c r="F157" s="1614"/>
      <c r="G157" s="1153"/>
      <c r="H157" s="449" t="s">
        <v>151</v>
      </c>
      <c r="I157" s="583">
        <f>SUM(T:T)</f>
        <v>34</v>
      </c>
      <c r="J157" s="1146"/>
      <c r="K157" s="446"/>
      <c r="L157" s="446"/>
      <c r="M157" s="446"/>
      <c r="N157" s="488"/>
      <c r="O157" s="321"/>
      <c r="P157" s="321"/>
      <c r="Q157" s="321"/>
      <c r="R157" s="321"/>
      <c r="S157" s="321"/>
      <c r="T157" s="321"/>
      <c r="U157" s="321"/>
      <c r="V157" s="321"/>
    </row>
    <row r="158" spans="1:22">
      <c r="A158" s="321"/>
      <c r="B158" s="360"/>
      <c r="C158" s="1609"/>
      <c r="D158" s="1151"/>
      <c r="E158" s="452" t="s">
        <v>152</v>
      </c>
      <c r="F158" s="450">
        <f>COUNTIF(Q:Q,40)</f>
        <v>5</v>
      </c>
      <c r="G158" s="1153"/>
      <c r="H158" s="453" t="s">
        <v>153</v>
      </c>
      <c r="I158" s="583">
        <f>SUMIFS(T:T,Q:Q, 40)</f>
        <v>10</v>
      </c>
      <c r="J158" s="1146"/>
      <c r="K158" s="446"/>
      <c r="L158" s="446"/>
      <c r="M158" s="446"/>
      <c r="N158" s="488"/>
      <c r="O158" s="321"/>
      <c r="P158" s="321"/>
      <c r="Q158" s="321"/>
      <c r="R158" s="321"/>
      <c r="S158" s="321"/>
      <c r="T158" s="321"/>
      <c r="U158" s="321"/>
      <c r="V158" s="321"/>
    </row>
    <row r="159" spans="1:22">
      <c r="A159" s="321"/>
      <c r="B159" s="360"/>
      <c r="C159" s="1609"/>
      <c r="D159" s="1154"/>
      <c r="E159" s="453" t="s">
        <v>154</v>
      </c>
      <c r="F159" s="450">
        <f>COUNTIF(Q:Q,65)</f>
        <v>3</v>
      </c>
      <c r="G159" s="1154"/>
      <c r="H159" s="453" t="s">
        <v>155</v>
      </c>
      <c r="I159" s="583">
        <f>SUMIFS(T:T,Q:Q, 65)</f>
        <v>15</v>
      </c>
      <c r="J159" s="1155"/>
      <c r="K159" s="454"/>
      <c r="L159" s="446"/>
      <c r="M159" s="446"/>
      <c r="N159" s="488"/>
      <c r="O159" s="321"/>
      <c r="P159" s="321"/>
      <c r="Q159" s="321"/>
      <c r="R159" s="321"/>
      <c r="S159" s="321"/>
      <c r="T159" s="321"/>
      <c r="U159" s="321"/>
      <c r="V159" s="321"/>
    </row>
    <row r="160" spans="1:22" ht="16.5" thickBot="1">
      <c r="A160" s="321"/>
      <c r="B160" s="363"/>
      <c r="C160" s="1609"/>
      <c r="D160" s="1154"/>
      <c r="E160" s="455" t="s">
        <v>156</v>
      </c>
      <c r="F160" s="456">
        <f>COUNTIF(Q:Q,64)</f>
        <v>3</v>
      </c>
      <c r="G160" s="1154"/>
      <c r="H160" s="455" t="s">
        <v>157</v>
      </c>
      <c r="I160" s="584">
        <f>SUMIFS(T:T,Q:Q, 64)</f>
        <v>9</v>
      </c>
      <c r="J160" s="1155"/>
      <c r="K160" s="454"/>
      <c r="L160" s="446"/>
      <c r="M160" s="446"/>
      <c r="N160" s="539"/>
      <c r="O160" s="321"/>
      <c r="P160" s="321"/>
      <c r="Q160" s="321"/>
      <c r="R160" s="321"/>
      <c r="S160" s="321"/>
      <c r="T160" s="321"/>
      <c r="U160" s="321"/>
      <c r="V160" s="321"/>
    </row>
    <row r="161" spans="1:22" ht="16.5" thickBot="1">
      <c r="A161" s="321"/>
      <c r="B161" s="360"/>
      <c r="C161" s="1610"/>
      <c r="D161" s="1156"/>
      <c r="E161" s="1156"/>
      <c r="F161" s="1156"/>
      <c r="G161" s="1156"/>
      <c r="H161" s="1156"/>
      <c r="I161" s="1417"/>
      <c r="J161" s="1157"/>
      <c r="K161" s="458"/>
      <c r="L161" s="446"/>
      <c r="M161" s="446"/>
      <c r="N161" s="488"/>
      <c r="O161" s="321"/>
      <c r="P161" s="321"/>
      <c r="Q161" s="321"/>
      <c r="R161" s="321"/>
      <c r="S161" s="321"/>
      <c r="T161" s="321"/>
      <c r="U161" s="321"/>
      <c r="V161" s="321"/>
    </row>
    <row r="162" spans="1:22" ht="16.5" thickBot="1">
      <c r="A162" s="321"/>
      <c r="B162" s="321"/>
      <c r="C162" s="459"/>
      <c r="D162" s="460"/>
      <c r="E162" s="446"/>
      <c r="F162" s="461"/>
      <c r="G162" s="458"/>
      <c r="H162" s="462"/>
      <c r="I162" s="585"/>
      <c r="J162" s="463"/>
      <c r="K162" s="454"/>
      <c r="L162" s="446"/>
      <c r="M162" s="446"/>
      <c r="N162" s="446"/>
      <c r="O162" s="321"/>
      <c r="P162" s="321"/>
      <c r="Q162" s="321"/>
      <c r="R162" s="321"/>
      <c r="S162" s="321"/>
      <c r="T162" s="321"/>
      <c r="U162" s="321"/>
      <c r="V162" s="321"/>
    </row>
    <row r="163" spans="1:22" ht="16.5" customHeight="1" thickBot="1">
      <c r="A163" s="321"/>
      <c r="B163" s="363"/>
      <c r="C163" s="1608" t="s">
        <v>138</v>
      </c>
      <c r="D163" s="1158"/>
      <c r="E163" s="1158"/>
      <c r="F163" s="1158"/>
      <c r="G163" s="1158"/>
      <c r="H163" s="1158"/>
      <c r="I163" s="1418"/>
      <c r="J163" s="1159"/>
      <c r="K163" s="446"/>
      <c r="L163" s="446"/>
      <c r="M163" s="446"/>
      <c r="N163" s="539"/>
      <c r="O163" s="321"/>
      <c r="P163" s="321"/>
      <c r="Q163" s="321"/>
      <c r="R163" s="321"/>
      <c r="S163" s="321"/>
      <c r="T163" s="321"/>
      <c r="U163" s="321"/>
      <c r="V163" s="321"/>
    </row>
    <row r="164" spans="1:22">
      <c r="A164" s="321"/>
      <c r="B164" s="360"/>
      <c r="C164" s="1609"/>
      <c r="D164" s="1154"/>
      <c r="E164" s="1617" t="s">
        <v>237</v>
      </c>
      <c r="F164" s="1618"/>
      <c r="G164" s="1618"/>
      <c r="H164" s="1618"/>
      <c r="I164" s="1697"/>
      <c r="J164" s="1155"/>
      <c r="K164" s="446"/>
      <c r="L164" s="446"/>
      <c r="M164" s="446"/>
      <c r="N164" s="488"/>
      <c r="O164" s="321"/>
      <c r="P164" s="321"/>
      <c r="Q164" s="321"/>
      <c r="R164" s="321"/>
      <c r="S164" s="321"/>
      <c r="T164" s="321"/>
      <c r="U164" s="321"/>
      <c r="V164" s="321"/>
    </row>
    <row r="165" spans="1:22">
      <c r="A165" s="321"/>
      <c r="B165" s="360"/>
      <c r="C165" s="1609"/>
      <c r="D165" s="1154"/>
      <c r="E165" s="464" t="s">
        <v>72</v>
      </c>
      <c r="F165" s="465" t="s">
        <v>159</v>
      </c>
      <c r="G165" s="466" t="s">
        <v>143</v>
      </c>
      <c r="H165" s="466" t="s">
        <v>132</v>
      </c>
      <c r="I165" s="586" t="s">
        <v>134</v>
      </c>
      <c r="J165" s="1155"/>
      <c r="K165" s="446"/>
      <c r="L165" s="446"/>
      <c r="M165" s="446"/>
      <c r="N165" s="488"/>
      <c r="O165" s="321"/>
      <c r="P165" s="321"/>
      <c r="Q165" s="321"/>
      <c r="R165" s="321"/>
      <c r="S165" s="321"/>
      <c r="T165" s="321"/>
      <c r="U165" s="321"/>
      <c r="V165" s="321"/>
    </row>
    <row r="166" spans="1:22">
      <c r="A166" s="321"/>
      <c r="B166" s="321"/>
      <c r="C166" s="1609"/>
      <c r="D166" s="1154"/>
      <c r="E166" s="468" t="s">
        <v>47</v>
      </c>
      <c r="F166" s="1160">
        <f t="shared" ref="F166:F173" si="0">COUNTIFS(I$11:I$144, E166)</f>
        <v>11</v>
      </c>
      <c r="G166" s="1161">
        <f t="shared" ref="G166:G173" si="1">COUNTIFS(G$11:G$144,40,I$11:I$144, E166)</f>
        <v>5</v>
      </c>
      <c r="H166" s="1162">
        <f t="shared" ref="H166:H173" si="2">COUNTIFS(G$11:G$144,65,I$11:I$144, E166)</f>
        <v>6</v>
      </c>
      <c r="I166" s="1419">
        <f t="shared" ref="I166:I173" si="3">COUNTIFS(G$11:G$144,64,I$11:I$144, E166)</f>
        <v>0</v>
      </c>
      <c r="J166" s="1155"/>
      <c r="K166" s="446"/>
      <c r="L166" s="446"/>
      <c r="M166" s="446"/>
      <c r="N166" s="446"/>
      <c r="O166" s="321"/>
      <c r="P166" s="321"/>
      <c r="Q166" s="321"/>
      <c r="R166" s="321"/>
      <c r="S166" s="321"/>
      <c r="T166" s="321"/>
      <c r="U166" s="321"/>
      <c r="V166" s="321"/>
    </row>
    <row r="167" spans="1:22">
      <c r="A167" s="321"/>
      <c r="B167" s="321"/>
      <c r="C167" s="1609"/>
      <c r="D167" s="1154"/>
      <c r="E167" s="469" t="s">
        <v>48</v>
      </c>
      <c r="F167" s="1160">
        <f t="shared" si="0"/>
        <v>0</v>
      </c>
      <c r="G167" s="1161">
        <f t="shared" si="1"/>
        <v>0</v>
      </c>
      <c r="H167" s="1162">
        <f t="shared" si="2"/>
        <v>0</v>
      </c>
      <c r="I167" s="1419">
        <f t="shared" si="3"/>
        <v>0</v>
      </c>
      <c r="J167" s="1155"/>
      <c r="K167" s="446"/>
      <c r="L167" s="446"/>
      <c r="M167" s="446"/>
      <c r="N167" s="446"/>
      <c r="O167" s="321"/>
      <c r="P167" s="321"/>
      <c r="Q167" s="321"/>
      <c r="R167" s="321"/>
      <c r="S167" s="321"/>
      <c r="T167" s="321"/>
      <c r="U167" s="321"/>
      <c r="V167" s="321"/>
    </row>
    <row r="168" spans="1:22">
      <c r="A168" s="321"/>
      <c r="B168" s="321"/>
      <c r="C168" s="1609"/>
      <c r="D168" s="1154"/>
      <c r="E168" s="469" t="s">
        <v>49</v>
      </c>
      <c r="F168" s="1160">
        <f t="shared" si="0"/>
        <v>9</v>
      </c>
      <c r="G168" s="1161">
        <f t="shared" si="1"/>
        <v>2</v>
      </c>
      <c r="H168" s="1162">
        <f t="shared" si="2"/>
        <v>0</v>
      </c>
      <c r="I168" s="1419">
        <f t="shared" si="3"/>
        <v>7</v>
      </c>
      <c r="J168" s="1155"/>
      <c r="K168" s="446"/>
      <c r="L168" s="446"/>
      <c r="M168" s="446"/>
      <c r="N168" s="446"/>
      <c r="O168" s="321"/>
      <c r="P168" s="321"/>
      <c r="Q168" s="321"/>
      <c r="R168" s="321"/>
      <c r="S168" s="321"/>
      <c r="T168" s="321"/>
      <c r="U168" s="321"/>
      <c r="V168" s="321"/>
    </row>
    <row r="169" spans="1:22">
      <c r="A169" s="321"/>
      <c r="B169" s="360"/>
      <c r="C169" s="1609"/>
      <c r="D169" s="1154"/>
      <c r="E169" s="469" t="s">
        <v>50</v>
      </c>
      <c r="F169" s="1160">
        <f t="shared" si="0"/>
        <v>7</v>
      </c>
      <c r="G169" s="1161">
        <f t="shared" si="1"/>
        <v>1</v>
      </c>
      <c r="H169" s="1162">
        <f t="shared" si="2"/>
        <v>5</v>
      </c>
      <c r="I169" s="1419">
        <f t="shared" si="3"/>
        <v>1</v>
      </c>
      <c r="J169" s="1155"/>
      <c r="K169" s="446"/>
      <c r="L169" s="446"/>
      <c r="M169" s="446"/>
      <c r="N169" s="488"/>
      <c r="O169" s="321"/>
      <c r="P169" s="321"/>
      <c r="Q169" s="321"/>
      <c r="R169" s="321"/>
      <c r="S169" s="321"/>
      <c r="T169" s="321"/>
      <c r="U169" s="321"/>
      <c r="V169" s="321"/>
    </row>
    <row r="170" spans="1:22">
      <c r="A170" s="321"/>
      <c r="B170" s="360"/>
      <c r="C170" s="1609"/>
      <c r="D170" s="1154"/>
      <c r="E170" s="469" t="s">
        <v>51</v>
      </c>
      <c r="F170" s="1160">
        <f t="shared" si="0"/>
        <v>8</v>
      </c>
      <c r="G170" s="1161">
        <f t="shared" si="1"/>
        <v>4</v>
      </c>
      <c r="H170" s="1162">
        <f t="shared" si="2"/>
        <v>2</v>
      </c>
      <c r="I170" s="1419">
        <f t="shared" si="3"/>
        <v>2</v>
      </c>
      <c r="J170" s="1155"/>
      <c r="K170" s="446"/>
      <c r="L170" s="446"/>
      <c r="M170" s="446"/>
      <c r="N170" s="488"/>
      <c r="O170" s="321"/>
      <c r="P170" s="321"/>
      <c r="Q170" s="321"/>
      <c r="R170" s="321"/>
      <c r="S170" s="321"/>
      <c r="T170" s="321"/>
      <c r="U170" s="321"/>
      <c r="V170" s="321"/>
    </row>
    <row r="171" spans="1:22">
      <c r="A171" s="321"/>
      <c r="B171" s="360"/>
      <c r="C171" s="1609"/>
      <c r="D171" s="1154"/>
      <c r="E171" s="469" t="s">
        <v>52</v>
      </c>
      <c r="F171" s="1160">
        <f t="shared" si="0"/>
        <v>29</v>
      </c>
      <c r="G171" s="1161">
        <f t="shared" si="1"/>
        <v>3</v>
      </c>
      <c r="H171" s="1162">
        <f t="shared" si="2"/>
        <v>16</v>
      </c>
      <c r="I171" s="1419">
        <f t="shared" si="3"/>
        <v>7</v>
      </c>
      <c r="J171" s="1155"/>
      <c r="K171" s="446"/>
      <c r="L171" s="446"/>
      <c r="M171" s="446"/>
      <c r="N171" s="488"/>
      <c r="O171" s="321"/>
      <c r="P171" s="321"/>
      <c r="Q171" s="321"/>
      <c r="R171" s="321"/>
      <c r="S171" s="321"/>
      <c r="T171" s="321"/>
      <c r="U171" s="321"/>
      <c r="V171" s="321"/>
    </row>
    <row r="172" spans="1:22">
      <c r="A172" s="321"/>
      <c r="B172" s="321"/>
      <c r="C172" s="1609"/>
      <c r="D172" s="1154"/>
      <c r="E172" s="469" t="s">
        <v>53</v>
      </c>
      <c r="F172" s="1160">
        <f t="shared" si="0"/>
        <v>13</v>
      </c>
      <c r="G172" s="1161">
        <f t="shared" si="1"/>
        <v>3</v>
      </c>
      <c r="H172" s="1162">
        <f t="shared" si="2"/>
        <v>4</v>
      </c>
      <c r="I172" s="1419">
        <f t="shared" si="3"/>
        <v>4</v>
      </c>
      <c r="J172" s="1155"/>
      <c r="K172" s="446"/>
      <c r="L172" s="446"/>
      <c r="M172" s="446"/>
      <c r="N172" s="446"/>
      <c r="O172" s="321"/>
      <c r="P172" s="321"/>
      <c r="Q172" s="321"/>
      <c r="R172" s="321"/>
      <c r="S172" s="321"/>
      <c r="T172" s="321"/>
      <c r="U172" s="321"/>
      <c r="V172" s="321"/>
    </row>
    <row r="173" spans="1:22" ht="16.5" thickBot="1">
      <c r="A173" s="321"/>
      <c r="B173" s="360"/>
      <c r="C173" s="1609"/>
      <c r="D173" s="1154"/>
      <c r="E173" s="470" t="s">
        <v>54</v>
      </c>
      <c r="F173" s="1164">
        <f t="shared" si="0"/>
        <v>0</v>
      </c>
      <c r="G173" s="1165">
        <f t="shared" si="1"/>
        <v>0</v>
      </c>
      <c r="H173" s="1166">
        <f t="shared" si="2"/>
        <v>0</v>
      </c>
      <c r="I173" s="1420">
        <f t="shared" si="3"/>
        <v>0</v>
      </c>
      <c r="J173" s="1155"/>
      <c r="K173" s="446"/>
      <c r="L173" s="446"/>
      <c r="M173" s="446"/>
      <c r="N173" s="488"/>
      <c r="O173" s="321"/>
      <c r="P173" s="321"/>
      <c r="Q173" s="321"/>
      <c r="R173" s="321"/>
      <c r="S173" s="321"/>
      <c r="T173" s="321"/>
      <c r="U173" s="321"/>
      <c r="V173" s="321"/>
    </row>
    <row r="174" spans="1:22">
      <c r="A174" s="321"/>
      <c r="B174" s="321"/>
      <c r="C174" s="1609"/>
      <c r="D174" s="1154"/>
      <c r="E174" s="1154"/>
      <c r="F174" s="1154"/>
      <c r="G174" s="1154"/>
      <c r="H174" s="1154"/>
      <c r="I174" s="1421"/>
      <c r="J174" s="1155"/>
      <c r="K174" s="446"/>
      <c r="L174" s="446"/>
      <c r="M174" s="446"/>
      <c r="N174" s="446"/>
      <c r="O174" s="321"/>
      <c r="P174" s="321"/>
      <c r="Q174" s="321"/>
      <c r="R174" s="321"/>
      <c r="S174" s="321"/>
      <c r="T174" s="321"/>
      <c r="U174" s="321"/>
      <c r="V174" s="321"/>
    </row>
    <row r="175" spans="1:22" ht="16.5" thickBot="1">
      <c r="A175" s="321"/>
      <c r="B175" s="360"/>
      <c r="C175" s="1610"/>
      <c r="D175" s="1156"/>
      <c r="E175" s="1156"/>
      <c r="F175" s="1156"/>
      <c r="G175" s="1156"/>
      <c r="H175" s="1156"/>
      <c r="I175" s="1417"/>
      <c r="J175" s="1157"/>
      <c r="K175" s="446"/>
      <c r="L175" s="446"/>
      <c r="M175" s="446"/>
      <c r="N175" s="488"/>
      <c r="O175" s="321"/>
      <c r="P175" s="321"/>
      <c r="Q175" s="321"/>
      <c r="R175" s="321"/>
      <c r="S175" s="321"/>
      <c r="T175" s="321"/>
      <c r="U175" s="321"/>
      <c r="V175" s="321"/>
    </row>
    <row r="176" spans="1:22">
      <c r="A176" s="321"/>
      <c r="B176" s="360"/>
      <c r="C176" s="446"/>
      <c r="D176" s="446"/>
      <c r="E176" s="446"/>
      <c r="F176" s="446"/>
      <c r="G176" s="446"/>
      <c r="H176" s="446"/>
      <c r="I176" s="540"/>
      <c r="J176" s="446"/>
      <c r="K176" s="446"/>
      <c r="L176" s="446"/>
      <c r="M176" s="446"/>
      <c r="N176" s="488"/>
      <c r="O176" s="321"/>
      <c r="P176" s="321"/>
      <c r="Q176" s="321"/>
      <c r="R176" s="321"/>
      <c r="S176" s="321"/>
      <c r="T176" s="321"/>
      <c r="U176" s="321"/>
      <c r="V176" s="321"/>
    </row>
    <row r="177" spans="1:22" ht="16.5" thickBot="1">
      <c r="A177" s="321"/>
      <c r="B177" s="360"/>
      <c r="C177" s="446"/>
      <c r="D177" s="446"/>
      <c r="E177" s="446"/>
      <c r="F177" s="446"/>
      <c r="G177" s="446"/>
      <c r="H177" s="446"/>
      <c r="I177" s="540"/>
      <c r="J177" s="446"/>
      <c r="K177" s="446"/>
      <c r="L177" s="446"/>
      <c r="M177" s="446"/>
      <c r="N177" s="488"/>
      <c r="O177" s="321"/>
      <c r="P177" s="321"/>
      <c r="Q177" s="321"/>
      <c r="R177" s="321"/>
      <c r="S177" s="321"/>
      <c r="T177" s="321"/>
      <c r="U177" s="321"/>
      <c r="V177" s="321"/>
    </row>
    <row r="178" spans="1:22" ht="16.5" customHeight="1" thickBot="1">
      <c r="A178" s="321"/>
      <c r="B178" s="360"/>
      <c r="C178" s="1600" t="s">
        <v>138</v>
      </c>
      <c r="D178" s="471"/>
      <c r="E178" s="472"/>
      <c r="F178" s="472"/>
      <c r="G178" s="472"/>
      <c r="H178" s="472"/>
      <c r="I178" s="587"/>
      <c r="J178" s="472"/>
      <c r="K178" s="472"/>
      <c r="L178" s="472"/>
      <c r="M178" s="472"/>
      <c r="N178" s="473"/>
      <c r="O178" s="321"/>
      <c r="P178" s="321"/>
      <c r="Q178" s="321"/>
      <c r="R178" s="321"/>
      <c r="S178" s="321"/>
      <c r="T178" s="321"/>
      <c r="U178" s="321"/>
      <c r="V178" s="321"/>
    </row>
    <row r="179" spans="1:22">
      <c r="A179" s="321"/>
      <c r="B179" s="360"/>
      <c r="C179" s="1601"/>
      <c r="D179" s="474"/>
      <c r="E179" s="1634" t="s">
        <v>160</v>
      </c>
      <c r="F179" s="1635"/>
      <c r="G179" s="1635"/>
      <c r="H179" s="1635"/>
      <c r="I179" s="1698"/>
      <c r="J179" s="1635"/>
      <c r="K179" s="1635"/>
      <c r="L179" s="1635"/>
      <c r="M179" s="1636"/>
      <c r="N179" s="1168"/>
      <c r="O179" s="321"/>
      <c r="P179" s="321"/>
      <c r="Q179" s="321"/>
      <c r="R179" s="321"/>
      <c r="S179" s="321"/>
      <c r="T179" s="321"/>
      <c r="U179" s="321"/>
      <c r="V179" s="321"/>
    </row>
    <row r="180" spans="1:22">
      <c r="A180" s="321"/>
      <c r="B180" s="360"/>
      <c r="C180" s="1601"/>
      <c r="D180" s="474"/>
      <c r="E180" s="1637"/>
      <c r="F180" s="1638"/>
      <c r="G180" s="1638"/>
      <c r="H180" s="1638"/>
      <c r="I180" s="1699"/>
      <c r="J180" s="1638"/>
      <c r="K180" s="1638"/>
      <c r="L180" s="1638"/>
      <c r="M180" s="1639"/>
      <c r="N180" s="475"/>
      <c r="O180" s="321"/>
      <c r="P180" s="321"/>
      <c r="Q180" s="321"/>
      <c r="R180" s="321"/>
      <c r="S180" s="321"/>
      <c r="T180" s="321"/>
      <c r="U180" s="321"/>
      <c r="V180" s="321"/>
    </row>
    <row r="181" spans="1:22">
      <c r="A181" s="321"/>
      <c r="B181" s="360"/>
      <c r="C181" s="1601"/>
      <c r="D181" s="474"/>
      <c r="E181" s="464" t="s">
        <v>161</v>
      </c>
      <c r="F181" s="1603" t="s">
        <v>159</v>
      </c>
      <c r="G181" s="1604"/>
      <c r="H181" s="1605" t="s">
        <v>143</v>
      </c>
      <c r="I181" s="1700"/>
      <c r="J181" s="1605" t="s">
        <v>162</v>
      </c>
      <c r="K181" s="1606"/>
      <c r="L181" s="1605" t="s">
        <v>163</v>
      </c>
      <c r="M181" s="1607"/>
      <c r="N181" s="475"/>
      <c r="O181" s="321"/>
      <c r="P181" s="321"/>
      <c r="Q181" s="321"/>
      <c r="R181" s="321"/>
      <c r="S181" s="321"/>
      <c r="T181" s="321"/>
      <c r="U181" s="321"/>
      <c r="V181" s="321"/>
    </row>
    <row r="182" spans="1:22">
      <c r="A182" s="321"/>
      <c r="B182" s="321"/>
      <c r="C182" s="1601"/>
      <c r="D182" s="474"/>
      <c r="E182" s="476" t="s">
        <v>47</v>
      </c>
      <c r="F182" s="1169">
        <f>SUM(H182,J182,L182)</f>
        <v>11</v>
      </c>
      <c r="G182" s="1170">
        <f>SUM(I182,K182,M182)</f>
        <v>0</v>
      </c>
      <c r="H182" s="1169">
        <f t="shared" ref="H182:H189" si="4">COUNTIFS(I$1:I$144, E182,J$1:J$144, "Positif",G$1:G$144, 40)</f>
        <v>5</v>
      </c>
      <c r="I182" s="1422">
        <f t="shared" ref="I182:I189" si="5">COUNTIFS(I$1:I$144,E182,J$1:J$144,"Negatif",G$1:G$144,40)+COUNTIFS(I$1:I$144,E182,J$1:J$144,"Négatif",G$1:G$144,40)</f>
        <v>0</v>
      </c>
      <c r="J182" s="1169">
        <f t="shared" ref="J182:J189" si="6">COUNTIFS(I$1:I$144, E182,J$1:J$144, "Positif",G$1:G$144, 65)</f>
        <v>6</v>
      </c>
      <c r="K182" s="1170">
        <f t="shared" ref="K182:K189" si="7">COUNTIFS(I$1:I$144,E182,J$1:J$144,"Negatif",G$1:G$144,65)+COUNTIFS(I$1:I$144,E182,J$1:J$144,"Négatif",G$1:G$144,65)</f>
        <v>0</v>
      </c>
      <c r="L182" s="1169">
        <f t="shared" ref="L182:L189" si="8">COUNTIFS(I$1:I$144, E182,J$1:J$144, "Positif",G$1:G$144,64)</f>
        <v>0</v>
      </c>
      <c r="M182" s="1171">
        <f t="shared" ref="M182:M189" si="9">COUNTIFS(I$1:I$144,E182,J$1:J$144,"Negatif",G$1:G$144,64)+COUNTIFS(I$1:I$144,E182,J$1:J$144,"Négatif",G$1:G$144,64)</f>
        <v>0</v>
      </c>
      <c r="N182" s="475"/>
      <c r="O182" s="321"/>
      <c r="P182" s="321"/>
      <c r="Q182" s="321"/>
      <c r="R182" s="321"/>
      <c r="S182" s="321"/>
      <c r="T182" s="321"/>
      <c r="U182" s="321"/>
      <c r="V182" s="321"/>
    </row>
    <row r="183" spans="1:22">
      <c r="A183" s="321"/>
      <c r="B183" s="321"/>
      <c r="C183" s="1601"/>
      <c r="D183" s="474"/>
      <c r="E183" s="476" t="s">
        <v>48</v>
      </c>
      <c r="F183" s="1169">
        <f t="shared" ref="F183:G189" si="10">SUM(H183,J183,L183)</f>
        <v>0</v>
      </c>
      <c r="G183" s="1170">
        <f t="shared" si="10"/>
        <v>0</v>
      </c>
      <c r="H183" s="1169">
        <f t="shared" si="4"/>
        <v>0</v>
      </c>
      <c r="I183" s="1422">
        <f t="shared" si="5"/>
        <v>0</v>
      </c>
      <c r="J183" s="1169">
        <f t="shared" si="6"/>
        <v>0</v>
      </c>
      <c r="K183" s="1170">
        <f t="shared" si="7"/>
        <v>0</v>
      </c>
      <c r="L183" s="1169">
        <f t="shared" si="8"/>
        <v>0</v>
      </c>
      <c r="M183" s="1171">
        <f t="shared" si="9"/>
        <v>0</v>
      </c>
      <c r="N183" s="475"/>
      <c r="O183" s="321"/>
      <c r="P183" s="321"/>
      <c r="Q183" s="321"/>
      <c r="R183" s="321"/>
      <c r="S183" s="321"/>
      <c r="T183" s="321"/>
      <c r="U183" s="321"/>
      <c r="V183" s="321"/>
    </row>
    <row r="184" spans="1:22">
      <c r="A184" s="321"/>
      <c r="B184" s="321"/>
      <c r="C184" s="1601"/>
      <c r="D184" s="474"/>
      <c r="E184" s="476" t="s">
        <v>49</v>
      </c>
      <c r="F184" s="1169">
        <f t="shared" si="10"/>
        <v>9</v>
      </c>
      <c r="G184" s="1170">
        <f t="shared" si="10"/>
        <v>0</v>
      </c>
      <c r="H184" s="1169">
        <f t="shared" si="4"/>
        <v>2</v>
      </c>
      <c r="I184" s="1422">
        <f t="shared" si="5"/>
        <v>0</v>
      </c>
      <c r="J184" s="1169">
        <f t="shared" si="6"/>
        <v>0</v>
      </c>
      <c r="K184" s="1170">
        <f t="shared" si="7"/>
        <v>0</v>
      </c>
      <c r="L184" s="1169">
        <f t="shared" si="8"/>
        <v>7</v>
      </c>
      <c r="M184" s="1171">
        <f t="shared" si="9"/>
        <v>0</v>
      </c>
      <c r="N184" s="475"/>
      <c r="O184" s="321"/>
      <c r="P184" s="321"/>
      <c r="Q184" s="321"/>
      <c r="R184" s="321"/>
      <c r="S184" s="321"/>
      <c r="T184" s="321"/>
      <c r="U184" s="321"/>
      <c r="V184" s="321"/>
    </row>
    <row r="185" spans="1:22">
      <c r="A185" s="321"/>
      <c r="B185" s="321"/>
      <c r="C185" s="1601"/>
      <c r="D185" s="474"/>
      <c r="E185" s="476" t="s">
        <v>50</v>
      </c>
      <c r="F185" s="1169">
        <f t="shared" si="10"/>
        <v>7</v>
      </c>
      <c r="G185" s="1170">
        <f t="shared" si="10"/>
        <v>0</v>
      </c>
      <c r="H185" s="1169">
        <f t="shared" si="4"/>
        <v>1</v>
      </c>
      <c r="I185" s="1422">
        <f t="shared" si="5"/>
        <v>0</v>
      </c>
      <c r="J185" s="1169">
        <f t="shared" si="6"/>
        <v>5</v>
      </c>
      <c r="K185" s="1170">
        <f t="shared" si="7"/>
        <v>0</v>
      </c>
      <c r="L185" s="1169">
        <f t="shared" si="8"/>
        <v>1</v>
      </c>
      <c r="M185" s="1171">
        <f t="shared" si="9"/>
        <v>0</v>
      </c>
      <c r="N185" s="475"/>
      <c r="O185" s="321"/>
      <c r="P185" s="321"/>
      <c r="Q185" s="321"/>
      <c r="R185" s="321"/>
      <c r="S185" s="321"/>
      <c r="T185" s="321"/>
      <c r="U185" s="321"/>
      <c r="V185" s="321"/>
    </row>
    <row r="186" spans="1:22">
      <c r="A186" s="321"/>
      <c r="B186" s="360"/>
      <c r="C186" s="1601"/>
      <c r="D186" s="474"/>
      <c r="E186" s="476" t="s">
        <v>51</v>
      </c>
      <c r="F186" s="1169">
        <f t="shared" si="10"/>
        <v>8</v>
      </c>
      <c r="G186" s="1170">
        <f t="shared" si="10"/>
        <v>0</v>
      </c>
      <c r="H186" s="1169">
        <f t="shared" si="4"/>
        <v>4</v>
      </c>
      <c r="I186" s="1422">
        <f t="shared" si="5"/>
        <v>0</v>
      </c>
      <c r="J186" s="1169">
        <f t="shared" si="6"/>
        <v>2</v>
      </c>
      <c r="K186" s="1170">
        <f t="shared" si="7"/>
        <v>0</v>
      </c>
      <c r="L186" s="1169">
        <f t="shared" si="8"/>
        <v>2</v>
      </c>
      <c r="M186" s="1171">
        <f t="shared" si="9"/>
        <v>0</v>
      </c>
      <c r="N186" s="475"/>
      <c r="O186" s="321"/>
      <c r="P186" s="321"/>
      <c r="Q186" s="321"/>
      <c r="R186" s="321"/>
      <c r="S186" s="321"/>
      <c r="T186" s="321"/>
      <c r="U186" s="321"/>
      <c r="V186" s="321"/>
    </row>
    <row r="187" spans="1:22">
      <c r="A187" s="321"/>
      <c r="B187" s="360"/>
      <c r="C187" s="1601"/>
      <c r="D187" s="474"/>
      <c r="E187" s="476" t="s">
        <v>52</v>
      </c>
      <c r="F187" s="1169">
        <f t="shared" si="10"/>
        <v>25</v>
      </c>
      <c r="G187" s="1170">
        <f t="shared" si="10"/>
        <v>1</v>
      </c>
      <c r="H187" s="1169">
        <f t="shared" si="4"/>
        <v>3</v>
      </c>
      <c r="I187" s="1422">
        <f t="shared" si="5"/>
        <v>0</v>
      </c>
      <c r="J187" s="1169">
        <f t="shared" si="6"/>
        <v>16</v>
      </c>
      <c r="K187" s="1170">
        <f t="shared" si="7"/>
        <v>0</v>
      </c>
      <c r="L187" s="1169">
        <f t="shared" si="8"/>
        <v>6</v>
      </c>
      <c r="M187" s="1171">
        <f t="shared" si="9"/>
        <v>1</v>
      </c>
      <c r="N187" s="475"/>
      <c r="O187" s="321"/>
      <c r="P187" s="321"/>
      <c r="Q187" s="321"/>
      <c r="R187" s="321"/>
      <c r="S187" s="321"/>
      <c r="T187" s="321"/>
      <c r="U187" s="321"/>
      <c r="V187" s="321"/>
    </row>
    <row r="188" spans="1:22">
      <c r="A188" s="321"/>
      <c r="B188" s="360"/>
      <c r="C188" s="1601"/>
      <c r="D188" s="474"/>
      <c r="E188" s="476" t="s">
        <v>53</v>
      </c>
      <c r="F188" s="1169">
        <f t="shared" si="10"/>
        <v>6</v>
      </c>
      <c r="G188" s="1170">
        <f t="shared" si="10"/>
        <v>5</v>
      </c>
      <c r="H188" s="1169">
        <f t="shared" si="4"/>
        <v>2</v>
      </c>
      <c r="I188" s="1422">
        <f t="shared" si="5"/>
        <v>1</v>
      </c>
      <c r="J188" s="1169">
        <f t="shared" si="6"/>
        <v>1</v>
      </c>
      <c r="K188" s="1170">
        <f t="shared" si="7"/>
        <v>3</v>
      </c>
      <c r="L188" s="1169">
        <f t="shared" si="8"/>
        <v>3</v>
      </c>
      <c r="M188" s="1171">
        <f t="shared" si="9"/>
        <v>1</v>
      </c>
      <c r="N188" s="475"/>
      <c r="O188" s="321"/>
      <c r="P188" s="321"/>
      <c r="Q188" s="321"/>
      <c r="R188" s="321"/>
      <c r="S188" s="321"/>
      <c r="T188" s="321"/>
      <c r="U188" s="321"/>
      <c r="V188" s="321"/>
    </row>
    <row r="189" spans="1:22" ht="16.5" thickBot="1">
      <c r="A189" s="321"/>
      <c r="B189" s="360"/>
      <c r="C189" s="1601"/>
      <c r="D189" s="474"/>
      <c r="E189" s="477" t="s">
        <v>54</v>
      </c>
      <c r="F189" s="1172">
        <f t="shared" si="10"/>
        <v>0</v>
      </c>
      <c r="G189" s="1173">
        <f>SUM(I189,K189,M189)</f>
        <v>0</v>
      </c>
      <c r="H189" s="1172">
        <f t="shared" si="4"/>
        <v>0</v>
      </c>
      <c r="I189" s="1423">
        <f t="shared" si="5"/>
        <v>0</v>
      </c>
      <c r="J189" s="1172">
        <f t="shared" si="6"/>
        <v>0</v>
      </c>
      <c r="K189" s="1173">
        <f t="shared" si="7"/>
        <v>0</v>
      </c>
      <c r="L189" s="1172">
        <f t="shared" si="8"/>
        <v>0</v>
      </c>
      <c r="M189" s="1174">
        <f t="shared" si="9"/>
        <v>0</v>
      </c>
      <c r="N189" s="475"/>
      <c r="O189" s="321"/>
      <c r="P189" s="321"/>
      <c r="Q189" s="321"/>
      <c r="R189" s="321"/>
      <c r="S189" s="321"/>
      <c r="T189" s="321"/>
      <c r="U189" s="321"/>
      <c r="V189" s="321"/>
    </row>
    <row r="190" spans="1:22">
      <c r="A190" s="321"/>
      <c r="B190" s="360"/>
      <c r="C190" s="1601"/>
      <c r="D190" s="474"/>
      <c r="E190" s="478"/>
      <c r="F190" s="479"/>
      <c r="G190" s="479"/>
      <c r="H190" s="479"/>
      <c r="I190" s="588"/>
      <c r="J190" s="480"/>
      <c r="K190" s="480"/>
      <c r="L190" s="480"/>
      <c r="M190" s="480"/>
      <c r="N190" s="475"/>
      <c r="O190" s="321"/>
      <c r="P190" s="321"/>
      <c r="Q190" s="321"/>
      <c r="R190" s="321"/>
      <c r="S190" s="321"/>
      <c r="T190" s="321"/>
      <c r="U190" s="321"/>
      <c r="V190" s="321"/>
    </row>
    <row r="191" spans="1:22" ht="16.5" thickBot="1">
      <c r="A191" s="321"/>
      <c r="B191" s="360"/>
      <c r="C191" s="1602"/>
      <c r="D191" s="481"/>
      <c r="E191" s="482"/>
      <c r="F191" s="482"/>
      <c r="G191" s="482"/>
      <c r="H191" s="482"/>
      <c r="I191" s="589"/>
      <c r="J191" s="482"/>
      <c r="K191" s="482"/>
      <c r="L191" s="482"/>
      <c r="M191" s="482"/>
      <c r="N191" s="483"/>
      <c r="O191" s="321"/>
      <c r="P191" s="321"/>
      <c r="Q191" s="321"/>
      <c r="R191" s="321"/>
      <c r="S191" s="321"/>
      <c r="T191" s="321"/>
      <c r="U191" s="321"/>
      <c r="V191" s="321"/>
    </row>
    <row r="192" spans="1:22">
      <c r="A192" s="321"/>
      <c r="B192" s="321"/>
      <c r="C192" s="322"/>
      <c r="D192" s="323"/>
      <c r="E192" s="324"/>
      <c r="F192" s="321"/>
      <c r="G192" s="325"/>
      <c r="H192" s="321"/>
      <c r="I192" s="322"/>
      <c r="J192" s="322"/>
      <c r="K192" s="321"/>
      <c r="L192" s="360"/>
      <c r="M192" s="392"/>
      <c r="N192" s="321"/>
      <c r="O192" s="321"/>
      <c r="P192" s="321"/>
      <c r="Q192" s="321"/>
      <c r="R192" s="321"/>
      <c r="S192" s="321"/>
      <c r="T192" s="321"/>
      <c r="U192" s="321"/>
      <c r="V192" s="321"/>
    </row>
    <row r="193" spans="1:22">
      <c r="A193" s="321"/>
      <c r="B193" s="321"/>
      <c r="C193" s="322"/>
      <c r="D193" s="323"/>
      <c r="E193" s="324"/>
      <c r="F193" s="321"/>
      <c r="G193" s="325"/>
      <c r="H193" s="321"/>
      <c r="I193" s="322"/>
      <c r="J193" s="322"/>
      <c r="K193" s="321"/>
      <c r="L193" s="360"/>
      <c r="M193" s="392"/>
      <c r="N193" s="321"/>
      <c r="O193" s="321"/>
      <c r="P193" s="321"/>
      <c r="Q193" s="321"/>
      <c r="R193" s="321"/>
      <c r="S193" s="321"/>
      <c r="T193" s="321"/>
      <c r="U193" s="321"/>
      <c r="V193" s="321"/>
    </row>
    <row r="194" spans="1:22">
      <c r="A194" s="321"/>
      <c r="B194" s="321"/>
      <c r="C194" s="322"/>
      <c r="D194" s="323"/>
      <c r="E194" s="324"/>
      <c r="F194" s="321"/>
      <c r="G194" s="325"/>
      <c r="H194" s="321"/>
      <c r="I194" s="322"/>
      <c r="J194" s="322"/>
      <c r="K194" s="321"/>
      <c r="L194" s="360"/>
      <c r="M194" s="392"/>
      <c r="N194" s="321"/>
      <c r="O194" s="321"/>
      <c r="P194" s="321"/>
      <c r="Q194" s="321"/>
      <c r="R194" s="321"/>
      <c r="S194" s="321"/>
      <c r="T194" s="321"/>
      <c r="U194" s="321"/>
      <c r="V194" s="321"/>
    </row>
    <row r="195" spans="1:22">
      <c r="A195" s="321"/>
      <c r="B195" s="321"/>
      <c r="C195" s="322"/>
      <c r="D195" s="323"/>
      <c r="E195" s="324"/>
      <c r="F195" s="321"/>
      <c r="G195" s="325"/>
      <c r="H195" s="321"/>
      <c r="I195" s="322"/>
      <c r="J195" s="322"/>
      <c r="K195" s="321"/>
      <c r="L195" s="360"/>
      <c r="M195" s="392"/>
      <c r="N195" s="321"/>
      <c r="O195" s="321"/>
      <c r="P195" s="321"/>
      <c r="Q195" s="321"/>
      <c r="R195" s="321"/>
      <c r="S195" s="321"/>
      <c r="T195" s="321"/>
      <c r="U195" s="321"/>
      <c r="V195" s="321"/>
    </row>
    <row r="196" spans="1:22">
      <c r="A196" s="321"/>
      <c r="B196" s="321"/>
      <c r="C196" s="322"/>
      <c r="D196" s="323"/>
      <c r="E196" s="324"/>
      <c r="F196" s="321"/>
      <c r="G196" s="325"/>
      <c r="H196" s="321"/>
      <c r="I196" s="322"/>
      <c r="J196" s="322"/>
      <c r="K196" s="321"/>
      <c r="L196" s="360"/>
      <c r="M196" s="392"/>
      <c r="N196" s="321"/>
      <c r="O196" s="321"/>
      <c r="P196" s="321"/>
      <c r="Q196" s="321"/>
      <c r="R196" s="321"/>
      <c r="S196" s="321"/>
      <c r="T196" s="321"/>
      <c r="U196" s="321"/>
      <c r="V196" s="321"/>
    </row>
    <row r="197" spans="1:22">
      <c r="A197" s="321"/>
      <c r="B197" s="321"/>
      <c r="C197" s="322"/>
      <c r="D197" s="323"/>
      <c r="E197" s="324"/>
      <c r="F197" s="321"/>
      <c r="G197" s="325"/>
      <c r="H197" s="321"/>
      <c r="I197" s="322"/>
      <c r="J197" s="322"/>
      <c r="K197" s="321"/>
      <c r="L197" s="360"/>
      <c r="M197" s="392"/>
      <c r="N197" s="321"/>
      <c r="O197" s="321"/>
      <c r="P197" s="321"/>
      <c r="Q197" s="321"/>
      <c r="R197" s="321"/>
      <c r="S197" s="321"/>
      <c r="T197" s="321"/>
      <c r="U197" s="321"/>
      <c r="V197" s="321"/>
    </row>
    <row r="198" spans="1:22">
      <c r="A198" s="321"/>
      <c r="B198" s="321"/>
      <c r="C198" s="322"/>
      <c r="D198" s="323"/>
      <c r="E198" s="324"/>
      <c r="F198" s="321"/>
      <c r="G198" s="325"/>
      <c r="H198" s="321"/>
      <c r="I198" s="322"/>
      <c r="J198" s="322"/>
      <c r="K198" s="321"/>
      <c r="L198" s="360"/>
      <c r="M198" s="392"/>
      <c r="N198" s="321"/>
      <c r="O198" s="321"/>
      <c r="P198" s="321"/>
      <c r="Q198" s="321"/>
      <c r="R198" s="321"/>
      <c r="S198" s="321"/>
      <c r="T198" s="321"/>
      <c r="U198" s="321"/>
      <c r="V198" s="321"/>
    </row>
    <row r="199" spans="1:22">
      <c r="A199" s="321"/>
      <c r="B199" s="321"/>
      <c r="C199" s="322"/>
      <c r="D199" s="323"/>
      <c r="E199" s="324"/>
      <c r="F199" s="321"/>
      <c r="G199" s="325"/>
      <c r="H199" s="321"/>
      <c r="I199" s="322"/>
      <c r="J199" s="322"/>
      <c r="K199" s="321"/>
      <c r="L199" s="360"/>
      <c r="M199" s="392"/>
      <c r="N199" s="321"/>
      <c r="O199" s="321"/>
      <c r="P199" s="321"/>
      <c r="Q199" s="321"/>
      <c r="R199" s="321"/>
      <c r="S199" s="321"/>
      <c r="T199" s="321"/>
      <c r="U199" s="321"/>
      <c r="V199" s="321"/>
    </row>
    <row r="200" spans="1:22">
      <c r="A200" s="321"/>
      <c r="B200" s="321"/>
      <c r="C200" s="322"/>
      <c r="D200" s="323"/>
      <c r="E200" s="324"/>
      <c r="F200" s="321"/>
      <c r="G200" s="325"/>
      <c r="H200" s="321"/>
      <c r="I200" s="322"/>
      <c r="J200" s="322"/>
      <c r="K200" s="321"/>
      <c r="L200" s="360"/>
      <c r="M200" s="392"/>
      <c r="N200" s="321"/>
      <c r="O200" s="321"/>
      <c r="P200" s="321"/>
      <c r="Q200" s="321"/>
      <c r="R200" s="321"/>
      <c r="S200" s="321"/>
      <c r="T200" s="321"/>
      <c r="U200" s="321"/>
      <c r="V200" s="321"/>
    </row>
    <row r="201" spans="1:22">
      <c r="A201" s="321"/>
      <c r="B201" s="321"/>
      <c r="C201" s="322"/>
      <c r="D201" s="323"/>
      <c r="E201" s="324"/>
      <c r="F201" s="321"/>
      <c r="G201" s="325"/>
      <c r="H201" s="321"/>
      <c r="I201" s="322"/>
      <c r="J201" s="322"/>
      <c r="K201" s="321"/>
      <c r="L201" s="360"/>
      <c r="M201" s="392"/>
      <c r="N201" s="321"/>
      <c r="O201" s="321"/>
      <c r="P201" s="321"/>
      <c r="Q201" s="321"/>
      <c r="R201" s="321"/>
      <c r="S201" s="321"/>
      <c r="T201" s="321"/>
      <c r="U201" s="321"/>
      <c r="V201" s="321"/>
    </row>
    <row r="202" spans="1:22">
      <c r="A202" s="321"/>
      <c r="B202" s="321"/>
      <c r="C202" s="322"/>
      <c r="D202" s="323"/>
      <c r="E202" s="324"/>
      <c r="F202" s="321"/>
      <c r="G202" s="325"/>
      <c r="H202" s="321"/>
      <c r="I202" s="322"/>
      <c r="J202" s="322"/>
      <c r="K202" s="321"/>
      <c r="L202" s="360"/>
      <c r="M202" s="392"/>
      <c r="N202" s="321"/>
      <c r="O202" s="321"/>
      <c r="P202" s="321"/>
      <c r="Q202" s="321"/>
      <c r="R202" s="321"/>
      <c r="S202" s="321"/>
      <c r="T202" s="321"/>
      <c r="U202" s="321"/>
      <c r="V202" s="321"/>
    </row>
    <row r="203" spans="1:22">
      <c r="A203" s="321"/>
      <c r="B203" s="321"/>
      <c r="C203" s="322"/>
      <c r="D203" s="323"/>
      <c r="E203" s="324"/>
      <c r="F203" s="321"/>
      <c r="G203" s="325"/>
      <c r="H203" s="321"/>
      <c r="I203" s="322"/>
      <c r="J203" s="322"/>
      <c r="K203" s="321"/>
      <c r="L203" s="360"/>
      <c r="M203" s="392"/>
      <c r="N203" s="321"/>
      <c r="O203" s="321"/>
      <c r="P203" s="321"/>
      <c r="Q203" s="321"/>
      <c r="R203" s="321"/>
      <c r="S203" s="321"/>
      <c r="T203" s="321"/>
      <c r="U203" s="321"/>
      <c r="V203" s="321"/>
    </row>
    <row r="204" spans="1:22">
      <c r="A204" s="321"/>
      <c r="B204" s="321"/>
      <c r="C204" s="322"/>
      <c r="D204" s="323"/>
      <c r="E204" s="324"/>
      <c r="F204" s="321"/>
      <c r="G204" s="325"/>
      <c r="H204" s="321"/>
      <c r="I204" s="322"/>
      <c r="J204" s="322"/>
      <c r="K204" s="321"/>
      <c r="L204" s="360"/>
      <c r="M204" s="392"/>
      <c r="N204" s="321"/>
      <c r="O204" s="321"/>
      <c r="P204" s="321"/>
      <c r="Q204" s="321"/>
      <c r="R204" s="321"/>
      <c r="S204" s="321"/>
      <c r="T204" s="321"/>
      <c r="U204" s="321"/>
      <c r="V204" s="321"/>
    </row>
    <row r="205" spans="1:22">
      <c r="A205" s="321"/>
      <c r="B205" s="321"/>
      <c r="C205" s="322"/>
      <c r="D205" s="323"/>
      <c r="E205" s="324"/>
      <c r="F205" s="321"/>
      <c r="G205" s="325"/>
      <c r="H205" s="321"/>
      <c r="I205" s="322"/>
      <c r="J205" s="322"/>
      <c r="K205" s="321"/>
      <c r="L205" s="360"/>
      <c r="M205" s="392"/>
      <c r="N205" s="321"/>
      <c r="O205" s="321"/>
      <c r="P205" s="321"/>
      <c r="Q205" s="321"/>
      <c r="R205" s="321"/>
      <c r="S205" s="321"/>
      <c r="T205" s="321"/>
      <c r="U205" s="321"/>
      <c r="V205" s="321"/>
    </row>
    <row r="206" spans="1:22">
      <c r="A206" s="321"/>
      <c r="B206" s="321"/>
      <c r="C206" s="322"/>
      <c r="D206" s="323"/>
      <c r="E206" s="324"/>
      <c r="F206" s="321"/>
      <c r="G206" s="325"/>
      <c r="H206" s="321"/>
      <c r="I206" s="322"/>
      <c r="J206" s="322"/>
      <c r="K206" s="321"/>
      <c r="L206" s="360"/>
      <c r="M206" s="392"/>
      <c r="N206" s="321"/>
      <c r="O206" s="321"/>
      <c r="P206" s="321"/>
      <c r="Q206" s="321"/>
      <c r="R206" s="321"/>
      <c r="S206" s="321"/>
      <c r="T206" s="321"/>
      <c r="U206" s="321"/>
      <c r="V206" s="321"/>
    </row>
    <row r="207" spans="1:22">
      <c r="A207" s="321"/>
      <c r="B207" s="321"/>
      <c r="C207" s="322"/>
      <c r="D207" s="323"/>
      <c r="E207" s="324"/>
      <c r="F207" s="321"/>
      <c r="G207" s="325"/>
      <c r="H207" s="321"/>
      <c r="I207" s="322"/>
      <c r="J207" s="322"/>
      <c r="K207" s="321"/>
      <c r="L207" s="360"/>
      <c r="M207" s="392"/>
      <c r="N207" s="321"/>
      <c r="O207" s="321"/>
      <c r="P207" s="321"/>
      <c r="Q207" s="321"/>
      <c r="R207" s="321"/>
      <c r="S207" s="321"/>
      <c r="T207" s="321"/>
      <c r="U207" s="321"/>
      <c r="V207" s="321"/>
    </row>
    <row r="208" spans="1:22">
      <c r="A208" s="321"/>
      <c r="B208" s="321"/>
      <c r="C208" s="322"/>
      <c r="D208" s="323"/>
      <c r="E208" s="324"/>
      <c r="F208" s="321"/>
      <c r="G208" s="325"/>
      <c r="H208" s="321"/>
      <c r="I208" s="322"/>
      <c r="J208" s="322"/>
      <c r="K208" s="321"/>
      <c r="L208" s="360"/>
      <c r="M208" s="392"/>
      <c r="N208" s="321"/>
      <c r="O208" s="321"/>
      <c r="P208" s="321"/>
      <c r="Q208" s="321"/>
      <c r="R208" s="321"/>
      <c r="S208" s="321"/>
      <c r="T208" s="321"/>
      <c r="U208" s="321"/>
      <c r="V208" s="321"/>
    </row>
    <row r="209" spans="1:22">
      <c r="A209" s="321"/>
      <c r="B209" s="321"/>
      <c r="C209" s="322"/>
      <c r="D209" s="323"/>
      <c r="E209" s="324"/>
      <c r="F209" s="321"/>
      <c r="G209" s="325"/>
      <c r="H209" s="321"/>
      <c r="I209" s="322"/>
      <c r="J209" s="322"/>
      <c r="K209" s="321"/>
      <c r="L209" s="360"/>
      <c r="M209" s="392"/>
      <c r="N209" s="321"/>
      <c r="O209" s="321"/>
      <c r="P209" s="321"/>
      <c r="Q209" s="321"/>
      <c r="R209" s="321"/>
      <c r="S209" s="321"/>
      <c r="T209" s="321"/>
      <c r="U209" s="321"/>
      <c r="V209" s="321"/>
    </row>
    <row r="210" spans="1:22">
      <c r="A210" s="321"/>
      <c r="B210" s="321"/>
      <c r="C210" s="322"/>
      <c r="D210" s="323"/>
      <c r="E210" s="324"/>
      <c r="F210" s="321"/>
      <c r="G210" s="325"/>
      <c r="H210" s="321"/>
      <c r="I210" s="322"/>
      <c r="J210" s="322"/>
      <c r="K210" s="321"/>
      <c r="L210" s="360"/>
      <c r="M210" s="392"/>
      <c r="N210" s="321"/>
      <c r="O210" s="321"/>
      <c r="P210" s="321"/>
      <c r="Q210" s="321"/>
      <c r="R210" s="321"/>
      <c r="S210" s="321"/>
      <c r="T210" s="321"/>
      <c r="U210" s="321"/>
      <c r="V210" s="321"/>
    </row>
    <row r="211" spans="1:22">
      <c r="A211" s="321"/>
      <c r="B211" s="321"/>
      <c r="C211" s="322"/>
      <c r="D211" s="323"/>
      <c r="E211" s="324"/>
      <c r="F211" s="321"/>
      <c r="G211" s="325"/>
      <c r="H211" s="321"/>
      <c r="I211" s="322"/>
      <c r="J211" s="322"/>
      <c r="K211" s="321"/>
      <c r="L211" s="360"/>
      <c r="M211" s="392"/>
      <c r="N211" s="321"/>
      <c r="O211" s="321"/>
      <c r="P211" s="321"/>
      <c r="Q211" s="321"/>
      <c r="R211" s="321"/>
      <c r="S211" s="321"/>
      <c r="T211" s="321"/>
      <c r="U211" s="321"/>
      <c r="V211" s="321"/>
    </row>
    <row r="212" spans="1:22">
      <c r="A212" s="321"/>
      <c r="B212" s="321"/>
      <c r="C212" s="322"/>
      <c r="D212" s="323"/>
      <c r="E212" s="324"/>
      <c r="F212" s="321"/>
      <c r="G212" s="325"/>
      <c r="H212" s="321"/>
      <c r="I212" s="322"/>
      <c r="J212" s="322"/>
      <c r="K212" s="321"/>
      <c r="L212" s="360"/>
      <c r="M212" s="392"/>
      <c r="N212" s="321"/>
      <c r="O212" s="321"/>
      <c r="P212" s="321"/>
      <c r="Q212" s="321"/>
      <c r="R212" s="321"/>
      <c r="S212" s="321"/>
      <c r="T212" s="321"/>
      <c r="U212" s="321"/>
      <c r="V212" s="321"/>
    </row>
    <row r="213" spans="1:22">
      <c r="A213" s="321"/>
      <c r="B213" s="321"/>
      <c r="C213" s="322"/>
      <c r="D213" s="323"/>
      <c r="E213" s="324"/>
      <c r="F213" s="321"/>
      <c r="G213" s="325"/>
      <c r="H213" s="321"/>
      <c r="I213" s="322"/>
      <c r="J213" s="322"/>
      <c r="K213" s="321"/>
      <c r="L213" s="360"/>
      <c r="M213" s="392"/>
      <c r="N213" s="321"/>
      <c r="O213" s="321"/>
      <c r="P213" s="321"/>
      <c r="Q213" s="321"/>
      <c r="R213" s="321"/>
      <c r="S213" s="321"/>
      <c r="T213" s="321"/>
      <c r="U213" s="321"/>
      <c r="V213" s="321"/>
    </row>
    <row r="214" spans="1:22">
      <c r="A214" s="321"/>
      <c r="B214" s="321"/>
      <c r="C214" s="322"/>
      <c r="D214" s="323"/>
      <c r="E214" s="324"/>
      <c r="F214" s="321"/>
      <c r="G214" s="325"/>
      <c r="H214" s="321"/>
      <c r="I214" s="322"/>
      <c r="J214" s="322"/>
      <c r="K214" s="321"/>
      <c r="L214" s="360"/>
      <c r="M214" s="392"/>
      <c r="N214" s="321"/>
    </row>
  </sheetData>
  <sheetProtection formatColumns="0" formatRows="0" insertRows="0" insertHyperlinks="0"/>
  <autoFilter ref="C10:J109" xr:uid="{00000000-0009-0000-0000-00000E000000}">
    <sortState xmlns:xlrd2="http://schemas.microsoft.com/office/spreadsheetml/2017/richdata2" ref="C2:I65">
      <sortCondition ref="C1:C65"/>
    </sortState>
  </autoFilter>
  <mergeCells count="16">
    <mergeCell ref="C154:C161"/>
    <mergeCell ref="E155:F157"/>
    <mergeCell ref="H155:I156"/>
    <mergeCell ref="C144:M144"/>
    <mergeCell ref="B2:L4"/>
    <mergeCell ref="C145:C152"/>
    <mergeCell ref="C8:K9"/>
    <mergeCell ref="M8:T9"/>
    <mergeCell ref="C163:C175"/>
    <mergeCell ref="E164:I164"/>
    <mergeCell ref="C178:C191"/>
    <mergeCell ref="E179:M180"/>
    <mergeCell ref="F181:G181"/>
    <mergeCell ref="H181:I181"/>
    <mergeCell ref="J181:K181"/>
    <mergeCell ref="L181:M181"/>
  </mergeCells>
  <conditionalFormatting sqref="K145 J11:J13 J37 J15:J25 J41:J73 J75:J79 J86 J27:J34 J88:J106">
    <cfRule type="cellIs" dxfId="261" priority="251" operator="equal">
      <formula>"Positif"</formula>
    </cfRule>
    <cfRule type="cellIs" dxfId="260" priority="252" operator="equal">
      <formula>"Negatif"</formula>
    </cfRule>
  </conditionalFormatting>
  <conditionalFormatting sqref="J11:J13 J37 J15:J25 J41:J73 J75:J79 J86 J27:J34 J88:J106">
    <cfRule type="cellIs" dxfId="259" priority="250" operator="equal">
      <formula>"négatif"</formula>
    </cfRule>
  </conditionalFormatting>
  <conditionalFormatting sqref="J11:J13 J37 J15:J25 J41:J45 J47:J73 J75:J79 J86 J27:J34 J88:J10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8" priority="248" operator="equal">
      <formula>"Negatif"</formula>
    </cfRule>
    <cfRule type="colorScale" priority="249">
      <colorScale>
        <cfvo type="min"/>
        <cfvo type="max"/>
        <color rgb="FFFF7128"/>
        <color rgb="FFFFEF9C"/>
      </colorScale>
    </cfRule>
  </conditionalFormatting>
  <conditionalFormatting sqref="J107">
    <cfRule type="cellIs" dxfId="257" priority="173" operator="equal">
      <formula>"Positif"</formula>
    </cfRule>
    <cfRule type="cellIs" dxfId="256" priority="174" operator="equal">
      <formula>"Negatif"</formula>
    </cfRule>
  </conditionalFormatting>
  <conditionalFormatting sqref="J107">
    <cfRule type="cellIs" dxfId="255" priority="172" operator="equal">
      <formula>"négatif"</formula>
    </cfRule>
  </conditionalFormatting>
  <conditionalFormatting sqref="J10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4" priority="170" operator="equal">
      <formula>"Negatif"</formula>
    </cfRule>
    <cfRule type="colorScale" priority="171">
      <colorScale>
        <cfvo type="min"/>
        <cfvo type="max"/>
        <color rgb="FFFF7128"/>
        <color rgb="FFFFEF9C"/>
      </colorScale>
    </cfRule>
  </conditionalFormatting>
  <conditionalFormatting sqref="J10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3" priority="167" operator="equal">
      <formula>"Negatif"</formula>
    </cfRule>
    <cfRule type="colorScale" priority="168">
      <colorScale>
        <cfvo type="min"/>
        <cfvo type="max"/>
        <color rgb="FFFF7128"/>
        <color rgb="FFFFEF9C"/>
      </colorScale>
    </cfRule>
  </conditionalFormatting>
  <conditionalFormatting sqref="J10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2" priority="164" operator="equal">
      <formula>"Negatif"</formula>
    </cfRule>
    <cfRule type="colorScale" priority="165">
      <colorScale>
        <cfvo type="min"/>
        <cfvo type="max"/>
        <color rgb="FFFF7128"/>
        <color rgb="FFFFEF9C"/>
      </colorScale>
    </cfRule>
  </conditionalFormatting>
  <conditionalFormatting sqref="J14">
    <cfRule type="cellIs" dxfId="251" priority="155" operator="equal">
      <formula>"Positif"</formula>
    </cfRule>
    <cfRule type="cellIs" dxfId="250" priority="156" operator="equal">
      <formula>"Negatif"</formula>
    </cfRule>
  </conditionalFormatting>
  <conditionalFormatting sqref="J14">
    <cfRule type="cellIs" dxfId="249" priority="154" operator="equal">
      <formula>"négatif"</formula>
    </cfRule>
  </conditionalFormatting>
  <conditionalFormatting sqref="J1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8" priority="152" operator="equal">
      <formula>"Negatif"</formula>
    </cfRule>
    <cfRule type="colorScale" priority="153">
      <colorScale>
        <cfvo type="min"/>
        <cfvo type="max"/>
        <color rgb="FFFF7128"/>
        <color rgb="FFFFEF9C"/>
      </colorScale>
    </cfRule>
  </conditionalFormatting>
  <conditionalFormatting sqref="J38">
    <cfRule type="cellIs" dxfId="247" priority="143" operator="equal">
      <formula>"Positif"</formula>
    </cfRule>
    <cfRule type="cellIs" dxfId="246" priority="144" operator="equal">
      <formula>"Negatif"</formula>
    </cfRule>
  </conditionalFormatting>
  <conditionalFormatting sqref="J38">
    <cfRule type="cellIs" dxfId="245" priority="142" operator="equal">
      <formula>"négatif"</formula>
    </cfRule>
  </conditionalFormatting>
  <conditionalFormatting sqref="J3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4" priority="140" operator="equal">
      <formula>"Negatif"</formula>
    </cfRule>
    <cfRule type="colorScale" priority="141">
      <colorScale>
        <cfvo type="min"/>
        <cfvo type="max"/>
        <color rgb="FFFF7128"/>
        <color rgb="FFFFEF9C"/>
      </colorScale>
    </cfRule>
  </conditionalFormatting>
  <conditionalFormatting sqref="J36">
    <cfRule type="cellIs" dxfId="243" priority="131" operator="equal">
      <formula>"Positif"</formula>
    </cfRule>
    <cfRule type="cellIs" dxfId="242" priority="132" operator="equal">
      <formula>"Negatif"</formula>
    </cfRule>
  </conditionalFormatting>
  <conditionalFormatting sqref="J36">
    <cfRule type="cellIs" dxfId="241" priority="130" operator="equal">
      <formula>"négatif"</formula>
    </cfRule>
  </conditionalFormatting>
  <conditionalFormatting sqref="J3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0" priority="128" operator="equal">
      <formula>"Negatif"</formula>
    </cfRule>
    <cfRule type="colorScale" priority="129">
      <colorScale>
        <cfvo type="min"/>
        <cfvo type="max"/>
        <color rgb="FFFF7128"/>
        <color rgb="FFFFEF9C"/>
      </colorScale>
    </cfRule>
  </conditionalFormatting>
  <conditionalFormatting sqref="J35">
    <cfRule type="cellIs" dxfId="239" priority="119" operator="equal">
      <formula>"Positif"</formula>
    </cfRule>
    <cfRule type="cellIs" dxfId="238" priority="120" operator="equal">
      <formula>"Negatif"</formula>
    </cfRule>
  </conditionalFormatting>
  <conditionalFormatting sqref="J35">
    <cfRule type="cellIs" dxfId="237" priority="118" operator="equal">
      <formula>"négatif"</formula>
    </cfRule>
  </conditionalFormatting>
  <conditionalFormatting sqref="J3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6" priority="116" operator="equal">
      <formula>"Negatif"</formula>
    </cfRule>
    <cfRule type="colorScale" priority="117">
      <colorScale>
        <cfvo type="min"/>
        <cfvo type="max"/>
        <color rgb="FFFF7128"/>
        <color rgb="FFFFEF9C"/>
      </colorScale>
    </cfRule>
  </conditionalFormatting>
  <conditionalFormatting sqref="J39">
    <cfRule type="cellIs" dxfId="235" priority="107" operator="equal">
      <formula>"Positif"</formula>
    </cfRule>
    <cfRule type="cellIs" dxfId="234" priority="108" operator="equal">
      <formula>"Negatif"</formula>
    </cfRule>
  </conditionalFormatting>
  <conditionalFormatting sqref="J39">
    <cfRule type="cellIs" dxfId="233" priority="106" operator="equal">
      <formula>"négatif"</formula>
    </cfRule>
  </conditionalFormatting>
  <conditionalFormatting sqref="J3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2" priority="104" operator="equal">
      <formula>"Negatif"</formula>
    </cfRule>
    <cfRule type="colorScale" priority="105">
      <colorScale>
        <cfvo type="min"/>
        <cfvo type="max"/>
        <color rgb="FFFF7128"/>
        <color rgb="FFFFEF9C"/>
      </colorScale>
    </cfRule>
  </conditionalFormatting>
  <conditionalFormatting sqref="J40">
    <cfRule type="cellIs" dxfId="231" priority="95" operator="equal">
      <formula>"Positif"</formula>
    </cfRule>
    <cfRule type="cellIs" dxfId="230" priority="96" operator="equal">
      <formula>"Negatif"</formula>
    </cfRule>
  </conditionalFormatting>
  <conditionalFormatting sqref="J40">
    <cfRule type="cellIs" dxfId="229" priority="94" operator="equal">
      <formula>"négatif"</formula>
    </cfRule>
  </conditionalFormatting>
  <conditionalFormatting sqref="J4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8" priority="92" operator="equal">
      <formula>"Negatif"</formula>
    </cfRule>
    <cfRule type="colorScale" priority="93">
      <colorScale>
        <cfvo type="min"/>
        <cfvo type="max"/>
        <color rgb="FFFF7128"/>
        <color rgb="FFFFEF9C"/>
      </colorScale>
    </cfRule>
  </conditionalFormatting>
  <conditionalFormatting sqref="J46">
    <cfRule type="colorScale" priority="290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7" priority="2909" operator="equal">
      <formula>"Negatif"</formula>
    </cfRule>
    <cfRule type="colorScale" priority="2910">
      <colorScale>
        <cfvo type="min"/>
        <cfvo type="max"/>
        <color rgb="FFFF7128"/>
        <color rgb="FFFFEF9C"/>
      </colorScale>
    </cfRule>
  </conditionalFormatting>
  <conditionalFormatting sqref="J74">
    <cfRule type="cellIs" dxfId="226" priority="71" operator="equal">
      <formula>"Positif"</formula>
    </cfRule>
    <cfRule type="cellIs" dxfId="225" priority="72" operator="equal">
      <formula>"Negatif"</formula>
    </cfRule>
  </conditionalFormatting>
  <conditionalFormatting sqref="J74">
    <cfRule type="cellIs" dxfId="224" priority="70" operator="equal">
      <formula>"négatif"</formula>
    </cfRule>
  </conditionalFormatting>
  <conditionalFormatting sqref="J7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3" priority="68" operator="equal">
      <formula>"Negatif"</formula>
    </cfRule>
    <cfRule type="colorScale" priority="69">
      <colorScale>
        <cfvo type="min"/>
        <cfvo type="max"/>
        <color rgb="FFFF7128"/>
        <color rgb="FFFFEF9C"/>
      </colorScale>
    </cfRule>
  </conditionalFormatting>
  <conditionalFormatting sqref="J80">
    <cfRule type="cellIs" dxfId="222" priority="59" operator="equal">
      <formula>"Positif"</formula>
    </cfRule>
    <cfRule type="cellIs" dxfId="221" priority="60" operator="equal">
      <formula>"Negatif"</formula>
    </cfRule>
  </conditionalFormatting>
  <conditionalFormatting sqref="J80">
    <cfRule type="cellIs" dxfId="220" priority="58" operator="equal">
      <formula>"négatif"</formula>
    </cfRule>
  </conditionalFormatting>
  <conditionalFormatting sqref="J8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9" priority="56" operator="equal">
      <formula>"Negatif"</formula>
    </cfRule>
    <cfRule type="colorScale" priority="57">
      <colorScale>
        <cfvo type="min"/>
        <cfvo type="max"/>
        <color rgb="FFFF7128"/>
        <color rgb="FFFFEF9C"/>
      </colorScale>
    </cfRule>
  </conditionalFormatting>
  <conditionalFormatting sqref="J81">
    <cfRule type="cellIs" dxfId="218" priority="53" operator="equal">
      <formula>"Positif"</formula>
    </cfRule>
    <cfRule type="cellIs" dxfId="217" priority="54" operator="equal">
      <formula>"Negatif"</formula>
    </cfRule>
  </conditionalFormatting>
  <conditionalFormatting sqref="J81">
    <cfRule type="cellIs" dxfId="216" priority="52" operator="equal">
      <formula>"négatif"</formula>
    </cfRule>
  </conditionalFormatting>
  <conditionalFormatting sqref="J8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5" priority="50" operator="equal">
      <formula>"Negatif"</formula>
    </cfRule>
    <cfRule type="colorScale" priority="51">
      <colorScale>
        <cfvo type="min"/>
        <cfvo type="max"/>
        <color rgb="FFFF7128"/>
        <color rgb="FFFFEF9C"/>
      </colorScale>
    </cfRule>
  </conditionalFormatting>
  <conditionalFormatting sqref="J82">
    <cfRule type="cellIs" dxfId="214" priority="47" operator="equal">
      <formula>"Positif"</formula>
    </cfRule>
    <cfRule type="cellIs" dxfId="213" priority="48" operator="equal">
      <formula>"Negatif"</formula>
    </cfRule>
  </conditionalFormatting>
  <conditionalFormatting sqref="J82">
    <cfRule type="cellIs" dxfId="212" priority="46" operator="equal">
      <formula>"négatif"</formula>
    </cfRule>
  </conditionalFormatting>
  <conditionalFormatting sqref="J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1" priority="44" operator="equal">
      <formula>"Negatif"</formula>
    </cfRule>
    <cfRule type="colorScale" priority="45">
      <colorScale>
        <cfvo type="min"/>
        <cfvo type="max"/>
        <color rgb="FFFF7128"/>
        <color rgb="FFFFEF9C"/>
      </colorScale>
    </cfRule>
  </conditionalFormatting>
  <conditionalFormatting sqref="J83">
    <cfRule type="cellIs" dxfId="210" priority="41" operator="equal">
      <formula>"Positif"</formula>
    </cfRule>
    <cfRule type="cellIs" dxfId="209" priority="42" operator="equal">
      <formula>"Negatif"</formula>
    </cfRule>
  </conditionalFormatting>
  <conditionalFormatting sqref="J83">
    <cfRule type="cellIs" dxfId="208" priority="40" operator="equal">
      <formula>"négatif"</formula>
    </cfRule>
  </conditionalFormatting>
  <conditionalFormatting sqref="J8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7" priority="38" operator="equal">
      <formula>"Negatif"</formula>
    </cfRule>
    <cfRule type="colorScale" priority="39">
      <colorScale>
        <cfvo type="min"/>
        <cfvo type="max"/>
        <color rgb="FFFF7128"/>
        <color rgb="FFFFEF9C"/>
      </colorScale>
    </cfRule>
  </conditionalFormatting>
  <conditionalFormatting sqref="J87">
    <cfRule type="cellIs" dxfId="206" priority="5" operator="equal">
      <formula>"Positif"</formula>
    </cfRule>
    <cfRule type="cellIs" dxfId="205" priority="6" operator="equal">
      <formula>"Negatif"</formula>
    </cfRule>
  </conditionalFormatting>
  <conditionalFormatting sqref="J87">
    <cfRule type="cellIs" dxfId="204" priority="4" operator="equal">
      <formula>"négatif"</formula>
    </cfRule>
  </conditionalFormatting>
  <conditionalFormatting sqref="J26">
    <cfRule type="cellIs" dxfId="203" priority="29" operator="equal">
      <formula>"Positif"</formula>
    </cfRule>
    <cfRule type="cellIs" dxfId="202" priority="30" operator="equal">
      <formula>"Negatif"</formula>
    </cfRule>
  </conditionalFormatting>
  <conditionalFormatting sqref="J26">
    <cfRule type="cellIs" dxfId="201" priority="28" operator="equal">
      <formula>"négatif"</formula>
    </cfRule>
  </conditionalFormatting>
  <conditionalFormatting sqref="J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0" priority="26" operator="equal">
      <formula>"Negatif"</formula>
    </cfRule>
    <cfRule type="colorScale" priority="27">
      <colorScale>
        <cfvo type="min"/>
        <cfvo type="max"/>
        <color rgb="FFFF7128"/>
        <color rgb="FFFFEF9C"/>
      </colorScale>
    </cfRule>
  </conditionalFormatting>
  <conditionalFormatting sqref="J84">
    <cfRule type="cellIs" dxfId="199" priority="17" operator="equal">
      <formula>"Positif"</formula>
    </cfRule>
    <cfRule type="cellIs" dxfId="198" priority="18" operator="equal">
      <formula>"Negatif"</formula>
    </cfRule>
  </conditionalFormatting>
  <conditionalFormatting sqref="J84">
    <cfRule type="cellIs" dxfId="197" priority="16" operator="equal">
      <formula>"négatif"</formula>
    </cfRule>
  </conditionalFormatting>
  <conditionalFormatting sqref="J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6" priority="14" operator="equal">
      <formula>"Negatif"</formula>
    </cfRule>
    <cfRule type="colorScale" priority="15">
      <colorScale>
        <cfvo type="min"/>
        <cfvo type="max"/>
        <color rgb="FFFF7128"/>
        <color rgb="FFFFEF9C"/>
      </colorScale>
    </cfRule>
  </conditionalFormatting>
  <conditionalFormatting sqref="J85">
    <cfRule type="cellIs" dxfId="195" priority="11" operator="equal">
      <formula>"Positif"</formula>
    </cfRule>
    <cfRule type="cellIs" dxfId="194" priority="12" operator="equal">
      <formula>"Negatif"</formula>
    </cfRule>
  </conditionalFormatting>
  <conditionalFormatting sqref="J85">
    <cfRule type="cellIs" dxfId="193" priority="10" operator="equal">
      <formula>"négatif"</formula>
    </cfRule>
  </conditionalFormatting>
  <conditionalFormatting sqref="J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2" priority="8" operator="equal">
      <formula>"Negatif"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J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1" priority="2" operator="equal">
      <formula>"Negatif"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I11:I73 I75:I107" xr:uid="{00000000-0002-0000-0E00-000000000000}">
      <formula1>$E$166:$E$173</formula1>
    </dataValidation>
    <dataValidation type="list" allowBlank="1" showInputMessage="1" showErrorMessage="1" sqref="I74" xr:uid="{00000000-0002-0000-0E00-000001000000}">
      <formula1>$E$153:$E$160</formula1>
    </dataValidation>
    <dataValidation type="list" allowBlank="1" showInputMessage="1" showErrorMessage="1" sqref="F11:F107" xr:uid="{00000000-0002-0000-0E00-000002000000}">
      <formula1>Type</formula1>
    </dataValidation>
    <dataValidation type="list" allowBlank="1" showInputMessage="1" showErrorMessage="1" sqref="H11:H107" xr:uid="{00000000-0002-0000-0E00-000003000000}">
      <formula1>INDIRECT(F11)</formula1>
    </dataValidation>
  </dataValidations>
  <hyperlinks>
    <hyperlink ref="K19" r:id="rId1" xr:uid="{00000000-0004-0000-0E00-000000000000}"/>
    <hyperlink ref="K20" r:id="rId2" xr:uid="{00000000-0004-0000-0E00-000001000000}"/>
    <hyperlink ref="K18" r:id="rId3" xr:uid="{00000000-0004-0000-0E00-000002000000}"/>
    <hyperlink ref="K21" r:id="rId4" xr:uid="{00000000-0004-0000-0E00-000003000000}"/>
    <hyperlink ref="K22" r:id="rId5" xr:uid="{00000000-0004-0000-0E00-000004000000}"/>
    <hyperlink ref="K17" r:id="rId6" xr:uid="{00000000-0004-0000-0E00-000005000000}"/>
    <hyperlink ref="K11" r:id="rId7" xr:uid="{00000000-0004-0000-0E00-000006000000}"/>
    <hyperlink ref="K15" r:id="rId8" xr:uid="{00000000-0004-0000-0E00-000007000000}"/>
    <hyperlink ref="K16" r:id="rId9" xr:uid="{00000000-0004-0000-0E00-000008000000}"/>
    <hyperlink ref="K24" r:id="rId10" xr:uid="{00000000-0004-0000-0E00-000009000000}"/>
    <hyperlink ref="K14" r:id="rId11" xr:uid="{00000000-0004-0000-0E00-00000A000000}"/>
    <hyperlink ref="K12" r:id="rId12" xr:uid="{00000000-0004-0000-0E00-00000B000000}"/>
    <hyperlink ref="K13" r:id="rId13" xr:uid="{00000000-0004-0000-0E00-00000C000000}"/>
    <hyperlink ref="K25" r:id="rId14" xr:uid="{00000000-0004-0000-0E00-00000D000000}"/>
    <hyperlink ref="K37" r:id="rId15" xr:uid="{00000000-0004-0000-0E00-00000E000000}"/>
    <hyperlink ref="K38" r:id="rId16" xr:uid="{00000000-0004-0000-0E00-00000F000000}"/>
    <hyperlink ref="K36" r:id="rId17" xr:uid="{00000000-0004-0000-0E00-000010000000}"/>
    <hyperlink ref="K35" r:id="rId18" xr:uid="{00000000-0004-0000-0E00-000011000000}"/>
    <hyperlink ref="K39" r:id="rId19" xr:uid="{00000000-0004-0000-0E00-000012000000}"/>
    <hyperlink ref="K40" r:id="rId20" xr:uid="{00000000-0004-0000-0E00-000013000000}"/>
    <hyperlink ref="K30" r:id="rId21" xr:uid="{00000000-0004-0000-0E00-000014000000}"/>
    <hyperlink ref="K31" r:id="rId22" xr:uid="{00000000-0004-0000-0E00-000015000000}"/>
    <hyperlink ref="K32" r:id="rId23" xr:uid="{00000000-0004-0000-0E00-000016000000}"/>
    <hyperlink ref="K28" r:id="rId24" xr:uid="{00000000-0004-0000-0E00-000017000000}"/>
    <hyperlink ref="K27" r:id="rId25" xr:uid="{00000000-0004-0000-0E00-000018000000}"/>
    <hyperlink ref="K29" r:id="rId26" xr:uid="{00000000-0004-0000-0E00-000019000000}"/>
    <hyperlink ref="K23" r:id="rId27" xr:uid="{00000000-0004-0000-0E00-00001A000000}"/>
    <hyperlink ref="K34" r:id="rId28" xr:uid="{00000000-0004-0000-0E00-00001B000000}"/>
    <hyperlink ref="S11" r:id="rId29" xr:uid="{00000000-0004-0000-0E00-00001C000000}"/>
    <hyperlink ref="S12" r:id="rId30" xr:uid="{00000000-0004-0000-0E00-00001D000000}"/>
    <hyperlink ref="S13" r:id="rId31" xr:uid="{00000000-0004-0000-0E00-00001E000000}"/>
    <hyperlink ref="S14" r:id="rId32" xr:uid="{00000000-0004-0000-0E00-00001F000000}"/>
    <hyperlink ref="K80" r:id="rId33" xr:uid="{00000000-0004-0000-0E00-000020000000}"/>
    <hyperlink ref="K81" r:id="rId34" xr:uid="{00000000-0004-0000-0E00-000021000000}"/>
    <hyperlink ref="K82" r:id="rId35" xr:uid="{00000000-0004-0000-0E00-000022000000}"/>
    <hyperlink ref="K26" r:id="rId36" xr:uid="{00000000-0004-0000-0E00-000023000000}"/>
    <hyperlink ref="K85" r:id="rId37" xr:uid="{00000000-0004-0000-0E00-000024000000}"/>
    <hyperlink ref="S19" r:id="rId38" xr:uid="{00000000-0004-0000-0E00-000025000000}"/>
    <hyperlink ref="S20" r:id="rId39" xr:uid="{00000000-0004-0000-0E00-000026000000}"/>
    <hyperlink ref="K72" r:id="rId40" xr:uid="{00000000-0004-0000-0E00-000027000000}"/>
  </hyperlinks>
  <pageMargins left="0.7" right="0.7" top="0.75" bottom="0.75" header="0.3" footer="0.3"/>
  <pageSetup paperSize="9" orientation="portrait" r:id="rId4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/>
  <dimension ref="A1:AK229"/>
  <sheetViews>
    <sheetView tabSelected="1" topLeftCell="I21" zoomScale="80" zoomScaleNormal="80" zoomScalePageLayoutView="70" workbookViewId="0">
      <selection activeCell="O16" sqref="O16"/>
    </sheetView>
  </sheetViews>
  <sheetFormatPr defaultColWidth="11" defaultRowHeight="15.75"/>
  <cols>
    <col min="1" max="1" width="4.25" style="329" customWidth="1"/>
    <col min="2" max="2" width="3.125" style="329" customWidth="1"/>
    <col min="3" max="3" width="9.25" style="400" customWidth="1"/>
    <col min="4" max="4" width="7.25" style="401" customWidth="1"/>
    <col min="5" max="5" width="69.25" style="402" customWidth="1"/>
    <col min="6" max="6" width="12.5" style="329" bestFit="1" customWidth="1"/>
    <col min="7" max="7" width="10.75" style="403" customWidth="1"/>
    <col min="8" max="8" width="32.75" style="329" bestFit="1" customWidth="1"/>
    <col min="9" max="9" width="24" style="329" customWidth="1"/>
    <col min="10" max="10" width="11.5" style="400" customWidth="1"/>
    <col min="11" max="11" width="11.25" style="329" customWidth="1"/>
    <col min="12" max="12" width="6.125" style="362" customWidth="1"/>
    <col min="13" max="13" width="17.125" style="404" customWidth="1"/>
    <col min="14" max="14" width="8.75" style="329" customWidth="1"/>
    <col min="15" max="15" width="55.5" style="329" customWidth="1"/>
    <col min="16" max="16" width="7.25" style="329" customWidth="1"/>
    <col min="17" max="17" width="11" style="329"/>
    <col min="18" max="18" width="14.5" style="329" customWidth="1"/>
    <col min="19" max="19" width="11.625" style="329" customWidth="1"/>
    <col min="20" max="20" width="15.75" style="329" customWidth="1"/>
    <col min="21" max="22" width="11" style="329"/>
    <col min="23" max="23" width="11" style="321"/>
    <col min="24" max="24" width="37.125" style="329" customWidth="1"/>
    <col min="25" max="25" width="9.75" style="329" customWidth="1"/>
    <col min="26" max="26" width="24.125" style="329" customWidth="1"/>
    <col min="27" max="27" width="13" style="329" customWidth="1"/>
    <col min="28" max="28" width="16.125" style="321" customWidth="1"/>
    <col min="29" max="29" width="14.625" style="321" customWidth="1"/>
    <col min="30" max="30" width="15.75" style="321" customWidth="1"/>
    <col min="31" max="37" width="11" style="321"/>
    <col min="38" max="16384" width="11" style="329"/>
  </cols>
  <sheetData>
    <row r="1" spans="1:37" ht="16.5" thickBot="1">
      <c r="A1" s="321"/>
      <c r="B1" s="321"/>
      <c r="C1" s="322"/>
      <c r="D1" s="323"/>
      <c r="E1" s="324"/>
      <c r="F1" s="321"/>
      <c r="G1" s="325"/>
      <c r="H1" s="321"/>
      <c r="I1" s="321"/>
      <c r="J1" s="322"/>
      <c r="K1" s="326"/>
      <c r="L1" s="327"/>
      <c r="M1" s="328"/>
      <c r="N1" s="321"/>
      <c r="O1" s="321"/>
      <c r="P1" s="321"/>
      <c r="Q1" s="321"/>
      <c r="R1" s="321"/>
      <c r="S1" s="321"/>
      <c r="T1" s="321"/>
      <c r="U1" s="321"/>
      <c r="V1" s="321"/>
      <c r="X1" s="321"/>
      <c r="Y1" s="321"/>
      <c r="Z1" s="321"/>
      <c r="AA1" s="321"/>
    </row>
    <row r="2" spans="1:37" ht="15.75" customHeight="1">
      <c r="A2" s="321"/>
      <c r="B2" s="1557" t="s">
        <v>900</v>
      </c>
      <c r="C2" s="1558"/>
      <c r="D2" s="1558"/>
      <c r="E2" s="1558"/>
      <c r="F2" s="1558"/>
      <c r="G2" s="1558"/>
      <c r="H2" s="1558"/>
      <c r="I2" s="1558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  <c r="V2" s="321"/>
      <c r="X2" s="321"/>
      <c r="Y2" s="321"/>
      <c r="Z2" s="321"/>
      <c r="AA2" s="321"/>
    </row>
    <row r="3" spans="1:37" ht="15.75" customHeight="1">
      <c r="A3" s="321"/>
      <c r="B3" s="1560"/>
      <c r="C3" s="1561"/>
      <c r="D3" s="1561"/>
      <c r="E3" s="1561"/>
      <c r="F3" s="1561"/>
      <c r="G3" s="1561"/>
      <c r="H3" s="1561"/>
      <c r="I3" s="1561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  <c r="V3" s="321"/>
      <c r="X3" s="321"/>
      <c r="Y3" s="321"/>
      <c r="Z3" s="321"/>
      <c r="AA3" s="321"/>
    </row>
    <row r="4" spans="1:37" ht="15.75" customHeight="1" thickBot="1">
      <c r="A4" s="321"/>
      <c r="B4" s="1563"/>
      <c r="C4" s="1564"/>
      <c r="D4" s="1564"/>
      <c r="E4" s="1564"/>
      <c r="F4" s="1564"/>
      <c r="G4" s="1564"/>
      <c r="H4" s="1564"/>
      <c r="I4" s="1564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  <c r="V4" s="321"/>
      <c r="X4" s="321"/>
      <c r="Y4" s="321"/>
      <c r="Z4" s="321"/>
      <c r="AA4" s="321"/>
    </row>
    <row r="5" spans="1:37" ht="15.75" customHeight="1">
      <c r="A5" s="321"/>
      <c r="B5" s="326"/>
      <c r="C5" s="330"/>
      <c r="D5" s="331"/>
      <c r="E5" s="330"/>
      <c r="F5" s="330"/>
      <c r="G5" s="330"/>
      <c r="H5" s="330"/>
      <c r="I5" s="330"/>
      <c r="J5" s="330"/>
      <c r="K5" s="332"/>
      <c r="L5" s="332"/>
      <c r="M5" s="326"/>
      <c r="N5" s="321"/>
      <c r="O5" s="321"/>
      <c r="P5" s="321"/>
      <c r="Q5" s="321"/>
      <c r="R5" s="321"/>
      <c r="S5" s="321"/>
      <c r="T5" s="321"/>
      <c r="U5" s="321"/>
      <c r="V5" s="321"/>
      <c r="X5" s="321"/>
      <c r="Y5" s="321"/>
      <c r="Z5" s="321"/>
      <c r="AA5" s="321"/>
    </row>
    <row r="6" spans="1:37" ht="15.75" customHeight="1" thickBot="1">
      <c r="A6" s="321"/>
      <c r="B6" s="326"/>
      <c r="C6" s="330"/>
      <c r="D6" s="331"/>
      <c r="E6" s="330"/>
      <c r="F6" s="330"/>
      <c r="G6" s="330"/>
      <c r="H6" s="330"/>
      <c r="I6" s="330"/>
      <c r="J6" s="330"/>
      <c r="K6" s="332"/>
      <c r="L6" s="332"/>
      <c r="M6" s="326"/>
      <c r="N6" s="321"/>
      <c r="O6" s="321"/>
      <c r="P6" s="321"/>
      <c r="Q6" s="321"/>
      <c r="R6" s="321"/>
      <c r="S6" s="321"/>
      <c r="T6" s="321"/>
      <c r="U6" s="321"/>
      <c r="V6" s="321"/>
      <c r="X6" s="321"/>
      <c r="Y6" s="321"/>
      <c r="Z6" s="321"/>
      <c r="AA6" s="321"/>
    </row>
    <row r="7" spans="1:37" ht="15.75" customHeight="1" thickBot="1">
      <c r="A7" s="321"/>
      <c r="B7" s="333"/>
      <c r="C7" s="334"/>
      <c r="D7" s="335"/>
      <c r="E7" s="334"/>
      <c r="F7" s="334"/>
      <c r="G7" s="334"/>
      <c r="H7" s="334"/>
      <c r="I7" s="334"/>
      <c r="J7" s="334"/>
      <c r="K7" s="336"/>
      <c r="L7" s="336"/>
      <c r="M7" s="337"/>
      <c r="N7" s="337"/>
      <c r="O7" s="337"/>
      <c r="P7" s="337"/>
      <c r="Q7" s="337"/>
      <c r="R7" s="337"/>
      <c r="S7" s="337"/>
      <c r="T7" s="337"/>
      <c r="U7" s="338"/>
      <c r="V7" s="321"/>
      <c r="X7" s="321"/>
      <c r="Y7" s="321"/>
      <c r="Z7" s="321"/>
      <c r="AA7" s="321"/>
    </row>
    <row r="8" spans="1:37" ht="15.75" customHeight="1">
      <c r="A8" s="321"/>
      <c r="B8" s="339"/>
      <c r="C8" s="1551" t="s">
        <v>64</v>
      </c>
      <c r="D8" s="1552"/>
      <c r="E8" s="1552"/>
      <c r="F8" s="1552"/>
      <c r="G8" s="1552"/>
      <c r="H8" s="1552"/>
      <c r="I8" s="1552"/>
      <c r="J8" s="1552"/>
      <c r="K8" s="1553"/>
      <c r="L8" s="340"/>
      <c r="M8" s="1626" t="s">
        <v>65</v>
      </c>
      <c r="N8" s="1627"/>
      <c r="O8" s="1627"/>
      <c r="P8" s="1627"/>
      <c r="Q8" s="1627"/>
      <c r="R8" s="1627"/>
      <c r="S8" s="1627"/>
      <c r="T8" s="1628"/>
      <c r="U8" s="341"/>
      <c r="V8" s="321"/>
      <c r="X8" s="321"/>
      <c r="Y8" s="321"/>
      <c r="Z8" s="321"/>
      <c r="AA8" s="321"/>
    </row>
    <row r="9" spans="1:37" ht="15.75" customHeight="1">
      <c r="A9" s="321"/>
      <c r="B9" s="339"/>
      <c r="C9" s="1554"/>
      <c r="D9" s="1555"/>
      <c r="E9" s="1555"/>
      <c r="F9" s="1555"/>
      <c r="G9" s="1555"/>
      <c r="H9" s="1555"/>
      <c r="I9" s="1555"/>
      <c r="J9" s="1555"/>
      <c r="K9" s="1556"/>
      <c r="L9" s="340"/>
      <c r="M9" s="1629"/>
      <c r="N9" s="1630"/>
      <c r="O9" s="1630"/>
      <c r="P9" s="1630"/>
      <c r="Q9" s="1630"/>
      <c r="R9" s="1630"/>
      <c r="S9" s="1630"/>
      <c r="T9" s="1631"/>
      <c r="U9" s="341"/>
      <c r="V9" s="321"/>
      <c r="X9" s="321"/>
      <c r="Y9" s="321"/>
      <c r="Z9" s="321"/>
      <c r="AA9" s="321"/>
    </row>
    <row r="10" spans="1:37" ht="30" customHeight="1">
      <c r="A10" s="321"/>
      <c r="B10" s="339"/>
      <c r="C10" s="342" t="s">
        <v>66</v>
      </c>
      <c r="D10" s="734" t="s">
        <v>67</v>
      </c>
      <c r="E10" s="343" t="s">
        <v>68</v>
      </c>
      <c r="F10" s="344" t="s">
        <v>69</v>
      </c>
      <c r="G10" s="344" t="s">
        <v>70</v>
      </c>
      <c r="H10" s="344" t="s">
        <v>71</v>
      </c>
      <c r="I10" s="344" t="s">
        <v>72</v>
      </c>
      <c r="J10" s="345" t="s">
        <v>73</v>
      </c>
      <c r="K10" s="738" t="s">
        <v>74</v>
      </c>
      <c r="L10" s="346"/>
      <c r="M10" s="735" t="s">
        <v>75</v>
      </c>
      <c r="N10" s="348" t="s">
        <v>76</v>
      </c>
      <c r="O10" s="349" t="s">
        <v>77</v>
      </c>
      <c r="P10" s="349" t="s">
        <v>69</v>
      </c>
      <c r="Q10" s="349" t="s">
        <v>70</v>
      </c>
      <c r="R10" s="349" t="s">
        <v>72</v>
      </c>
      <c r="S10" s="349" t="s">
        <v>74</v>
      </c>
      <c r="T10" s="350" t="s">
        <v>64</v>
      </c>
      <c r="U10" s="341"/>
      <c r="V10" s="321"/>
      <c r="X10" s="321"/>
      <c r="Y10" s="321"/>
      <c r="Z10" s="321"/>
      <c r="AA10" s="321"/>
    </row>
    <row r="11" spans="1:37" s="357" customFormat="1" ht="31.5" customHeight="1">
      <c r="A11" s="351"/>
      <c r="B11" s="352"/>
      <c r="C11" s="1424" t="s">
        <v>901</v>
      </c>
      <c r="D11" s="1425" t="s">
        <v>902</v>
      </c>
      <c r="E11" s="1426" t="s">
        <v>903</v>
      </c>
      <c r="F11" s="1427" t="s">
        <v>9</v>
      </c>
      <c r="G11" s="1428">
        <v>64</v>
      </c>
      <c r="H11" s="1429" t="s">
        <v>684</v>
      </c>
      <c r="I11" s="1430" t="s">
        <v>52</v>
      </c>
      <c r="J11" s="1355" t="s">
        <v>356</v>
      </c>
      <c r="K11" s="774"/>
      <c r="L11" s="353"/>
      <c r="M11" s="1424" t="s">
        <v>901</v>
      </c>
      <c r="N11" s="1425">
        <v>101</v>
      </c>
      <c r="O11" s="1431" t="s">
        <v>904</v>
      </c>
      <c r="P11" s="1428" t="s">
        <v>94</v>
      </c>
      <c r="Q11" s="1428">
        <v>65</v>
      </c>
      <c r="R11" s="1428" t="s">
        <v>554</v>
      </c>
      <c r="S11" s="996"/>
      <c r="T11" s="1068">
        <f t="shared" ref="T11:T41" si="0">COUNTIF(D:D,N11)</f>
        <v>7</v>
      </c>
      <c r="U11" s="356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351"/>
      <c r="AJ11" s="351"/>
      <c r="AK11" s="351"/>
    </row>
    <row r="12" spans="1:37" s="357" customFormat="1" ht="30" customHeight="1">
      <c r="A12" s="351"/>
      <c r="B12" s="352"/>
      <c r="C12" s="1424" t="s">
        <v>905</v>
      </c>
      <c r="D12" s="1425" t="s">
        <v>902</v>
      </c>
      <c r="E12" s="1426" t="s">
        <v>903</v>
      </c>
      <c r="F12" s="1427" t="s">
        <v>8</v>
      </c>
      <c r="G12" s="1428">
        <v>64</v>
      </c>
      <c r="H12" s="1429" t="s">
        <v>684</v>
      </c>
      <c r="I12" s="1430" t="s">
        <v>52</v>
      </c>
      <c r="J12" s="1355" t="s">
        <v>356</v>
      </c>
      <c r="K12" s="774"/>
      <c r="L12" s="358"/>
      <c r="M12" s="1424" t="s">
        <v>906</v>
      </c>
      <c r="N12" s="1425">
        <v>102</v>
      </c>
      <c r="O12" s="1431" t="s">
        <v>907</v>
      </c>
      <c r="P12" s="1428" t="s">
        <v>94</v>
      </c>
      <c r="Q12" s="1428">
        <v>64</v>
      </c>
      <c r="R12" s="1428" t="s">
        <v>658</v>
      </c>
      <c r="S12" s="996"/>
      <c r="T12" s="1068">
        <f t="shared" si="0"/>
        <v>5</v>
      </c>
      <c r="U12" s="34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  <c r="AG12" s="351"/>
      <c r="AH12" s="351"/>
      <c r="AI12" s="351"/>
      <c r="AJ12" s="351"/>
      <c r="AK12" s="351"/>
    </row>
    <row r="13" spans="1:37" ht="30">
      <c r="A13" s="321"/>
      <c r="B13" s="339"/>
      <c r="C13" s="1424" t="s">
        <v>905</v>
      </c>
      <c r="D13" s="1425"/>
      <c r="E13" s="1430" t="s">
        <v>908</v>
      </c>
      <c r="F13" s="1427" t="s">
        <v>8</v>
      </c>
      <c r="G13" s="1428">
        <v>64</v>
      </c>
      <c r="H13" s="1429" t="s">
        <v>684</v>
      </c>
      <c r="I13" s="1430" t="s">
        <v>52</v>
      </c>
      <c r="J13" s="1355" t="s">
        <v>356</v>
      </c>
      <c r="K13" s="774"/>
      <c r="L13" s="359"/>
      <c r="M13" s="1424" t="s">
        <v>906</v>
      </c>
      <c r="N13" s="1425">
        <v>103</v>
      </c>
      <c r="O13" s="1431" t="s">
        <v>909</v>
      </c>
      <c r="P13" s="1428" t="s">
        <v>94</v>
      </c>
      <c r="Q13" s="1428">
        <v>65</v>
      </c>
      <c r="R13" s="1428" t="s">
        <v>554</v>
      </c>
      <c r="S13" s="997"/>
      <c r="T13" s="1068">
        <f t="shared" si="0"/>
        <v>6</v>
      </c>
      <c r="U13" s="341"/>
      <c r="V13" s="321"/>
      <c r="X13" s="321"/>
      <c r="Y13" s="321"/>
      <c r="Z13" s="321"/>
      <c r="AA13" s="321"/>
    </row>
    <row r="14" spans="1:37" s="362" customFormat="1">
      <c r="A14" s="360"/>
      <c r="B14" s="361"/>
      <c r="C14" s="1424" t="s">
        <v>905</v>
      </c>
      <c r="D14" s="1425">
        <v>101</v>
      </c>
      <c r="E14" s="1431" t="s">
        <v>910</v>
      </c>
      <c r="F14" s="1427" t="s">
        <v>8</v>
      </c>
      <c r="G14" s="1432">
        <v>65</v>
      </c>
      <c r="H14" s="1429" t="s">
        <v>735</v>
      </c>
      <c r="I14" s="1429" t="s">
        <v>52</v>
      </c>
      <c r="J14" s="1355" t="s">
        <v>356</v>
      </c>
      <c r="K14" s="774"/>
      <c r="L14" s="358"/>
      <c r="M14" s="1424" t="s">
        <v>911</v>
      </c>
      <c r="N14" s="1425">
        <v>104</v>
      </c>
      <c r="O14" s="1431" t="s">
        <v>912</v>
      </c>
      <c r="P14" s="1428" t="s">
        <v>94</v>
      </c>
      <c r="Q14" s="1428">
        <v>40</v>
      </c>
      <c r="R14" s="998" t="s">
        <v>48</v>
      </c>
      <c r="S14" s="997"/>
      <c r="T14" s="1068">
        <f t="shared" si="0"/>
        <v>2</v>
      </c>
      <c r="U14" s="341"/>
      <c r="V14" s="360"/>
      <c r="W14" s="360"/>
      <c r="X14" s="360"/>
      <c r="Y14" s="360"/>
      <c r="Z14" s="360"/>
      <c r="AA14" s="360"/>
      <c r="AB14" s="360"/>
      <c r="AC14" s="360"/>
      <c r="AD14" s="360"/>
      <c r="AE14" s="360"/>
      <c r="AF14" s="360"/>
      <c r="AG14" s="360"/>
      <c r="AH14" s="360"/>
      <c r="AI14" s="360"/>
      <c r="AJ14" s="360"/>
      <c r="AK14" s="360"/>
    </row>
    <row r="15" spans="1:37" s="362" customFormat="1" ht="30">
      <c r="A15" s="360"/>
      <c r="B15" s="361"/>
      <c r="C15" s="1424" t="s">
        <v>906</v>
      </c>
      <c r="D15" s="1425"/>
      <c r="E15" s="1433" t="s">
        <v>913</v>
      </c>
      <c r="F15" s="1427" t="s">
        <v>8</v>
      </c>
      <c r="G15" s="1432">
        <v>65</v>
      </c>
      <c r="H15" s="1429" t="s">
        <v>914</v>
      </c>
      <c r="I15" s="1429" t="s">
        <v>53</v>
      </c>
      <c r="J15" s="1355" t="s">
        <v>625</v>
      </c>
      <c r="K15" s="774"/>
      <c r="L15" s="358"/>
      <c r="M15" s="1434" t="s">
        <v>915</v>
      </c>
      <c r="N15" s="1428">
        <v>108</v>
      </c>
      <c r="O15" s="999" t="s">
        <v>916</v>
      </c>
      <c r="P15" s="1428" t="s">
        <v>189</v>
      </c>
      <c r="Q15" s="1435">
        <v>65</v>
      </c>
      <c r="R15" s="1428" t="s">
        <v>47</v>
      </c>
      <c r="S15" s="997"/>
      <c r="T15" s="1068">
        <f t="shared" si="0"/>
        <v>4</v>
      </c>
      <c r="U15" s="341"/>
      <c r="V15" s="360"/>
      <c r="W15" s="360"/>
      <c r="X15" s="360"/>
      <c r="Y15" s="360"/>
      <c r="Z15" s="360"/>
      <c r="AA15" s="360"/>
      <c r="AB15" s="360"/>
      <c r="AC15" s="360"/>
      <c r="AD15" s="360"/>
      <c r="AE15" s="360"/>
      <c r="AF15" s="360"/>
      <c r="AG15" s="360"/>
      <c r="AH15" s="360"/>
      <c r="AI15" s="360"/>
      <c r="AJ15" s="360"/>
      <c r="AK15" s="360"/>
    </row>
    <row r="16" spans="1:37" s="362" customFormat="1" ht="30" customHeight="1">
      <c r="A16" s="360"/>
      <c r="B16" s="361"/>
      <c r="C16" s="1424" t="s">
        <v>906</v>
      </c>
      <c r="D16" s="1425">
        <v>103</v>
      </c>
      <c r="E16" s="1431" t="s">
        <v>917</v>
      </c>
      <c r="F16" s="1427" t="s">
        <v>419</v>
      </c>
      <c r="G16" s="1432">
        <v>65</v>
      </c>
      <c r="H16" s="1429"/>
      <c r="I16" s="1429" t="s">
        <v>52</v>
      </c>
      <c r="J16" s="1355" t="s">
        <v>356</v>
      </c>
      <c r="K16" s="774"/>
      <c r="L16" s="358"/>
      <c r="M16" s="1434">
        <v>44173</v>
      </c>
      <c r="N16" s="1428">
        <v>109</v>
      </c>
      <c r="O16" s="999" t="s">
        <v>918</v>
      </c>
      <c r="P16" s="1428" t="s">
        <v>919</v>
      </c>
      <c r="Q16" s="1435">
        <v>64</v>
      </c>
      <c r="R16" s="1428" t="s">
        <v>920</v>
      </c>
      <c r="S16" s="996"/>
      <c r="T16" s="1068">
        <f t="shared" si="0"/>
        <v>8</v>
      </c>
      <c r="U16" s="341"/>
      <c r="V16" s="360"/>
      <c r="W16" s="360"/>
      <c r="X16" s="360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360"/>
      <c r="AJ16" s="360"/>
      <c r="AK16" s="360"/>
    </row>
    <row r="17" spans="1:37" s="365" customFormat="1">
      <c r="A17" s="363"/>
      <c r="B17" s="364"/>
      <c r="C17" s="1424" t="s">
        <v>921</v>
      </c>
      <c r="D17" s="1425"/>
      <c r="E17" s="1430" t="s">
        <v>922</v>
      </c>
      <c r="F17" s="1427" t="s">
        <v>11</v>
      </c>
      <c r="G17" s="1432">
        <v>40</v>
      </c>
      <c r="H17" s="1429" t="s">
        <v>923</v>
      </c>
      <c r="I17" s="1429" t="s">
        <v>53</v>
      </c>
      <c r="J17" s="1355" t="s">
        <v>896</v>
      </c>
      <c r="K17" s="774"/>
      <c r="L17" s="353"/>
      <c r="M17" s="1424" t="s">
        <v>924</v>
      </c>
      <c r="N17" s="1428">
        <v>106</v>
      </c>
      <c r="O17" s="1431" t="s">
        <v>925</v>
      </c>
      <c r="P17" s="1428" t="s">
        <v>94</v>
      </c>
      <c r="Q17" s="1428">
        <v>65</v>
      </c>
      <c r="R17" s="1428" t="s">
        <v>47</v>
      </c>
      <c r="S17" s="997"/>
      <c r="T17" s="1068">
        <f t="shared" si="0"/>
        <v>6</v>
      </c>
      <c r="U17" s="341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  <c r="AH17" s="363"/>
      <c r="AI17" s="363"/>
      <c r="AJ17" s="363"/>
      <c r="AK17" s="363"/>
    </row>
    <row r="18" spans="1:37" s="362" customFormat="1">
      <c r="A18" s="360"/>
      <c r="B18" s="361"/>
      <c r="C18" s="1426" t="s">
        <v>921</v>
      </c>
      <c r="D18" s="1425">
        <v>101</v>
      </c>
      <c r="E18" s="1436" t="s">
        <v>926</v>
      </c>
      <c r="F18" s="1427" t="s">
        <v>8</v>
      </c>
      <c r="G18" s="1432">
        <v>65</v>
      </c>
      <c r="H18" s="1429" t="s">
        <v>91</v>
      </c>
      <c r="I18" s="1429" t="s">
        <v>52</v>
      </c>
      <c r="J18" s="1355" t="s">
        <v>356</v>
      </c>
      <c r="K18" s="774"/>
      <c r="L18" s="353"/>
      <c r="M18" s="1000" t="s">
        <v>927</v>
      </c>
      <c r="N18" s="1001">
        <v>105</v>
      </c>
      <c r="O18" s="1001" t="s">
        <v>928</v>
      </c>
      <c r="P18" s="1001" t="s">
        <v>189</v>
      </c>
      <c r="Q18" s="1001">
        <v>40</v>
      </c>
      <c r="R18" s="1001" t="s">
        <v>47</v>
      </c>
      <c r="S18" s="1001"/>
      <c r="T18" s="1437">
        <f t="shared" si="0"/>
        <v>5</v>
      </c>
      <c r="U18" s="341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360"/>
      <c r="AK18" s="360"/>
    </row>
    <row r="19" spans="1:37">
      <c r="A19" s="321"/>
      <c r="B19" s="339"/>
      <c r="C19" s="1426" t="s">
        <v>921</v>
      </c>
      <c r="D19" s="1425">
        <v>101</v>
      </c>
      <c r="E19" s="1436" t="s">
        <v>926</v>
      </c>
      <c r="F19" s="1427" t="s">
        <v>9</v>
      </c>
      <c r="G19" s="1432">
        <v>65</v>
      </c>
      <c r="H19" s="1429" t="s">
        <v>91</v>
      </c>
      <c r="I19" s="1429" t="s">
        <v>52</v>
      </c>
      <c r="J19" s="1355" t="s">
        <v>356</v>
      </c>
      <c r="K19" s="770"/>
      <c r="L19" s="353"/>
      <c r="M19" s="1438" t="s">
        <v>929</v>
      </c>
      <c r="N19" s="1428">
        <v>107</v>
      </c>
      <c r="O19" s="999" t="s">
        <v>930</v>
      </c>
      <c r="P19" s="1428" t="s">
        <v>189</v>
      </c>
      <c r="Q19" s="1435">
        <v>65</v>
      </c>
      <c r="R19" s="1428" t="s">
        <v>931</v>
      </c>
      <c r="S19" s="997"/>
      <c r="T19" s="1437">
        <f t="shared" si="0"/>
        <v>1</v>
      </c>
      <c r="U19" s="341"/>
      <c r="V19" s="321"/>
      <c r="X19" s="321"/>
      <c r="Y19" s="321"/>
      <c r="Z19" s="321"/>
      <c r="AA19" s="321"/>
    </row>
    <row r="20" spans="1:37" s="365" customFormat="1" ht="15.75" customHeight="1">
      <c r="A20" s="363"/>
      <c r="B20" s="364"/>
      <c r="C20" s="1424" t="s">
        <v>921</v>
      </c>
      <c r="D20" s="1425">
        <v>101</v>
      </c>
      <c r="E20" s="982" t="s">
        <v>932</v>
      </c>
      <c r="F20" s="1427" t="s">
        <v>8</v>
      </c>
      <c r="G20" s="1432">
        <v>65</v>
      </c>
      <c r="H20" s="1429" t="s">
        <v>311</v>
      </c>
      <c r="I20" s="1429" t="s">
        <v>52</v>
      </c>
      <c r="J20" s="1355" t="s">
        <v>356</v>
      </c>
      <c r="K20" s="770"/>
      <c r="L20" s="353"/>
      <c r="M20" s="1002">
        <v>44181</v>
      </c>
      <c r="N20" s="1003">
        <v>1071</v>
      </c>
      <c r="O20" s="1004" t="s">
        <v>933</v>
      </c>
      <c r="P20" s="1003" t="s">
        <v>934</v>
      </c>
      <c r="Q20" s="1003">
        <v>65</v>
      </c>
      <c r="R20" s="1003" t="s">
        <v>668</v>
      </c>
      <c r="S20" s="1005" t="s">
        <v>81</v>
      </c>
      <c r="T20" s="1068">
        <f t="shared" si="0"/>
        <v>4</v>
      </c>
      <c r="U20" s="341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363"/>
      <c r="AK20" s="363"/>
    </row>
    <row r="21" spans="1:37" s="362" customFormat="1" ht="16.5" thickBot="1">
      <c r="A21" s="360"/>
      <c r="B21" s="361"/>
      <c r="C21" s="1424" t="s">
        <v>921</v>
      </c>
      <c r="D21" s="1425">
        <v>101</v>
      </c>
      <c r="E21" s="981" t="s">
        <v>932</v>
      </c>
      <c r="F21" s="1427" t="s">
        <v>9</v>
      </c>
      <c r="G21" s="1432">
        <v>66</v>
      </c>
      <c r="H21" s="1429" t="s">
        <v>311</v>
      </c>
      <c r="I21" s="1429" t="s">
        <v>52</v>
      </c>
      <c r="J21" s="1355" t="s">
        <v>356</v>
      </c>
      <c r="K21" s="770"/>
      <c r="L21" s="358"/>
      <c r="M21" s="1439">
        <v>44183</v>
      </c>
      <c r="N21" s="1440">
        <v>112</v>
      </c>
      <c r="O21" s="1441" t="s">
        <v>935</v>
      </c>
      <c r="P21" s="1440" t="s">
        <v>94</v>
      </c>
      <c r="Q21" s="1440">
        <v>40</v>
      </c>
      <c r="R21" s="1442" t="s">
        <v>936</v>
      </c>
      <c r="S21" s="980"/>
      <c r="T21" s="1068">
        <f>COUNTIF(D:D,N21)</f>
        <v>1</v>
      </c>
      <c r="U21" s="341"/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  <c r="AF21" s="360"/>
      <c r="AG21" s="360"/>
      <c r="AH21" s="360"/>
      <c r="AI21" s="360"/>
      <c r="AJ21" s="360"/>
      <c r="AK21" s="360"/>
    </row>
    <row r="22" spans="1:37" s="362" customFormat="1" ht="16.5" thickBot="1">
      <c r="A22" s="360"/>
      <c r="B22" s="361"/>
      <c r="C22" s="1443">
        <v>44169</v>
      </c>
      <c r="D22" s="1444">
        <v>103</v>
      </c>
      <c r="E22" s="981" t="s">
        <v>937</v>
      </c>
      <c r="F22" s="1427" t="s">
        <v>8</v>
      </c>
      <c r="G22" s="1432">
        <v>65</v>
      </c>
      <c r="H22" s="1429" t="s">
        <v>735</v>
      </c>
      <c r="I22" s="1429" t="s">
        <v>52</v>
      </c>
      <c r="J22" s="1355" t="s">
        <v>356</v>
      </c>
      <c r="K22" s="770"/>
      <c r="L22" s="370"/>
      <c r="M22" s="1439">
        <v>44183</v>
      </c>
      <c r="N22" s="1440">
        <v>113</v>
      </c>
      <c r="O22" s="1441" t="s">
        <v>935</v>
      </c>
      <c r="P22" s="1440" t="s">
        <v>94</v>
      </c>
      <c r="Q22" s="1440">
        <v>64</v>
      </c>
      <c r="R22" s="1442" t="s">
        <v>936</v>
      </c>
      <c r="S22" s="980"/>
      <c r="T22" s="1437">
        <f>COUNTIF(D:D,N22)</f>
        <v>4</v>
      </c>
      <c r="U22" s="341"/>
      <c r="V22" s="360"/>
      <c r="W22" s="360"/>
      <c r="X22" s="360"/>
      <c r="Y22" s="360"/>
      <c r="Z22" s="360"/>
      <c r="AA22" s="360"/>
      <c r="AB22" s="360"/>
      <c r="AC22" s="360"/>
      <c r="AD22" s="360"/>
      <c r="AE22" s="360"/>
      <c r="AF22" s="360"/>
      <c r="AG22" s="360"/>
      <c r="AH22" s="360"/>
      <c r="AI22" s="360"/>
      <c r="AJ22" s="360"/>
      <c r="AK22" s="360"/>
    </row>
    <row r="23" spans="1:37" ht="16.5" thickBot="1">
      <c r="A23" s="321"/>
      <c r="B23" s="339"/>
      <c r="C23" s="1424">
        <v>44169</v>
      </c>
      <c r="D23" s="1425">
        <v>102</v>
      </c>
      <c r="E23" s="1436" t="s">
        <v>938</v>
      </c>
      <c r="F23" s="1427" t="s">
        <v>8</v>
      </c>
      <c r="G23" s="1432">
        <v>64</v>
      </c>
      <c r="H23" s="1429" t="s">
        <v>684</v>
      </c>
      <c r="I23" s="1429" t="s">
        <v>49</v>
      </c>
      <c r="J23" s="1355" t="s">
        <v>356</v>
      </c>
      <c r="K23" s="770"/>
      <c r="L23" s="370"/>
      <c r="M23" s="1439">
        <v>44183</v>
      </c>
      <c r="N23" s="1440">
        <v>111</v>
      </c>
      <c r="O23" s="1441" t="s">
        <v>935</v>
      </c>
      <c r="P23" s="1440" t="s">
        <v>94</v>
      </c>
      <c r="Q23" s="1440">
        <v>65</v>
      </c>
      <c r="R23" s="1442" t="s">
        <v>936</v>
      </c>
      <c r="S23" s="980"/>
      <c r="T23" s="1437">
        <f>COUNTIF(D:D,N23)</f>
        <v>5</v>
      </c>
      <c r="U23" s="341"/>
      <c r="V23" s="321"/>
      <c r="X23" s="321"/>
      <c r="Y23" s="321"/>
      <c r="Z23" s="321"/>
      <c r="AA23" s="321"/>
    </row>
    <row r="24" spans="1:37" ht="16.5" thickBot="1">
      <c r="A24" s="321"/>
      <c r="B24" s="339"/>
      <c r="C24" s="1424">
        <v>44169</v>
      </c>
      <c r="D24" s="1425">
        <v>102</v>
      </c>
      <c r="E24" s="1436" t="s">
        <v>938</v>
      </c>
      <c r="F24" s="1427" t="s">
        <v>9</v>
      </c>
      <c r="G24" s="1432">
        <v>64</v>
      </c>
      <c r="H24" s="1429" t="s">
        <v>684</v>
      </c>
      <c r="I24" s="1429" t="s">
        <v>49</v>
      </c>
      <c r="J24" s="1355" t="s">
        <v>356</v>
      </c>
      <c r="K24" s="774"/>
      <c r="L24" s="370"/>
      <c r="M24" s="1439">
        <v>44193</v>
      </c>
      <c r="N24" s="1440">
        <v>128</v>
      </c>
      <c r="O24" s="1441" t="s">
        <v>939</v>
      </c>
      <c r="P24" s="1440" t="s">
        <v>83</v>
      </c>
      <c r="Q24" s="1440">
        <v>40</v>
      </c>
      <c r="R24" s="1442" t="s">
        <v>51</v>
      </c>
      <c r="S24" s="980"/>
      <c r="T24" s="1437">
        <f t="shared" ref="T24:T30" si="1">COUNTIF(D:D,N24)</f>
        <v>0</v>
      </c>
      <c r="U24" s="341"/>
      <c r="V24" s="321"/>
      <c r="X24" s="321"/>
      <c r="Y24" s="321"/>
      <c r="Z24" s="321"/>
      <c r="AA24" s="321"/>
    </row>
    <row r="25" spans="1:37" ht="16.5" thickBot="1">
      <c r="A25" s="321"/>
      <c r="B25" s="339"/>
      <c r="C25" s="983" t="s">
        <v>915</v>
      </c>
      <c r="D25" s="984">
        <v>108</v>
      </c>
      <c r="E25" s="985" t="s">
        <v>940</v>
      </c>
      <c r="F25" s="1427" t="s">
        <v>8</v>
      </c>
      <c r="G25" s="991">
        <v>65</v>
      </c>
      <c r="H25" s="1429" t="s">
        <v>311</v>
      </c>
      <c r="I25" s="1429" t="s">
        <v>47</v>
      </c>
      <c r="J25" s="1355" t="s">
        <v>356</v>
      </c>
      <c r="K25" s="774"/>
      <c r="L25" s="370"/>
      <c r="M25" s="1399">
        <v>44194</v>
      </c>
      <c r="N25" s="1400">
        <v>114</v>
      </c>
      <c r="O25" s="1413" t="s">
        <v>941</v>
      </c>
      <c r="P25" s="1400" t="s">
        <v>83</v>
      </c>
      <c r="Q25" s="1400">
        <v>64</v>
      </c>
      <c r="R25" s="1445" t="s">
        <v>51</v>
      </c>
      <c r="S25" s="783"/>
      <c r="T25" s="1437">
        <f t="shared" si="1"/>
        <v>4</v>
      </c>
      <c r="U25" s="341"/>
      <c r="V25" s="321"/>
      <c r="X25" s="321"/>
      <c r="Y25" s="321"/>
      <c r="Z25" s="321"/>
      <c r="AA25" s="321"/>
    </row>
    <row r="26" spans="1:37" ht="16.5" thickBot="1">
      <c r="A26" s="321"/>
      <c r="B26" s="339"/>
      <c r="C26" s="983" t="s">
        <v>915</v>
      </c>
      <c r="D26" s="984">
        <v>108</v>
      </c>
      <c r="E26" s="985" t="s">
        <v>942</v>
      </c>
      <c r="F26" s="1427" t="s">
        <v>9</v>
      </c>
      <c r="G26" s="991">
        <v>65</v>
      </c>
      <c r="H26" s="1429" t="s">
        <v>311</v>
      </c>
      <c r="I26" s="1429" t="s">
        <v>47</v>
      </c>
      <c r="J26" s="1355" t="s">
        <v>356</v>
      </c>
      <c r="K26" s="774"/>
      <c r="L26" s="370"/>
      <c r="M26" s="1439">
        <v>44193</v>
      </c>
      <c r="N26" s="1440">
        <v>127</v>
      </c>
      <c r="O26" s="1441" t="s">
        <v>939</v>
      </c>
      <c r="P26" s="1440" t="s">
        <v>83</v>
      </c>
      <c r="Q26" s="1440">
        <v>65</v>
      </c>
      <c r="R26" s="1442" t="s">
        <v>51</v>
      </c>
      <c r="S26" s="980"/>
      <c r="T26" s="1437">
        <f t="shared" si="1"/>
        <v>1</v>
      </c>
      <c r="U26" s="341"/>
      <c r="V26" s="321"/>
      <c r="X26" s="321"/>
      <c r="Y26" s="321"/>
      <c r="Z26" s="321"/>
      <c r="AA26" s="321"/>
    </row>
    <row r="27" spans="1:37" ht="16.5" thickBot="1">
      <c r="A27" s="321"/>
      <c r="B27" s="339"/>
      <c r="C27" s="992" t="s">
        <v>915</v>
      </c>
      <c r="D27" s="993">
        <v>108</v>
      </c>
      <c r="E27" s="994" t="s">
        <v>940</v>
      </c>
      <c r="F27" s="1446" t="s">
        <v>8</v>
      </c>
      <c r="G27" s="986">
        <v>65</v>
      </c>
      <c r="H27" s="1447" t="s">
        <v>91</v>
      </c>
      <c r="I27" s="1447" t="s">
        <v>47</v>
      </c>
      <c r="J27" s="1355" t="s">
        <v>356</v>
      </c>
      <c r="K27" s="774"/>
      <c r="L27" s="370"/>
      <c r="M27" s="1399" t="s">
        <v>943</v>
      </c>
      <c r="N27" s="1400">
        <v>129</v>
      </c>
      <c r="O27" s="1413" t="s">
        <v>944</v>
      </c>
      <c r="P27" s="1400" t="s">
        <v>181</v>
      </c>
      <c r="Q27" s="1400">
        <v>40</v>
      </c>
      <c r="R27" s="1445" t="s">
        <v>51</v>
      </c>
      <c r="S27" s="783"/>
      <c r="T27" s="1437">
        <f t="shared" si="1"/>
        <v>4</v>
      </c>
      <c r="U27" s="341"/>
      <c r="V27" s="321"/>
      <c r="X27" s="321"/>
      <c r="Y27" s="321"/>
      <c r="Z27" s="321"/>
      <c r="AA27" s="321"/>
    </row>
    <row r="28" spans="1:37" ht="16.5" thickBot="1">
      <c r="A28" s="321"/>
      <c r="B28" s="339"/>
      <c r="C28" s="983" t="s">
        <v>915</v>
      </c>
      <c r="D28" s="984">
        <v>108</v>
      </c>
      <c r="E28" s="987" t="s">
        <v>940</v>
      </c>
      <c r="F28" s="1427" t="s">
        <v>9</v>
      </c>
      <c r="G28" s="986">
        <v>65</v>
      </c>
      <c r="H28" s="1429" t="s">
        <v>91</v>
      </c>
      <c r="I28" s="1429" t="s">
        <v>47</v>
      </c>
      <c r="J28" s="1355" t="s">
        <v>356</v>
      </c>
      <c r="K28" s="774"/>
      <c r="L28" s="370"/>
      <c r="M28" s="1399">
        <v>44194</v>
      </c>
      <c r="N28" s="1400">
        <v>116</v>
      </c>
      <c r="O28" s="1413" t="s">
        <v>941</v>
      </c>
      <c r="P28" s="1400" t="s">
        <v>83</v>
      </c>
      <c r="Q28" s="1400">
        <v>40</v>
      </c>
      <c r="R28" s="1445" t="s">
        <v>51</v>
      </c>
      <c r="S28" s="783"/>
      <c r="T28" s="1437">
        <f t="shared" si="1"/>
        <v>3</v>
      </c>
      <c r="U28" s="341"/>
      <c r="V28" s="321"/>
      <c r="X28" s="321"/>
      <c r="Y28" s="321"/>
      <c r="Z28" s="321"/>
      <c r="AA28" s="321"/>
    </row>
    <row r="29" spans="1:37" ht="16.5" thickBot="1">
      <c r="A29" s="321"/>
      <c r="B29" s="339"/>
      <c r="C29" s="1426" t="s">
        <v>945</v>
      </c>
      <c r="D29" s="1425">
        <v>102</v>
      </c>
      <c r="E29" s="1430" t="s">
        <v>946</v>
      </c>
      <c r="F29" s="1427" t="s">
        <v>9</v>
      </c>
      <c r="G29" s="1432">
        <v>64</v>
      </c>
      <c r="H29" s="1429" t="s">
        <v>605</v>
      </c>
      <c r="I29" s="1429" t="s">
        <v>49</v>
      </c>
      <c r="J29" s="1355" t="s">
        <v>356</v>
      </c>
      <c r="K29" s="774"/>
      <c r="L29" s="370"/>
      <c r="M29" s="1399">
        <v>44194</v>
      </c>
      <c r="N29" s="1400">
        <v>117</v>
      </c>
      <c r="O29" s="1413" t="s">
        <v>947</v>
      </c>
      <c r="P29" s="1400" t="s">
        <v>83</v>
      </c>
      <c r="Q29" s="1400">
        <v>64</v>
      </c>
      <c r="R29" s="1445" t="s">
        <v>51</v>
      </c>
      <c r="S29" s="783"/>
      <c r="T29" s="1437">
        <f t="shared" si="1"/>
        <v>5</v>
      </c>
      <c r="U29" s="341"/>
      <c r="V29" s="321"/>
      <c r="X29" s="321"/>
      <c r="Y29" s="321"/>
      <c r="Z29" s="321"/>
      <c r="AA29" s="321"/>
    </row>
    <row r="30" spans="1:37" ht="16.5" thickBot="1">
      <c r="A30" s="321"/>
      <c r="B30" s="339"/>
      <c r="C30" s="1426" t="s">
        <v>945</v>
      </c>
      <c r="D30" s="1425">
        <v>102</v>
      </c>
      <c r="E30" s="1430" t="s">
        <v>946</v>
      </c>
      <c r="F30" s="1427" t="s">
        <v>8</v>
      </c>
      <c r="G30" s="1432">
        <v>64</v>
      </c>
      <c r="H30" s="1429" t="s">
        <v>684</v>
      </c>
      <c r="I30" s="1429" t="s">
        <v>49</v>
      </c>
      <c r="J30" s="1355" t="s">
        <v>356</v>
      </c>
      <c r="K30" s="774"/>
      <c r="L30" s="370"/>
      <c r="M30" s="1399">
        <v>44194</v>
      </c>
      <c r="N30" s="1400">
        <v>118</v>
      </c>
      <c r="O30" s="1413" t="s">
        <v>947</v>
      </c>
      <c r="P30" s="1400" t="s">
        <v>83</v>
      </c>
      <c r="Q30" s="1400">
        <v>40</v>
      </c>
      <c r="R30" s="1445" t="s">
        <v>51</v>
      </c>
      <c r="S30" s="783"/>
      <c r="T30" s="1437">
        <f t="shared" si="1"/>
        <v>4</v>
      </c>
      <c r="U30" s="341"/>
      <c r="V30" s="321"/>
      <c r="X30" s="321"/>
      <c r="Y30" s="321"/>
      <c r="Z30" s="321"/>
      <c r="AA30" s="321"/>
    </row>
    <row r="31" spans="1:37" ht="16.5" thickBot="1">
      <c r="A31" s="321"/>
      <c r="B31" s="339"/>
      <c r="C31" s="988">
        <v>44173</v>
      </c>
      <c r="D31" s="989"/>
      <c r="E31" s="982" t="s">
        <v>948</v>
      </c>
      <c r="F31" s="1427" t="s">
        <v>8</v>
      </c>
      <c r="G31" s="986">
        <v>64</v>
      </c>
      <c r="H31" s="1429" t="s">
        <v>556</v>
      </c>
      <c r="I31" s="990" t="s">
        <v>52</v>
      </c>
      <c r="J31" s="1355" t="s">
        <v>356</v>
      </c>
      <c r="K31" s="774"/>
      <c r="L31" s="370"/>
      <c r="M31" s="1399"/>
      <c r="N31" s="1400"/>
      <c r="O31" s="1413"/>
      <c r="P31" s="1400"/>
      <c r="Q31" s="1400"/>
      <c r="R31" s="1445"/>
      <c r="S31" s="783"/>
      <c r="T31" s="1068"/>
      <c r="U31" s="341"/>
      <c r="V31" s="321"/>
      <c r="X31" s="321"/>
      <c r="Y31" s="321"/>
      <c r="Z31" s="321"/>
      <c r="AA31" s="321"/>
    </row>
    <row r="32" spans="1:37" ht="16.5" thickBot="1">
      <c r="A32" s="321"/>
      <c r="B32" s="339"/>
      <c r="C32" s="988">
        <v>44174</v>
      </c>
      <c r="D32" s="989"/>
      <c r="E32" s="982" t="s">
        <v>948</v>
      </c>
      <c r="F32" s="1427" t="s">
        <v>8</v>
      </c>
      <c r="G32" s="991">
        <v>64</v>
      </c>
      <c r="H32" s="1429" t="s">
        <v>396</v>
      </c>
      <c r="I32" s="990" t="s">
        <v>52</v>
      </c>
      <c r="J32" s="1355" t="s">
        <v>356</v>
      </c>
      <c r="K32" s="774"/>
      <c r="L32" s="370"/>
      <c r="M32" s="1399">
        <v>44194</v>
      </c>
      <c r="N32" s="1400">
        <v>120</v>
      </c>
      <c r="O32" s="1413" t="s">
        <v>949</v>
      </c>
      <c r="P32" s="1400" t="s">
        <v>83</v>
      </c>
      <c r="Q32" s="1400">
        <v>64</v>
      </c>
      <c r="R32" s="1445" t="s">
        <v>51</v>
      </c>
      <c r="S32" s="783"/>
      <c r="T32" s="1068">
        <f t="shared" si="0"/>
        <v>4</v>
      </c>
      <c r="U32" s="341"/>
      <c r="V32" s="321"/>
      <c r="X32" s="321"/>
      <c r="Y32" s="321"/>
      <c r="Z32" s="321"/>
      <c r="AA32" s="321"/>
    </row>
    <row r="33" spans="1:37" ht="16.5" thickBot="1">
      <c r="A33" s="321"/>
      <c r="B33" s="339"/>
      <c r="C33" s="983" t="s">
        <v>950</v>
      </c>
      <c r="D33" s="984">
        <v>101</v>
      </c>
      <c r="E33" s="985" t="s">
        <v>951</v>
      </c>
      <c r="F33" s="1427" t="s">
        <v>9</v>
      </c>
      <c r="G33" s="991">
        <v>65</v>
      </c>
      <c r="H33" s="1429" t="s">
        <v>899</v>
      </c>
      <c r="I33" s="1429" t="s">
        <v>52</v>
      </c>
      <c r="J33" s="1355" t="s">
        <v>356</v>
      </c>
      <c r="K33" s="774"/>
      <c r="L33" s="370"/>
      <c r="M33" s="1399">
        <v>44194</v>
      </c>
      <c r="N33" s="1400">
        <v>121</v>
      </c>
      <c r="O33" s="1413" t="s">
        <v>949</v>
      </c>
      <c r="P33" s="1400" t="s">
        <v>83</v>
      </c>
      <c r="Q33" s="1400">
        <v>40</v>
      </c>
      <c r="R33" s="1445" t="s">
        <v>51</v>
      </c>
      <c r="S33" s="783"/>
      <c r="T33" s="1068">
        <f t="shared" si="0"/>
        <v>2</v>
      </c>
      <c r="U33" s="341"/>
      <c r="V33" s="321"/>
      <c r="X33" s="321"/>
      <c r="Y33" s="321"/>
      <c r="Z33" s="321"/>
      <c r="AA33" s="321"/>
    </row>
    <row r="34" spans="1:37" ht="16.5" thickBot="1">
      <c r="A34" s="321"/>
      <c r="B34" s="339"/>
      <c r="C34" s="1448" t="s">
        <v>952</v>
      </c>
      <c r="D34" s="1425">
        <v>107</v>
      </c>
      <c r="E34" s="1431" t="s">
        <v>953</v>
      </c>
      <c r="F34" s="1427" t="s">
        <v>9</v>
      </c>
      <c r="G34" s="1432">
        <v>65</v>
      </c>
      <c r="H34" s="1429" t="s">
        <v>653</v>
      </c>
      <c r="I34" s="1429" t="s">
        <v>48</v>
      </c>
      <c r="J34" s="1355" t="s">
        <v>356</v>
      </c>
      <c r="K34" s="774"/>
      <c r="L34" s="370"/>
      <c r="M34" s="1399">
        <v>44194</v>
      </c>
      <c r="N34" s="1400">
        <v>122</v>
      </c>
      <c r="O34" s="1413" t="s">
        <v>954</v>
      </c>
      <c r="P34" s="1400" t="s">
        <v>83</v>
      </c>
      <c r="Q34" s="1400">
        <v>65</v>
      </c>
      <c r="R34" s="1445" t="s">
        <v>51</v>
      </c>
      <c r="S34" s="783"/>
      <c r="T34" s="1068">
        <f t="shared" si="0"/>
        <v>1</v>
      </c>
      <c r="U34" s="341"/>
      <c r="V34" s="321"/>
      <c r="X34" s="321"/>
      <c r="Y34" s="321"/>
      <c r="Z34" s="321"/>
      <c r="AA34" s="321"/>
    </row>
    <row r="35" spans="1:37" ht="16.5" thickBot="1">
      <c r="A35" s="321"/>
      <c r="B35" s="339"/>
      <c r="C35" s="1426" t="s">
        <v>952</v>
      </c>
      <c r="D35" s="1425">
        <v>101</v>
      </c>
      <c r="E35" s="982" t="s">
        <v>955</v>
      </c>
      <c r="F35" s="1427" t="s">
        <v>9</v>
      </c>
      <c r="G35" s="1432">
        <v>65</v>
      </c>
      <c r="H35" s="1429" t="s">
        <v>735</v>
      </c>
      <c r="I35" s="1429" t="s">
        <v>52</v>
      </c>
      <c r="J35" s="1355" t="s">
        <v>356</v>
      </c>
      <c r="K35" s="774"/>
      <c r="L35" s="370"/>
      <c r="M35" s="1399">
        <v>44193</v>
      </c>
      <c r="N35" s="1400">
        <v>123</v>
      </c>
      <c r="O35" s="1413" t="s">
        <v>956</v>
      </c>
      <c r="P35" s="1400" t="s">
        <v>83</v>
      </c>
      <c r="Q35" s="1400">
        <v>64</v>
      </c>
      <c r="R35" s="1445" t="s">
        <v>51</v>
      </c>
      <c r="S35" s="783"/>
      <c r="T35" s="1068">
        <f t="shared" si="0"/>
        <v>7</v>
      </c>
      <c r="U35" s="341"/>
      <c r="V35" s="321"/>
      <c r="X35" s="321"/>
      <c r="Y35" s="321"/>
      <c r="Z35" s="321"/>
      <c r="AA35" s="321"/>
    </row>
    <row r="36" spans="1:37" ht="16.5" thickBot="1">
      <c r="A36" s="321"/>
      <c r="B36" s="339"/>
      <c r="C36" s="1424">
        <v>44175</v>
      </c>
      <c r="D36" s="1425"/>
      <c r="E36" s="1429" t="s">
        <v>957</v>
      </c>
      <c r="F36" s="1427" t="s">
        <v>9</v>
      </c>
      <c r="G36" s="1432">
        <v>64</v>
      </c>
      <c r="H36" s="1429" t="s">
        <v>755</v>
      </c>
      <c r="I36" s="1429" t="s">
        <v>53</v>
      </c>
      <c r="J36" s="1355" t="s">
        <v>625</v>
      </c>
      <c r="K36" s="774"/>
      <c r="L36" s="370"/>
      <c r="M36" s="1399">
        <v>44193</v>
      </c>
      <c r="N36" s="1400">
        <v>124</v>
      </c>
      <c r="O36" s="1413" t="s">
        <v>956</v>
      </c>
      <c r="P36" s="1400" t="s">
        <v>83</v>
      </c>
      <c r="Q36" s="1400">
        <v>65</v>
      </c>
      <c r="R36" s="1445" t="s">
        <v>51</v>
      </c>
      <c r="S36" s="783"/>
      <c r="T36" s="1068">
        <f t="shared" si="0"/>
        <v>0</v>
      </c>
      <c r="U36" s="341"/>
      <c r="V36" s="321"/>
      <c r="X36" s="321"/>
      <c r="Y36" s="321"/>
      <c r="Z36" s="321"/>
      <c r="AA36" s="321"/>
    </row>
    <row r="37" spans="1:37" ht="16.5" thickBot="1">
      <c r="A37" s="321"/>
      <c r="B37" s="339"/>
      <c r="C37" s="1424">
        <v>44173</v>
      </c>
      <c r="D37" s="1425">
        <v>109</v>
      </c>
      <c r="E37" s="1430" t="s">
        <v>958</v>
      </c>
      <c r="F37" s="1427" t="s">
        <v>8</v>
      </c>
      <c r="G37" s="1432">
        <v>64</v>
      </c>
      <c r="H37" s="1429" t="s">
        <v>611</v>
      </c>
      <c r="I37" s="1429" t="s">
        <v>49</v>
      </c>
      <c r="J37" s="1355" t="s">
        <v>356</v>
      </c>
      <c r="K37" s="774"/>
      <c r="L37" s="370"/>
      <c r="M37" s="1399">
        <v>44193</v>
      </c>
      <c r="N37" s="1400">
        <v>125</v>
      </c>
      <c r="O37" s="1413" t="s">
        <v>956</v>
      </c>
      <c r="P37" s="1400" t="s">
        <v>83</v>
      </c>
      <c r="Q37" s="1400">
        <v>40</v>
      </c>
      <c r="R37" s="1445" t="s">
        <v>51</v>
      </c>
      <c r="S37" s="783"/>
      <c r="T37" s="1068">
        <f t="shared" si="0"/>
        <v>1</v>
      </c>
      <c r="U37" s="341"/>
      <c r="V37" s="321"/>
      <c r="X37" s="321"/>
      <c r="Y37" s="321"/>
      <c r="Z37" s="321"/>
      <c r="AA37" s="321"/>
    </row>
    <row r="38" spans="1:37" ht="16.5" thickBot="1">
      <c r="A38" s="321"/>
      <c r="B38" s="339"/>
      <c r="C38" s="1424">
        <v>44174</v>
      </c>
      <c r="D38" s="1425">
        <v>109</v>
      </c>
      <c r="E38" s="1430" t="s">
        <v>959</v>
      </c>
      <c r="F38" s="1427" t="s">
        <v>9</v>
      </c>
      <c r="G38" s="1432">
        <v>64</v>
      </c>
      <c r="H38" s="1429" t="s">
        <v>611</v>
      </c>
      <c r="I38" s="1429" t="s">
        <v>49</v>
      </c>
      <c r="J38" s="1355" t="s">
        <v>356</v>
      </c>
      <c r="K38" s="774"/>
      <c r="L38" s="370"/>
      <c r="M38" s="1439">
        <v>44193</v>
      </c>
      <c r="N38" s="1440">
        <v>126</v>
      </c>
      <c r="O38" s="1441" t="s">
        <v>939</v>
      </c>
      <c r="P38" s="1440" t="s">
        <v>83</v>
      </c>
      <c r="Q38" s="1440">
        <v>64</v>
      </c>
      <c r="R38" s="1442" t="s">
        <v>51</v>
      </c>
      <c r="S38" s="980"/>
      <c r="T38" s="1068">
        <f t="shared" si="0"/>
        <v>1</v>
      </c>
      <c r="U38" s="341"/>
      <c r="V38" s="321"/>
      <c r="X38" s="321"/>
      <c r="Y38" s="321"/>
      <c r="Z38" s="321"/>
      <c r="AA38" s="321"/>
    </row>
    <row r="39" spans="1:37" ht="30">
      <c r="A39" s="321"/>
      <c r="B39" s="339"/>
      <c r="C39" s="1424">
        <v>44171</v>
      </c>
      <c r="D39" s="1425">
        <v>102</v>
      </c>
      <c r="E39" s="1436" t="s">
        <v>960</v>
      </c>
      <c r="F39" s="1427" t="s">
        <v>10</v>
      </c>
      <c r="G39" s="1432">
        <v>64</v>
      </c>
      <c r="H39" s="1429" t="s">
        <v>261</v>
      </c>
      <c r="I39" s="1429" t="s">
        <v>49</v>
      </c>
      <c r="J39" s="1355" t="s">
        <v>356</v>
      </c>
      <c r="K39" s="774"/>
      <c r="L39" s="370"/>
      <c r="U39" s="341"/>
      <c r="V39" s="321"/>
      <c r="X39" s="321"/>
      <c r="Y39" s="321"/>
      <c r="Z39" s="321"/>
      <c r="AA39" s="321"/>
    </row>
    <row r="40" spans="1:37">
      <c r="A40" s="321"/>
      <c r="B40" s="339"/>
      <c r="C40" s="1424" t="s">
        <v>961</v>
      </c>
      <c r="D40" s="1425"/>
      <c r="E40" s="1436" t="s">
        <v>962</v>
      </c>
      <c r="F40" s="1427" t="s">
        <v>8</v>
      </c>
      <c r="G40" s="1432">
        <v>64</v>
      </c>
      <c r="H40" s="1429" t="s">
        <v>684</v>
      </c>
      <c r="I40" s="1429" t="s">
        <v>52</v>
      </c>
      <c r="J40" s="1355" t="s">
        <v>356</v>
      </c>
      <c r="K40" s="774"/>
      <c r="L40" s="370"/>
      <c r="U40" s="341"/>
      <c r="V40" s="321"/>
      <c r="X40" s="321"/>
      <c r="Y40" s="321"/>
      <c r="Z40" s="321"/>
      <c r="AA40" s="321"/>
    </row>
    <row r="41" spans="1:37" ht="16.5" thickBot="1">
      <c r="A41" s="321"/>
      <c r="B41" s="339"/>
      <c r="C41" s="1424">
        <v>44177</v>
      </c>
      <c r="D41" s="1425">
        <v>103</v>
      </c>
      <c r="E41" s="1436" t="s">
        <v>963</v>
      </c>
      <c r="F41" s="1427" t="s">
        <v>8</v>
      </c>
      <c r="G41" s="1432">
        <v>65</v>
      </c>
      <c r="H41" s="1429" t="s">
        <v>311</v>
      </c>
      <c r="I41" s="1429" t="s">
        <v>52</v>
      </c>
      <c r="J41" s="1355" t="s">
        <v>356</v>
      </c>
      <c r="K41" s="1449"/>
      <c r="L41" s="358"/>
      <c r="M41" s="1399"/>
      <c r="N41" s="1400"/>
      <c r="O41" s="1413"/>
      <c r="P41" s="1400"/>
      <c r="Q41" s="1400"/>
      <c r="R41" s="1445"/>
      <c r="S41" s="783"/>
      <c r="T41" s="1068">
        <f t="shared" si="0"/>
        <v>0</v>
      </c>
      <c r="U41" s="341"/>
      <c r="V41" s="321"/>
      <c r="X41" s="321"/>
      <c r="Y41" s="321"/>
      <c r="Z41" s="321"/>
      <c r="AA41" s="321"/>
    </row>
    <row r="42" spans="1:37" s="362" customFormat="1">
      <c r="A42" s="360"/>
      <c r="B42" s="361"/>
      <c r="C42" s="1424">
        <v>44177</v>
      </c>
      <c r="D42" s="1425">
        <v>103</v>
      </c>
      <c r="E42" s="1436" t="s">
        <v>963</v>
      </c>
      <c r="F42" s="1427" t="s">
        <v>9</v>
      </c>
      <c r="G42" s="1432">
        <v>65</v>
      </c>
      <c r="H42" s="1429" t="s">
        <v>311</v>
      </c>
      <c r="I42" s="1429" t="s">
        <v>52</v>
      </c>
      <c r="J42" s="1355" t="s">
        <v>356</v>
      </c>
      <c r="K42" s="774"/>
      <c r="L42" s="370"/>
      <c r="M42" s="1036" t="s">
        <v>64</v>
      </c>
      <c r="N42" s="489"/>
      <c r="O42" s="346"/>
      <c r="P42" s="346"/>
      <c r="Q42" s="346"/>
      <c r="R42" s="346"/>
      <c r="S42" s="346"/>
      <c r="T42" s="373"/>
      <c r="U42" s="372"/>
      <c r="V42" s="360"/>
      <c r="W42" s="360"/>
      <c r="X42" s="360"/>
      <c r="Y42" s="360"/>
      <c r="Z42" s="360"/>
      <c r="AA42" s="360"/>
      <c r="AB42" s="360"/>
      <c r="AC42" s="360"/>
      <c r="AD42" s="360"/>
      <c r="AE42" s="360"/>
      <c r="AF42" s="360"/>
      <c r="AG42" s="360"/>
      <c r="AH42" s="360"/>
      <c r="AI42" s="360"/>
      <c r="AJ42" s="360"/>
      <c r="AK42" s="360"/>
    </row>
    <row r="43" spans="1:37" s="362" customFormat="1">
      <c r="A43" s="360"/>
      <c r="B43" s="361"/>
      <c r="C43" s="1424">
        <v>44177</v>
      </c>
      <c r="D43" s="1425">
        <v>103</v>
      </c>
      <c r="E43" s="1436" t="s">
        <v>963</v>
      </c>
      <c r="F43" s="1427" t="s">
        <v>9</v>
      </c>
      <c r="G43" s="1432">
        <v>65</v>
      </c>
      <c r="H43" s="995"/>
      <c r="I43" s="1429" t="s">
        <v>52</v>
      </c>
      <c r="J43" s="1355" t="s">
        <v>356</v>
      </c>
      <c r="K43" s="774"/>
      <c r="L43" s="370"/>
      <c r="M43" s="490" t="s">
        <v>128</v>
      </c>
      <c r="N43" s="450">
        <f>SUM(N44:N46)</f>
        <v>134</v>
      </c>
      <c r="O43" s="346"/>
      <c r="P43" s="346"/>
      <c r="Q43" s="346"/>
      <c r="R43" s="346"/>
      <c r="S43" s="346"/>
      <c r="T43" s="373"/>
      <c r="U43" s="372"/>
      <c r="V43" s="360"/>
      <c r="W43" s="360"/>
      <c r="X43" s="360"/>
      <c r="Y43" s="360"/>
      <c r="Z43" s="360"/>
      <c r="AA43" s="360"/>
      <c r="AB43" s="360"/>
      <c r="AC43" s="360"/>
      <c r="AD43" s="360"/>
      <c r="AE43" s="360"/>
      <c r="AF43" s="360"/>
      <c r="AG43" s="360"/>
      <c r="AH43" s="360"/>
      <c r="AI43" s="360"/>
      <c r="AJ43" s="360"/>
      <c r="AK43" s="360"/>
    </row>
    <row r="44" spans="1:37" s="362" customFormat="1">
      <c r="A44" s="360"/>
      <c r="B44" s="361"/>
      <c r="C44" s="1424">
        <v>44177</v>
      </c>
      <c r="D44" s="1425">
        <v>103</v>
      </c>
      <c r="E44" s="1436" t="s">
        <v>963</v>
      </c>
      <c r="F44" s="1427" t="s">
        <v>8</v>
      </c>
      <c r="G44" s="1432">
        <v>65</v>
      </c>
      <c r="H44" s="995"/>
      <c r="I44" s="1429" t="s">
        <v>52</v>
      </c>
      <c r="J44" s="1355" t="s">
        <v>356</v>
      </c>
      <c r="K44" s="774"/>
      <c r="L44" s="370"/>
      <c r="M44" s="491" t="s">
        <v>129</v>
      </c>
      <c r="N44" s="450">
        <f>COUNTIF(G$1:G238,40)</f>
        <v>27</v>
      </c>
      <c r="O44" s="346"/>
      <c r="P44" s="346"/>
      <c r="Q44" s="346"/>
      <c r="R44" s="346" t="s">
        <v>964</v>
      </c>
      <c r="S44" s="346"/>
      <c r="T44" s="373"/>
      <c r="U44" s="372"/>
      <c r="V44" s="360"/>
      <c r="W44" s="360"/>
      <c r="X44" s="360"/>
      <c r="Y44" s="360"/>
      <c r="Z44" s="360"/>
      <c r="AA44" s="360"/>
      <c r="AB44" s="360"/>
      <c r="AC44" s="360"/>
      <c r="AD44" s="360"/>
      <c r="AE44" s="360"/>
      <c r="AF44" s="360"/>
      <c r="AG44" s="360"/>
      <c r="AH44" s="360"/>
      <c r="AI44" s="360"/>
      <c r="AJ44" s="360"/>
      <c r="AK44" s="360"/>
    </row>
    <row r="45" spans="1:37">
      <c r="A45" s="321"/>
      <c r="B45" s="339"/>
      <c r="C45" s="1424">
        <v>44177</v>
      </c>
      <c r="D45" s="1425">
        <v>104</v>
      </c>
      <c r="E45" s="1426" t="s">
        <v>965</v>
      </c>
      <c r="F45" s="1427" t="s">
        <v>8</v>
      </c>
      <c r="G45" s="1432">
        <v>40</v>
      </c>
      <c r="H45" s="1429" t="s">
        <v>85</v>
      </c>
      <c r="I45" s="1429" t="s">
        <v>48</v>
      </c>
      <c r="J45" s="1355" t="s">
        <v>356</v>
      </c>
      <c r="K45" s="774"/>
      <c r="L45" s="370"/>
      <c r="M45" s="491" t="s">
        <v>132</v>
      </c>
      <c r="N45" s="450">
        <f>COUNTIF(G$1:G238,65)</f>
        <v>53</v>
      </c>
      <c r="O45" s="369"/>
      <c r="P45" s="369"/>
      <c r="Q45" s="369"/>
      <c r="R45" s="369"/>
      <c r="S45" s="369"/>
      <c r="T45" s="373"/>
      <c r="U45" s="341"/>
      <c r="V45" s="321"/>
      <c r="X45" s="321"/>
      <c r="Y45" s="321"/>
      <c r="Z45" s="321"/>
      <c r="AA45" s="321"/>
    </row>
    <row r="46" spans="1:37" s="362" customFormat="1" ht="16.5" thickBot="1">
      <c r="A46" s="360"/>
      <c r="B46" s="361"/>
      <c r="C46" s="1424">
        <v>44177</v>
      </c>
      <c r="D46" s="1425">
        <v>104</v>
      </c>
      <c r="E46" s="1426" t="s">
        <v>965</v>
      </c>
      <c r="F46" s="1427" t="s">
        <v>9</v>
      </c>
      <c r="G46" s="1432">
        <v>40</v>
      </c>
      <c r="H46" s="1429" t="s">
        <v>85</v>
      </c>
      <c r="I46" s="1429" t="s">
        <v>48</v>
      </c>
      <c r="J46" s="1355" t="s">
        <v>356</v>
      </c>
      <c r="K46" s="774"/>
      <c r="L46" s="370"/>
      <c r="M46" s="492" t="s">
        <v>134</v>
      </c>
      <c r="N46" s="456">
        <f>COUNTIF(G$1:G238,64)</f>
        <v>54</v>
      </c>
      <c r="O46" s="346"/>
      <c r="P46" s="346"/>
      <c r="Q46" s="346"/>
      <c r="R46" s="346"/>
      <c r="S46" s="346"/>
      <c r="T46" s="373"/>
      <c r="U46" s="372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  <c r="AF46" s="360"/>
      <c r="AG46" s="360"/>
      <c r="AH46" s="360"/>
      <c r="AI46" s="360"/>
      <c r="AJ46" s="360"/>
      <c r="AK46" s="360"/>
    </row>
    <row r="47" spans="1:37">
      <c r="A47" s="321"/>
      <c r="B47" s="339"/>
      <c r="C47" s="1424">
        <v>44179</v>
      </c>
      <c r="D47" s="1425">
        <v>95</v>
      </c>
      <c r="E47" s="1436" t="s">
        <v>966</v>
      </c>
      <c r="F47" s="1427" t="s">
        <v>9</v>
      </c>
      <c r="G47" s="1432">
        <v>40</v>
      </c>
      <c r="H47" s="1429" t="s">
        <v>967</v>
      </c>
      <c r="I47" s="1429" t="s">
        <v>47</v>
      </c>
      <c r="J47" s="1355" t="s">
        <v>356</v>
      </c>
      <c r="K47" s="774"/>
      <c r="L47" s="358"/>
      <c r="M47" s="373"/>
      <c r="N47" s="369"/>
      <c r="O47" s="369"/>
      <c r="P47" s="369"/>
      <c r="Q47" s="369"/>
      <c r="R47" s="369"/>
      <c r="S47" s="369"/>
      <c r="T47" s="373"/>
      <c r="U47" s="341"/>
      <c r="V47" s="321"/>
      <c r="X47" s="321"/>
      <c r="Y47" s="321"/>
      <c r="Z47" s="321"/>
      <c r="AA47" s="321"/>
    </row>
    <row r="48" spans="1:37" s="362" customFormat="1">
      <c r="A48" s="360"/>
      <c r="B48" s="361"/>
      <c r="C48" s="1424">
        <v>44181</v>
      </c>
      <c r="D48" s="1425">
        <v>1071</v>
      </c>
      <c r="E48" s="1436" t="s">
        <v>968</v>
      </c>
      <c r="F48" s="1427" t="s">
        <v>8</v>
      </c>
      <c r="G48" s="1432">
        <v>65</v>
      </c>
      <c r="H48" s="1429" t="s">
        <v>91</v>
      </c>
      <c r="I48" s="1429" t="s">
        <v>47</v>
      </c>
      <c r="J48" s="1355" t="s">
        <v>356</v>
      </c>
      <c r="K48" s="774"/>
      <c r="L48" s="358"/>
      <c r="M48" s="373"/>
      <c r="N48" s="346"/>
      <c r="O48" s="346"/>
      <c r="P48" s="346"/>
      <c r="Q48" s="346"/>
      <c r="R48" s="346"/>
      <c r="S48" s="346"/>
      <c r="T48" s="373"/>
      <c r="U48" s="372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  <c r="AF48" s="360"/>
      <c r="AG48" s="360"/>
      <c r="AH48" s="360"/>
      <c r="AI48" s="360"/>
      <c r="AJ48" s="360"/>
      <c r="AK48" s="360"/>
    </row>
    <row r="49" spans="1:37" s="362" customFormat="1">
      <c r="A49" s="360"/>
      <c r="B49" s="361"/>
      <c r="C49" s="1424">
        <v>44181</v>
      </c>
      <c r="D49" s="1425">
        <v>1071</v>
      </c>
      <c r="E49" s="1436" t="s">
        <v>968</v>
      </c>
      <c r="F49" s="1427" t="s">
        <v>9</v>
      </c>
      <c r="G49" s="1432">
        <v>65</v>
      </c>
      <c r="H49" s="1429" t="s">
        <v>91</v>
      </c>
      <c r="I49" s="1429" t="s">
        <v>47</v>
      </c>
      <c r="J49" s="1355" t="s">
        <v>356</v>
      </c>
      <c r="K49" s="774"/>
      <c r="L49" s="358"/>
      <c r="M49" s="379"/>
      <c r="N49" s="373"/>
      <c r="O49" s="686"/>
      <c r="P49" s="373"/>
      <c r="Q49" s="373"/>
      <c r="R49" s="373"/>
      <c r="S49" s="1709"/>
      <c r="T49" s="373"/>
      <c r="U49" s="372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/>
      <c r="AG49" s="360"/>
      <c r="AH49" s="360"/>
      <c r="AI49" s="360"/>
      <c r="AJ49" s="360"/>
      <c r="AK49" s="360"/>
    </row>
    <row r="50" spans="1:37" s="362" customFormat="1">
      <c r="A50" s="360"/>
      <c r="B50" s="361"/>
      <c r="C50" s="1424">
        <v>44181</v>
      </c>
      <c r="D50" s="1425">
        <v>1071</v>
      </c>
      <c r="E50" s="1436" t="s">
        <v>968</v>
      </c>
      <c r="F50" s="1427" t="s">
        <v>9</v>
      </c>
      <c r="G50" s="1432">
        <v>65</v>
      </c>
      <c r="H50" s="1429" t="s">
        <v>311</v>
      </c>
      <c r="I50" s="1429" t="s">
        <v>47</v>
      </c>
      <c r="J50" s="1355" t="s">
        <v>356</v>
      </c>
      <c r="K50" s="774"/>
      <c r="L50" s="358"/>
      <c r="M50" s="379"/>
      <c r="N50" s="373"/>
      <c r="O50" s="686"/>
      <c r="P50" s="373"/>
      <c r="Q50" s="373"/>
      <c r="R50" s="373"/>
      <c r="S50" s="1709"/>
      <c r="T50" s="373"/>
      <c r="U50" s="372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  <c r="AF50" s="360"/>
      <c r="AG50" s="360"/>
      <c r="AH50" s="360"/>
      <c r="AI50" s="360"/>
      <c r="AJ50" s="360"/>
      <c r="AK50" s="360"/>
    </row>
    <row r="51" spans="1:37" s="362" customFormat="1" ht="16.5" customHeight="1">
      <c r="A51" s="360"/>
      <c r="B51" s="361"/>
      <c r="C51" s="1424">
        <v>44181</v>
      </c>
      <c r="D51" s="1425">
        <v>1071</v>
      </c>
      <c r="E51" s="1436" t="s">
        <v>968</v>
      </c>
      <c r="F51" s="1427" t="s">
        <v>8</v>
      </c>
      <c r="G51" s="1432">
        <v>65</v>
      </c>
      <c r="H51" s="1429" t="s">
        <v>311</v>
      </c>
      <c r="I51" s="1429" t="s">
        <v>47</v>
      </c>
      <c r="J51" s="1355" t="s">
        <v>356</v>
      </c>
      <c r="K51" s="774"/>
      <c r="L51" s="358"/>
      <c r="M51" s="379"/>
      <c r="N51" s="373"/>
      <c r="O51" s="686"/>
      <c r="P51" s="373"/>
      <c r="Q51" s="373"/>
      <c r="R51" s="373"/>
      <c r="S51" s="1709"/>
      <c r="T51" s="373"/>
      <c r="U51" s="372"/>
      <c r="V51" s="360"/>
      <c r="W51" s="360"/>
      <c r="X51" s="360"/>
      <c r="Y51" s="360"/>
      <c r="Z51" s="360"/>
      <c r="AA51" s="360"/>
      <c r="AB51" s="360"/>
      <c r="AC51" s="360"/>
      <c r="AD51" s="360"/>
      <c r="AE51" s="360"/>
      <c r="AF51" s="360"/>
      <c r="AG51" s="360"/>
      <c r="AH51" s="360"/>
      <c r="AI51" s="360"/>
      <c r="AJ51" s="360"/>
      <c r="AK51" s="360"/>
    </row>
    <row r="52" spans="1:37" s="362" customFormat="1">
      <c r="A52" s="360"/>
      <c r="B52" s="361"/>
      <c r="C52" s="1424">
        <v>44181</v>
      </c>
      <c r="D52" s="1425"/>
      <c r="E52" s="1436" t="s">
        <v>969</v>
      </c>
      <c r="F52" s="1427" t="s">
        <v>8</v>
      </c>
      <c r="G52" s="1432">
        <v>64</v>
      </c>
      <c r="H52" s="1429" t="s">
        <v>556</v>
      </c>
      <c r="I52" s="1429" t="s">
        <v>52</v>
      </c>
      <c r="J52" s="1355" t="s">
        <v>356</v>
      </c>
      <c r="K52" s="774"/>
      <c r="L52" s="358"/>
      <c r="M52" s="379"/>
      <c r="N52" s="687"/>
      <c r="O52" s="686"/>
      <c r="P52" s="373"/>
      <c r="Q52" s="373"/>
      <c r="R52" s="373"/>
      <c r="S52" s="1709"/>
      <c r="T52" s="373"/>
      <c r="U52" s="372"/>
      <c r="V52" s="360"/>
      <c r="W52" s="360"/>
      <c r="X52" s="360"/>
      <c r="Y52" s="360"/>
      <c r="Z52" s="360"/>
      <c r="AA52" s="360"/>
      <c r="AB52" s="360"/>
      <c r="AC52" s="360"/>
      <c r="AD52" s="360"/>
      <c r="AE52" s="360"/>
      <c r="AF52" s="360"/>
      <c r="AG52" s="360"/>
      <c r="AH52" s="360"/>
      <c r="AI52" s="360"/>
      <c r="AJ52" s="360"/>
      <c r="AK52" s="360"/>
    </row>
    <row r="53" spans="1:37" s="362" customFormat="1">
      <c r="A53" s="360"/>
      <c r="B53" s="361"/>
      <c r="C53" s="1424">
        <v>44181</v>
      </c>
      <c r="D53" s="1425"/>
      <c r="E53" s="1436" t="s">
        <v>969</v>
      </c>
      <c r="F53" s="1427" t="s">
        <v>8</v>
      </c>
      <c r="G53" s="1432">
        <v>64</v>
      </c>
      <c r="H53" s="1429" t="s">
        <v>396</v>
      </c>
      <c r="I53" s="1429" t="s">
        <v>52</v>
      </c>
      <c r="J53" s="1355" t="s">
        <v>356</v>
      </c>
      <c r="K53" s="774"/>
      <c r="L53" s="370"/>
      <c r="M53" s="379"/>
      <c r="N53" s="687"/>
      <c r="O53" s="686"/>
      <c r="P53" s="373"/>
      <c r="Q53" s="373"/>
      <c r="R53" s="373"/>
      <c r="S53" s="1709"/>
      <c r="T53" s="373"/>
      <c r="U53" s="372"/>
      <c r="V53" s="360"/>
      <c r="W53" s="360"/>
      <c r="X53" s="360"/>
      <c r="Y53" s="360"/>
      <c r="Z53" s="360"/>
      <c r="AA53" s="360"/>
      <c r="AB53" s="360"/>
      <c r="AC53" s="360"/>
      <c r="AD53" s="360"/>
      <c r="AE53" s="360"/>
      <c r="AF53" s="360"/>
      <c r="AG53" s="360"/>
      <c r="AH53" s="360"/>
      <c r="AI53" s="360"/>
      <c r="AJ53" s="360"/>
      <c r="AK53" s="360"/>
    </row>
    <row r="54" spans="1:37" s="362" customFormat="1">
      <c r="A54" s="360"/>
      <c r="B54" s="361"/>
      <c r="C54" s="1424">
        <v>44181</v>
      </c>
      <c r="D54" s="1425"/>
      <c r="E54" s="1436" t="s">
        <v>969</v>
      </c>
      <c r="F54" s="1427" t="s">
        <v>9</v>
      </c>
      <c r="G54" s="1432">
        <v>64</v>
      </c>
      <c r="H54" s="1429" t="s">
        <v>396</v>
      </c>
      <c r="I54" s="1429" t="s">
        <v>52</v>
      </c>
      <c r="J54" s="1355" t="s">
        <v>356</v>
      </c>
      <c r="K54" s="774"/>
      <c r="L54" s="370"/>
      <c r="M54" s="379"/>
      <c r="N54" s="687"/>
      <c r="O54" s="686"/>
      <c r="P54" s="373"/>
      <c r="Q54" s="373"/>
      <c r="R54" s="373"/>
      <c r="S54" s="1709"/>
      <c r="T54" s="373"/>
      <c r="U54" s="372"/>
      <c r="V54" s="360"/>
      <c r="W54" s="360"/>
      <c r="X54" s="360"/>
      <c r="Y54" s="360"/>
      <c r="Z54" s="360"/>
      <c r="AA54" s="360"/>
      <c r="AB54" s="360"/>
      <c r="AC54" s="360"/>
      <c r="AD54" s="360"/>
      <c r="AE54" s="360"/>
      <c r="AF54" s="360"/>
      <c r="AG54" s="360"/>
      <c r="AH54" s="360"/>
      <c r="AI54" s="360"/>
      <c r="AJ54" s="360"/>
      <c r="AK54" s="360"/>
    </row>
    <row r="55" spans="1:37">
      <c r="A55" s="321"/>
      <c r="B55" s="339"/>
      <c r="C55" s="1424">
        <v>44181</v>
      </c>
      <c r="D55" s="1425"/>
      <c r="E55" s="1436" t="s">
        <v>970</v>
      </c>
      <c r="F55" s="1427" t="s">
        <v>9</v>
      </c>
      <c r="G55" s="1432">
        <v>64</v>
      </c>
      <c r="H55" s="1429" t="s">
        <v>396</v>
      </c>
      <c r="I55" s="1429" t="s">
        <v>53</v>
      </c>
      <c r="J55" s="1355" t="s">
        <v>356</v>
      </c>
      <c r="K55" s="774"/>
      <c r="L55" s="370"/>
      <c r="M55" s="379"/>
      <c r="N55" s="669"/>
      <c r="O55" s="669"/>
      <c r="P55" s="669"/>
      <c r="Q55" s="669"/>
      <c r="R55" s="669"/>
      <c r="S55" s="1041"/>
      <c r="T55" s="669"/>
      <c r="U55" s="341"/>
      <c r="V55" s="321"/>
      <c r="X55" s="321"/>
      <c r="Y55" s="321"/>
      <c r="Z55" s="321"/>
      <c r="AA55" s="321"/>
    </row>
    <row r="56" spans="1:37">
      <c r="A56" s="321"/>
      <c r="B56" s="339"/>
      <c r="C56" s="1424">
        <v>44182</v>
      </c>
      <c r="D56" s="1425"/>
      <c r="E56" s="1436" t="s">
        <v>970</v>
      </c>
      <c r="F56" s="1427" t="s">
        <v>8</v>
      </c>
      <c r="G56" s="1432">
        <v>64</v>
      </c>
      <c r="H56" s="1429" t="s">
        <v>396</v>
      </c>
      <c r="I56" s="1429" t="s">
        <v>53</v>
      </c>
      <c r="J56" s="1355" t="s">
        <v>356</v>
      </c>
      <c r="K56" s="774"/>
      <c r="L56" s="370"/>
      <c r="M56" s="379"/>
      <c r="N56" s="373"/>
      <c r="O56" s="688"/>
      <c r="P56" s="373"/>
      <c r="Q56" s="373"/>
      <c r="R56" s="686"/>
      <c r="S56" s="1041"/>
      <c r="T56" s="669"/>
      <c r="U56" s="341"/>
      <c r="V56" s="321"/>
      <c r="X56" s="321"/>
      <c r="Y56" s="321"/>
      <c r="Z56" s="321"/>
      <c r="AA56" s="321"/>
    </row>
    <row r="57" spans="1:37">
      <c r="A57" s="321"/>
      <c r="B57" s="339"/>
      <c r="C57" s="1424">
        <v>44183</v>
      </c>
      <c r="D57" s="1450"/>
      <c r="E57" s="1429" t="s">
        <v>971</v>
      </c>
      <c r="F57" s="1427" t="s">
        <v>8</v>
      </c>
      <c r="G57" s="1432">
        <v>65</v>
      </c>
      <c r="H57" s="1429" t="s">
        <v>311</v>
      </c>
      <c r="I57" s="1429" t="s">
        <v>51</v>
      </c>
      <c r="J57" s="1355" t="s">
        <v>92</v>
      </c>
      <c r="K57" s="774"/>
      <c r="L57" s="370"/>
      <c r="M57" s="379"/>
      <c r="N57" s="373"/>
      <c r="O57" s="686"/>
      <c r="P57" s="373"/>
      <c r="Q57" s="669"/>
      <c r="R57" s="669"/>
      <c r="S57" s="1041"/>
      <c r="T57" s="669"/>
      <c r="U57" s="341"/>
      <c r="V57" s="321"/>
      <c r="X57" s="321"/>
      <c r="Y57" s="321"/>
      <c r="Z57" s="321"/>
      <c r="AA57" s="321"/>
    </row>
    <row r="58" spans="1:37">
      <c r="A58" s="321"/>
      <c r="B58" s="339"/>
      <c r="C58" s="1424">
        <v>44183</v>
      </c>
      <c r="D58" s="1450"/>
      <c r="E58" s="1429" t="s">
        <v>971</v>
      </c>
      <c r="F58" s="1427" t="s">
        <v>9</v>
      </c>
      <c r="G58" s="1432">
        <v>65</v>
      </c>
      <c r="H58" s="1429" t="s">
        <v>311</v>
      </c>
      <c r="I58" s="1429" t="s">
        <v>51</v>
      </c>
      <c r="J58" s="1355" t="s">
        <v>92</v>
      </c>
      <c r="K58" s="774"/>
      <c r="L58" s="375"/>
      <c r="M58" s="379"/>
      <c r="N58" s="669"/>
      <c r="O58" s="686"/>
      <c r="P58" s="373"/>
      <c r="Q58" s="669"/>
      <c r="R58" s="669"/>
      <c r="S58" s="1041"/>
      <c r="T58" s="669"/>
      <c r="U58" s="341"/>
      <c r="V58" s="321"/>
      <c r="X58" s="321"/>
      <c r="Y58" s="321"/>
      <c r="Z58" s="321"/>
      <c r="AA58" s="321"/>
    </row>
    <row r="59" spans="1:37" s="362" customFormat="1">
      <c r="A59" s="360"/>
      <c r="B59" s="361"/>
      <c r="C59" s="1424">
        <v>44183</v>
      </c>
      <c r="D59" s="1450"/>
      <c r="E59" s="1429" t="s">
        <v>971</v>
      </c>
      <c r="F59" s="1427" t="s">
        <v>8</v>
      </c>
      <c r="G59" s="1432">
        <v>65</v>
      </c>
      <c r="H59" s="1429" t="s">
        <v>91</v>
      </c>
      <c r="I59" s="1429" t="s">
        <v>51</v>
      </c>
      <c r="J59" s="1355" t="s">
        <v>92</v>
      </c>
      <c r="K59" s="774"/>
      <c r="L59" s="358"/>
      <c r="M59" s="373"/>
      <c r="N59" s="346"/>
      <c r="O59" s="346"/>
      <c r="P59" s="373"/>
      <c r="Q59" s="346"/>
      <c r="R59" s="346"/>
      <c r="S59" s="1041"/>
      <c r="T59" s="346"/>
      <c r="U59" s="372"/>
      <c r="V59" s="360"/>
      <c r="W59" s="360"/>
      <c r="X59" s="360"/>
      <c r="Y59" s="360"/>
      <c r="Z59" s="360"/>
      <c r="AA59" s="360"/>
      <c r="AB59" s="360"/>
      <c r="AC59" s="360"/>
      <c r="AD59" s="360"/>
      <c r="AE59" s="360"/>
      <c r="AF59" s="360"/>
      <c r="AG59" s="360"/>
      <c r="AH59" s="360"/>
      <c r="AI59" s="360"/>
      <c r="AJ59" s="360"/>
      <c r="AK59" s="360"/>
    </row>
    <row r="60" spans="1:37" s="362" customFormat="1" ht="21.75" customHeight="1">
      <c r="A60" s="360"/>
      <c r="B60" s="361"/>
      <c r="C60" s="1424">
        <v>44183</v>
      </c>
      <c r="D60" s="1450"/>
      <c r="E60" s="1429" t="s">
        <v>971</v>
      </c>
      <c r="F60" s="1427" t="s">
        <v>9</v>
      </c>
      <c r="G60" s="1432">
        <v>65</v>
      </c>
      <c r="H60" s="1429" t="s">
        <v>91</v>
      </c>
      <c r="I60" s="1429" t="s">
        <v>51</v>
      </c>
      <c r="J60" s="1355" t="s">
        <v>92</v>
      </c>
      <c r="K60" s="774"/>
      <c r="L60" s="370"/>
      <c r="M60" s="978" t="s">
        <v>888</v>
      </c>
      <c r="N60" s="669"/>
      <c r="O60" s="373"/>
      <c r="P60" s="346"/>
      <c r="Q60" s="669"/>
      <c r="R60" s="669"/>
      <c r="S60" s="1041"/>
      <c r="T60" s="669"/>
      <c r="U60" s="372"/>
      <c r="V60" s="360"/>
      <c r="W60" s="360"/>
      <c r="X60" s="360"/>
      <c r="Y60" s="360"/>
      <c r="Z60" s="360"/>
      <c r="AA60" s="360"/>
      <c r="AB60" s="360"/>
      <c r="AC60" s="360"/>
      <c r="AD60" s="360"/>
      <c r="AE60" s="360"/>
      <c r="AF60" s="360"/>
      <c r="AG60" s="360"/>
      <c r="AH60" s="360"/>
      <c r="AI60" s="360"/>
      <c r="AJ60" s="360"/>
      <c r="AK60" s="360"/>
    </row>
    <row r="61" spans="1:37" s="362" customFormat="1">
      <c r="A61" s="360"/>
      <c r="B61" s="361"/>
      <c r="C61" s="1424">
        <v>44183</v>
      </c>
      <c r="D61" s="1450"/>
      <c r="E61" s="1429" t="s">
        <v>972</v>
      </c>
      <c r="F61" s="1427" t="s">
        <v>9</v>
      </c>
      <c r="G61" s="1432">
        <v>64</v>
      </c>
      <c r="H61" s="1429" t="s">
        <v>605</v>
      </c>
      <c r="I61" s="1429"/>
      <c r="J61" s="1390" t="s">
        <v>356</v>
      </c>
      <c r="K61" s="774"/>
      <c r="L61" s="370"/>
      <c r="M61" s="978" t="s">
        <v>888</v>
      </c>
      <c r="N61" s="687"/>
      <c r="O61" s="686"/>
      <c r="P61" s="373"/>
      <c r="Q61" s="373"/>
      <c r="R61" s="373"/>
      <c r="S61" s="1709"/>
      <c r="T61" s="373"/>
      <c r="U61" s="372"/>
      <c r="V61" s="360"/>
      <c r="W61" s="360"/>
      <c r="X61" s="360"/>
      <c r="Y61" s="360"/>
      <c r="Z61" s="360"/>
      <c r="AA61" s="360"/>
      <c r="AB61" s="360"/>
      <c r="AC61" s="360"/>
      <c r="AD61" s="360"/>
      <c r="AE61" s="360"/>
      <c r="AF61" s="360"/>
      <c r="AG61" s="360"/>
      <c r="AH61" s="360"/>
      <c r="AI61" s="360"/>
      <c r="AJ61" s="360"/>
      <c r="AK61" s="360"/>
    </row>
    <row r="62" spans="1:37" s="362" customFormat="1">
      <c r="A62" s="360"/>
      <c r="B62" s="361"/>
      <c r="C62" s="1424">
        <v>44183</v>
      </c>
      <c r="D62" s="1450"/>
      <c r="E62" s="1429" t="s">
        <v>972</v>
      </c>
      <c r="F62" s="1427" t="s">
        <v>8</v>
      </c>
      <c r="G62" s="1432">
        <v>64</v>
      </c>
      <c r="H62" s="1429" t="s">
        <v>611</v>
      </c>
      <c r="I62" s="1429"/>
      <c r="J62" s="1390" t="s">
        <v>356</v>
      </c>
      <c r="K62" s="774"/>
      <c r="L62" s="370"/>
      <c r="M62" s="379"/>
      <c r="N62" s="687"/>
      <c r="O62" s="686"/>
      <c r="P62" s="373"/>
      <c r="Q62" s="373"/>
      <c r="R62" s="373"/>
      <c r="S62" s="1709"/>
      <c r="T62" s="373"/>
      <c r="U62" s="372"/>
      <c r="V62" s="360"/>
      <c r="W62" s="360"/>
      <c r="X62" s="360"/>
      <c r="Y62" s="360"/>
      <c r="Z62" s="360"/>
      <c r="AA62" s="360"/>
      <c r="AB62" s="360"/>
      <c r="AC62" s="360"/>
      <c r="AD62" s="360"/>
      <c r="AE62" s="360"/>
      <c r="AF62" s="360"/>
      <c r="AG62" s="360"/>
      <c r="AH62" s="360"/>
      <c r="AI62" s="360"/>
      <c r="AJ62" s="360"/>
      <c r="AK62" s="360"/>
    </row>
    <row r="63" spans="1:37" s="362" customFormat="1">
      <c r="A63" s="360"/>
      <c r="B63" s="361"/>
      <c r="C63" s="1386">
        <v>44183</v>
      </c>
      <c r="D63" s="1451"/>
      <c r="E63" s="1387" t="s">
        <v>973</v>
      </c>
      <c r="F63" s="1355" t="s">
        <v>8</v>
      </c>
      <c r="G63" s="1452">
        <v>40</v>
      </c>
      <c r="H63" s="1453" t="s">
        <v>85</v>
      </c>
      <c r="I63" s="1387" t="s">
        <v>47</v>
      </c>
      <c r="J63" s="1390" t="s">
        <v>356</v>
      </c>
      <c r="K63" s="774"/>
      <c r="L63" s="370"/>
      <c r="M63" s="379"/>
      <c r="N63" s="687"/>
      <c r="O63" s="686"/>
      <c r="P63" s="373"/>
      <c r="Q63" s="373"/>
      <c r="R63" s="373"/>
      <c r="S63" s="1709"/>
      <c r="T63" s="373"/>
      <c r="U63" s="372"/>
      <c r="V63" s="360"/>
      <c r="W63" s="360"/>
      <c r="X63" s="360"/>
      <c r="Y63" s="360"/>
      <c r="Z63" s="360"/>
      <c r="AA63" s="360"/>
      <c r="AB63" s="360"/>
      <c r="AC63" s="360"/>
      <c r="AD63" s="360"/>
      <c r="AE63" s="360"/>
      <c r="AF63" s="360"/>
      <c r="AG63" s="360"/>
      <c r="AH63" s="360"/>
      <c r="AI63" s="360"/>
      <c r="AJ63" s="360"/>
      <c r="AK63" s="360"/>
    </row>
    <row r="64" spans="1:37" s="362" customFormat="1">
      <c r="A64" s="360"/>
      <c r="B64" s="361"/>
      <c r="C64" s="1386">
        <v>44183</v>
      </c>
      <c r="D64" s="1451"/>
      <c r="E64" s="1387" t="s">
        <v>973</v>
      </c>
      <c r="F64" s="1355" t="s">
        <v>9</v>
      </c>
      <c r="G64" s="1452">
        <v>40</v>
      </c>
      <c r="H64" s="1453" t="s">
        <v>85</v>
      </c>
      <c r="I64" s="1387" t="s">
        <v>47</v>
      </c>
      <c r="J64" s="1390" t="s">
        <v>356</v>
      </c>
      <c r="K64" s="979"/>
      <c r="L64" s="370"/>
      <c r="M64" s="373"/>
      <c r="N64" s="346" t="s">
        <v>974</v>
      </c>
      <c r="O64" s="346"/>
      <c r="P64" s="346"/>
      <c r="Q64" s="346"/>
      <c r="R64" s="346"/>
      <c r="S64" s="346"/>
      <c r="T64" s="346"/>
      <c r="U64" s="372"/>
      <c r="V64" s="360"/>
      <c r="W64" s="360"/>
      <c r="X64" s="360"/>
      <c r="Y64" s="360"/>
      <c r="Z64" s="360"/>
      <c r="AA64" s="360"/>
      <c r="AB64" s="360"/>
      <c r="AC64" s="360"/>
      <c r="AD64" s="360"/>
      <c r="AE64" s="360"/>
      <c r="AF64" s="360"/>
      <c r="AG64" s="360"/>
      <c r="AH64" s="360"/>
      <c r="AI64" s="360"/>
      <c r="AJ64" s="360"/>
      <c r="AK64" s="360"/>
    </row>
    <row r="65" spans="1:37" s="362" customFormat="1">
      <c r="A65" s="360"/>
      <c r="B65" s="361"/>
      <c r="C65" s="1454">
        <v>44183</v>
      </c>
      <c r="D65" s="1451"/>
      <c r="E65" s="1387" t="s">
        <v>975</v>
      </c>
      <c r="F65" s="1355" t="s">
        <v>8</v>
      </c>
      <c r="G65" s="1452">
        <v>65</v>
      </c>
      <c r="H65" s="1387" t="s">
        <v>735</v>
      </c>
      <c r="I65" s="1387" t="s">
        <v>50</v>
      </c>
      <c r="J65" s="1390" t="s">
        <v>356</v>
      </c>
      <c r="K65" s="770"/>
      <c r="L65" s="375"/>
      <c r="M65" s="373"/>
      <c r="N65" s="346"/>
      <c r="O65" s="346"/>
      <c r="P65" s="346"/>
      <c r="Q65" s="346"/>
      <c r="R65" s="346"/>
      <c r="S65" s="346"/>
      <c r="T65" s="346"/>
      <c r="U65" s="372"/>
      <c r="V65" s="327"/>
      <c r="W65" s="327"/>
      <c r="X65" s="689"/>
      <c r="Y65" s="326"/>
      <c r="Z65" s="328"/>
      <c r="AA65" s="1306"/>
      <c r="AB65" s="1306"/>
      <c r="AC65" s="1306"/>
      <c r="AD65" s="1306"/>
      <c r="AE65" s="326"/>
      <c r="AF65" s="326"/>
      <c r="AG65" s="321"/>
      <c r="AH65" s="321"/>
      <c r="AI65" s="360"/>
      <c r="AJ65" s="360"/>
      <c r="AK65" s="360"/>
    </row>
    <row r="66" spans="1:37" s="362" customFormat="1">
      <c r="A66" s="360"/>
      <c r="B66" s="361"/>
      <c r="C66" s="1454">
        <v>44183</v>
      </c>
      <c r="D66" s="1455"/>
      <c r="E66" s="1387" t="s">
        <v>976</v>
      </c>
      <c r="F66" s="1355" t="s">
        <v>8</v>
      </c>
      <c r="G66" s="1452">
        <v>65</v>
      </c>
      <c r="H66" s="1387" t="s">
        <v>735</v>
      </c>
      <c r="I66" s="1387" t="s">
        <v>51</v>
      </c>
      <c r="J66" s="1355" t="s">
        <v>92</v>
      </c>
      <c r="K66" s="774"/>
      <c r="L66" s="358"/>
      <c r="M66" s="373"/>
      <c r="N66" s="346"/>
      <c r="O66" s="346"/>
      <c r="P66" s="346"/>
      <c r="Q66" s="346"/>
      <c r="R66" s="346"/>
      <c r="S66" s="346"/>
      <c r="T66" s="346"/>
      <c r="U66" s="372"/>
      <c r="V66" s="327"/>
      <c r="W66" s="327"/>
      <c r="X66" s="689"/>
      <c r="Y66" s="326"/>
      <c r="Z66" s="328"/>
      <c r="AA66" s="1306"/>
      <c r="AB66" s="1306"/>
      <c r="AC66" s="1306"/>
      <c r="AD66" s="1306"/>
      <c r="AE66" s="326"/>
      <c r="AF66" s="326"/>
      <c r="AG66" s="321"/>
      <c r="AH66" s="321"/>
      <c r="AI66" s="360"/>
      <c r="AJ66" s="360"/>
      <c r="AK66" s="360"/>
    </row>
    <row r="67" spans="1:37" s="362" customFormat="1">
      <c r="A67" s="360"/>
      <c r="B67" s="361"/>
      <c r="C67" s="1456">
        <v>44184</v>
      </c>
      <c r="D67" s="1450">
        <v>106</v>
      </c>
      <c r="E67" s="1429" t="s">
        <v>977</v>
      </c>
      <c r="F67" s="1427" t="s">
        <v>8</v>
      </c>
      <c r="G67" s="1432">
        <v>65</v>
      </c>
      <c r="H67" s="1429" t="s">
        <v>91</v>
      </c>
      <c r="I67" s="1429" t="s">
        <v>47</v>
      </c>
      <c r="J67" s="1390" t="s">
        <v>356</v>
      </c>
      <c r="K67" s="1449"/>
      <c r="L67" s="358"/>
      <c r="M67" s="373"/>
      <c r="N67" s="346"/>
      <c r="O67" s="346"/>
      <c r="P67" s="346"/>
      <c r="Q67" s="346"/>
      <c r="R67" s="346"/>
      <c r="S67" s="346"/>
      <c r="T67" s="346"/>
      <c r="U67" s="372"/>
      <c r="V67" s="327"/>
      <c r="W67" s="327"/>
      <c r="X67" s="689"/>
      <c r="Y67" s="326"/>
      <c r="Z67" s="328"/>
      <c r="AA67" s="1306"/>
      <c r="AB67" s="1306"/>
      <c r="AC67" s="1306"/>
      <c r="AD67" s="1306"/>
      <c r="AE67" s="326"/>
      <c r="AF67" s="326"/>
      <c r="AG67" s="321"/>
      <c r="AH67" s="321"/>
      <c r="AI67" s="360"/>
      <c r="AJ67" s="360"/>
      <c r="AK67" s="360"/>
    </row>
    <row r="68" spans="1:37" s="362" customFormat="1">
      <c r="A68" s="360"/>
      <c r="B68" s="361"/>
      <c r="C68" s="1456">
        <v>44184</v>
      </c>
      <c r="D68" s="1450">
        <v>106</v>
      </c>
      <c r="E68" s="1429" t="s">
        <v>977</v>
      </c>
      <c r="F68" s="1427" t="s">
        <v>9</v>
      </c>
      <c r="G68" s="1432">
        <v>65</v>
      </c>
      <c r="H68" s="1429" t="s">
        <v>91</v>
      </c>
      <c r="I68" s="1429" t="s">
        <v>47</v>
      </c>
      <c r="J68" s="1390" t="s">
        <v>356</v>
      </c>
      <c r="K68" s="774"/>
      <c r="L68" s="358"/>
      <c r="M68" s="373"/>
      <c r="N68" s="369"/>
      <c r="O68" s="346"/>
      <c r="P68" s="346"/>
      <c r="Q68" s="346"/>
      <c r="R68" s="346"/>
      <c r="S68" s="346"/>
      <c r="T68" s="346"/>
      <c r="U68" s="372"/>
      <c r="V68" s="327"/>
      <c r="W68" s="327"/>
      <c r="X68" s="689"/>
      <c r="Y68" s="326"/>
      <c r="Z68" s="328"/>
      <c r="AA68" s="1306"/>
      <c r="AB68" s="1306"/>
      <c r="AC68" s="1306"/>
      <c r="AD68" s="1306"/>
      <c r="AE68" s="326"/>
      <c r="AF68" s="326"/>
      <c r="AG68" s="321"/>
      <c r="AH68" s="321"/>
      <c r="AI68" s="360"/>
      <c r="AJ68" s="360"/>
      <c r="AK68" s="360"/>
    </row>
    <row r="69" spans="1:37" s="362" customFormat="1">
      <c r="A69" s="360"/>
      <c r="B69" s="361"/>
      <c r="C69" s="1457">
        <v>44184</v>
      </c>
      <c r="D69" s="1458">
        <v>113</v>
      </c>
      <c r="E69" s="1459" t="s">
        <v>978</v>
      </c>
      <c r="F69" s="1460" t="s">
        <v>8</v>
      </c>
      <c r="G69" s="1461">
        <v>64</v>
      </c>
      <c r="H69" s="1459" t="s">
        <v>556</v>
      </c>
      <c r="I69" s="1459" t="s">
        <v>47</v>
      </c>
      <c r="J69" s="1390" t="s">
        <v>356</v>
      </c>
      <c r="K69" s="1449"/>
      <c r="L69" s="358"/>
      <c r="M69" s="373"/>
      <c r="N69" s="369"/>
      <c r="O69" s="346"/>
      <c r="P69" s="346"/>
      <c r="Q69" s="346"/>
      <c r="R69" s="346"/>
      <c r="S69" s="346"/>
      <c r="T69" s="346"/>
      <c r="U69" s="372"/>
      <c r="V69" s="327"/>
      <c r="W69" s="327"/>
      <c r="X69" s="689"/>
      <c r="Y69" s="326"/>
      <c r="Z69" s="328"/>
      <c r="AA69" s="1306"/>
      <c r="AB69" s="1306"/>
      <c r="AC69" s="1306"/>
      <c r="AD69" s="1306"/>
      <c r="AE69" s="326"/>
      <c r="AF69" s="326"/>
      <c r="AG69" s="321"/>
      <c r="AH69" s="321"/>
      <c r="AI69" s="360"/>
      <c r="AJ69" s="360"/>
      <c r="AK69" s="360"/>
    </row>
    <row r="70" spans="1:37" s="362" customFormat="1">
      <c r="A70" s="360"/>
      <c r="B70" s="361"/>
      <c r="C70" s="1457">
        <v>44184</v>
      </c>
      <c r="D70" s="1458">
        <v>113</v>
      </c>
      <c r="E70" s="1459" t="s">
        <v>978</v>
      </c>
      <c r="F70" s="1460" t="s">
        <v>8</v>
      </c>
      <c r="G70" s="1461">
        <v>64</v>
      </c>
      <c r="H70" s="1459" t="s">
        <v>396</v>
      </c>
      <c r="I70" s="1459" t="s">
        <v>47</v>
      </c>
      <c r="J70" s="1390" t="s">
        <v>356</v>
      </c>
      <c r="K70" s="1449"/>
      <c r="L70" s="358"/>
      <c r="M70" s="373"/>
      <c r="N70" s="369"/>
      <c r="O70" s="346"/>
      <c r="P70" s="346"/>
      <c r="Q70" s="346"/>
      <c r="R70" s="346"/>
      <c r="S70" s="346"/>
      <c r="T70" s="346"/>
      <c r="U70" s="372"/>
      <c r="V70" s="327"/>
      <c r="W70" s="327"/>
      <c r="X70" s="689"/>
      <c r="Y70" s="326"/>
      <c r="Z70" s="328"/>
      <c r="AA70" s="1306"/>
      <c r="AB70" s="1306"/>
      <c r="AC70" s="1306"/>
      <c r="AD70" s="1306"/>
      <c r="AE70" s="326"/>
      <c r="AF70" s="326"/>
      <c r="AG70" s="321"/>
      <c r="AH70" s="321"/>
      <c r="AI70" s="360"/>
      <c r="AJ70" s="360"/>
      <c r="AK70" s="360"/>
    </row>
    <row r="71" spans="1:37" s="362" customFormat="1">
      <c r="A71" s="360"/>
      <c r="B71" s="361"/>
      <c r="C71" s="1457">
        <v>44184</v>
      </c>
      <c r="D71" s="1458">
        <v>113</v>
      </c>
      <c r="E71" s="1459" t="s">
        <v>978</v>
      </c>
      <c r="F71" s="1460" t="s">
        <v>9</v>
      </c>
      <c r="G71" s="1461">
        <v>64</v>
      </c>
      <c r="H71" s="1459" t="s">
        <v>396</v>
      </c>
      <c r="I71" s="1459" t="s">
        <v>47</v>
      </c>
      <c r="J71" s="1390" t="s">
        <v>356</v>
      </c>
      <c r="K71" s="774"/>
      <c r="L71" s="358"/>
      <c r="M71" s="373"/>
      <c r="N71" s="369"/>
      <c r="O71" s="346"/>
      <c r="P71" s="346"/>
      <c r="Q71" s="346"/>
      <c r="R71" s="346"/>
      <c r="S71" s="346"/>
      <c r="T71" s="346"/>
      <c r="U71" s="372"/>
      <c r="V71" s="327"/>
      <c r="W71" s="327"/>
      <c r="X71" s="689"/>
      <c r="Y71" s="326"/>
      <c r="Z71" s="690"/>
      <c r="AA71" s="691"/>
      <c r="AB71" s="691"/>
      <c r="AC71" s="326"/>
      <c r="AD71" s="326"/>
      <c r="AE71" s="326"/>
      <c r="AF71" s="326"/>
      <c r="AG71" s="321"/>
      <c r="AH71" s="321"/>
      <c r="AI71" s="360"/>
      <c r="AJ71" s="360"/>
      <c r="AK71" s="360"/>
    </row>
    <row r="72" spans="1:37" s="362" customFormat="1" ht="16.5" thickBot="1">
      <c r="A72" s="360"/>
      <c r="B72" s="361"/>
      <c r="C72" s="1462">
        <v>44185</v>
      </c>
      <c r="D72" s="1463"/>
      <c r="E72" s="1464" t="s">
        <v>979</v>
      </c>
      <c r="F72" s="1465" t="s">
        <v>8</v>
      </c>
      <c r="G72" s="1466">
        <v>65</v>
      </c>
      <c r="H72" s="1387" t="s">
        <v>311</v>
      </c>
      <c r="I72" s="1467" t="s">
        <v>47</v>
      </c>
      <c r="J72" s="1390" t="s">
        <v>356</v>
      </c>
      <c r="K72" s="774"/>
      <c r="L72" s="353"/>
      <c r="M72" s="373"/>
      <c r="N72" s="369"/>
      <c r="O72" s="346"/>
      <c r="P72" s="346"/>
      <c r="Q72" s="346"/>
      <c r="R72" s="346"/>
      <c r="S72" s="346"/>
      <c r="T72" s="346"/>
      <c r="U72" s="372"/>
      <c r="V72" s="327"/>
      <c r="W72" s="327"/>
      <c r="X72" s="689"/>
      <c r="Y72" s="326"/>
      <c r="Z72" s="326"/>
      <c r="AA72" s="326"/>
      <c r="AB72" s="326"/>
      <c r="AC72" s="326"/>
      <c r="AD72" s="326"/>
      <c r="AE72" s="326"/>
      <c r="AF72" s="326"/>
      <c r="AG72" s="321"/>
      <c r="AH72" s="321"/>
      <c r="AI72" s="360"/>
      <c r="AJ72" s="360"/>
      <c r="AK72" s="360"/>
    </row>
    <row r="73" spans="1:37" s="362" customFormat="1" ht="16.5" thickBot="1">
      <c r="A73" s="360"/>
      <c r="B73" s="361"/>
      <c r="C73" s="1462">
        <v>44185</v>
      </c>
      <c r="D73" s="1463"/>
      <c r="E73" s="1464" t="s">
        <v>979</v>
      </c>
      <c r="F73" s="1465" t="s">
        <v>9</v>
      </c>
      <c r="G73" s="1466">
        <v>65</v>
      </c>
      <c r="H73" s="1387" t="s">
        <v>311</v>
      </c>
      <c r="I73" s="1467" t="s">
        <v>47</v>
      </c>
      <c r="J73" s="1390" t="s">
        <v>356</v>
      </c>
      <c r="K73" s="774"/>
      <c r="L73" s="353"/>
      <c r="M73" s="373"/>
      <c r="N73" s="369"/>
      <c r="O73" s="346"/>
      <c r="P73" s="346"/>
      <c r="Q73" s="346"/>
      <c r="R73" s="346"/>
      <c r="S73" s="346"/>
      <c r="T73" s="346"/>
      <c r="U73" s="372"/>
      <c r="V73" s="360"/>
      <c r="W73" s="360"/>
      <c r="X73" s="360"/>
      <c r="Y73" s="327"/>
      <c r="Z73" s="327"/>
      <c r="AA73" s="327"/>
      <c r="AB73" s="327"/>
      <c r="AC73" s="327"/>
      <c r="AD73" s="327"/>
      <c r="AE73" s="327"/>
      <c r="AF73" s="327"/>
      <c r="AG73" s="360"/>
      <c r="AH73" s="360"/>
      <c r="AI73" s="360"/>
      <c r="AJ73" s="360"/>
      <c r="AK73" s="360"/>
    </row>
    <row r="74" spans="1:37" s="362" customFormat="1" ht="16.5" thickBot="1">
      <c r="A74" s="360"/>
      <c r="B74" s="361"/>
      <c r="C74" s="1468">
        <v>44185</v>
      </c>
      <c r="D74" s="1469"/>
      <c r="E74" s="1470" t="s">
        <v>980</v>
      </c>
      <c r="F74" s="1471" t="s">
        <v>8</v>
      </c>
      <c r="G74" s="1472">
        <v>65</v>
      </c>
      <c r="H74" s="1429" t="s">
        <v>311</v>
      </c>
      <c r="I74" s="1473" t="s">
        <v>47</v>
      </c>
      <c r="J74" s="1390" t="s">
        <v>356</v>
      </c>
      <c r="K74" s="774"/>
      <c r="L74" s="346"/>
      <c r="M74" s="373"/>
      <c r="N74" s="369"/>
      <c r="O74" s="346"/>
      <c r="P74" s="346"/>
      <c r="Q74" s="346"/>
      <c r="R74" s="346"/>
      <c r="S74" s="346"/>
      <c r="T74" s="346"/>
      <c r="U74" s="372"/>
      <c r="V74" s="360"/>
      <c r="W74" s="360"/>
      <c r="X74" s="360"/>
      <c r="Y74" s="360"/>
      <c r="Z74" s="360"/>
      <c r="AA74" s="360"/>
      <c r="AB74" s="360"/>
      <c r="AC74" s="360"/>
      <c r="AD74" s="360"/>
      <c r="AE74" s="360"/>
      <c r="AF74" s="360"/>
      <c r="AG74" s="360"/>
      <c r="AH74" s="360"/>
      <c r="AI74" s="360"/>
      <c r="AJ74" s="360"/>
      <c r="AK74" s="360"/>
    </row>
    <row r="75" spans="1:37" s="362" customFormat="1" ht="16.5" thickBot="1">
      <c r="A75" s="360"/>
      <c r="B75" s="361"/>
      <c r="C75" s="1468">
        <v>44185</v>
      </c>
      <c r="D75" s="1469"/>
      <c r="E75" s="1470" t="s">
        <v>980</v>
      </c>
      <c r="F75" s="1471" t="s">
        <v>9</v>
      </c>
      <c r="G75" s="1472">
        <v>65</v>
      </c>
      <c r="H75" s="1429" t="s">
        <v>311</v>
      </c>
      <c r="I75" s="1473" t="s">
        <v>47</v>
      </c>
      <c r="J75" s="1390" t="s">
        <v>356</v>
      </c>
      <c r="K75" s="774"/>
      <c r="L75" s="346"/>
      <c r="M75" s="346"/>
      <c r="N75" s="369"/>
      <c r="O75" s="346"/>
      <c r="P75" s="346"/>
      <c r="Q75" s="346"/>
      <c r="R75" s="346"/>
      <c r="S75" s="346"/>
      <c r="T75" s="346"/>
      <c r="U75" s="372"/>
      <c r="V75" s="360"/>
      <c r="W75" s="360"/>
      <c r="X75" s="360"/>
      <c r="Y75" s="360"/>
      <c r="Z75" s="360"/>
      <c r="AA75" s="360"/>
      <c r="AB75" s="360"/>
      <c r="AC75" s="360"/>
      <c r="AD75" s="360"/>
      <c r="AE75" s="360"/>
      <c r="AF75" s="360"/>
      <c r="AG75" s="360"/>
      <c r="AH75" s="360"/>
      <c r="AI75" s="360"/>
      <c r="AJ75" s="360"/>
      <c r="AK75" s="360"/>
    </row>
    <row r="76" spans="1:37" s="362" customFormat="1">
      <c r="A76" s="360"/>
      <c r="B76" s="361"/>
      <c r="C76" s="1474">
        <v>44186</v>
      </c>
      <c r="D76" s="1475"/>
      <c r="E76" s="1429" t="s">
        <v>981</v>
      </c>
      <c r="F76" s="1427" t="s">
        <v>8</v>
      </c>
      <c r="G76" s="1432">
        <v>65</v>
      </c>
      <c r="H76" s="1429" t="s">
        <v>311</v>
      </c>
      <c r="I76" s="1429" t="s">
        <v>51</v>
      </c>
      <c r="J76" s="1355" t="s">
        <v>92</v>
      </c>
      <c r="K76" s="774"/>
      <c r="L76" s="346"/>
      <c r="M76" s="346"/>
      <c r="N76" s="369"/>
      <c r="O76" s="346"/>
      <c r="P76" s="346"/>
      <c r="Q76" s="346"/>
      <c r="R76" s="346"/>
      <c r="S76" s="346"/>
      <c r="T76" s="346"/>
      <c r="U76" s="372"/>
      <c r="V76" s="360"/>
      <c r="W76" s="360"/>
      <c r="X76" s="360"/>
      <c r="Y76" s="360"/>
      <c r="Z76" s="360"/>
      <c r="AA76" s="360"/>
      <c r="AB76" s="360"/>
      <c r="AC76" s="360"/>
      <c r="AD76" s="360"/>
      <c r="AE76" s="360"/>
      <c r="AF76" s="360"/>
      <c r="AG76" s="360"/>
      <c r="AH76" s="360"/>
      <c r="AI76" s="360"/>
      <c r="AJ76" s="360"/>
      <c r="AK76" s="360"/>
    </row>
    <row r="77" spans="1:37">
      <c r="A77" s="321"/>
      <c r="B77" s="339"/>
      <c r="C77" s="1474">
        <v>44186</v>
      </c>
      <c r="D77" s="1475"/>
      <c r="E77" s="1429" t="s">
        <v>981</v>
      </c>
      <c r="F77" s="1427" t="s">
        <v>8</v>
      </c>
      <c r="G77" s="1432">
        <v>65</v>
      </c>
      <c r="H77" s="1429" t="s">
        <v>91</v>
      </c>
      <c r="I77" s="1429" t="s">
        <v>51</v>
      </c>
      <c r="J77" s="1355" t="s">
        <v>92</v>
      </c>
      <c r="K77" s="774"/>
      <c r="L77" s="346"/>
      <c r="M77" s="373"/>
      <c r="N77" s="369"/>
      <c r="O77" s="353"/>
      <c r="P77" s="369"/>
      <c r="Q77" s="369"/>
      <c r="R77" s="369"/>
      <c r="S77" s="369"/>
      <c r="T77" s="369"/>
      <c r="U77" s="341"/>
      <c r="V77" s="321"/>
      <c r="X77" s="321"/>
      <c r="Y77" s="321"/>
      <c r="Z77" s="321"/>
      <c r="AA77" s="321"/>
    </row>
    <row r="78" spans="1:37" s="362" customFormat="1">
      <c r="A78" s="360"/>
      <c r="B78" s="361"/>
      <c r="C78" s="1474">
        <v>44186</v>
      </c>
      <c r="D78" s="1475"/>
      <c r="E78" s="1429" t="s">
        <v>981</v>
      </c>
      <c r="F78" s="1427" t="s">
        <v>9</v>
      </c>
      <c r="G78" s="1432">
        <v>65</v>
      </c>
      <c r="H78" s="1429" t="s">
        <v>311</v>
      </c>
      <c r="I78" s="1429" t="s">
        <v>51</v>
      </c>
      <c r="J78" s="1355" t="s">
        <v>92</v>
      </c>
      <c r="K78" s="774"/>
      <c r="L78" s="346"/>
      <c r="M78" s="373"/>
      <c r="N78" s="346"/>
      <c r="O78" s="346"/>
      <c r="P78" s="346"/>
      <c r="Q78" s="346"/>
      <c r="R78" s="346"/>
      <c r="S78" s="346"/>
      <c r="T78" s="346"/>
      <c r="U78" s="372"/>
      <c r="V78" s="360"/>
      <c r="W78" s="360"/>
      <c r="X78" s="360"/>
      <c r="Y78" s="360"/>
      <c r="Z78" s="360"/>
      <c r="AA78" s="360"/>
      <c r="AB78" s="360"/>
      <c r="AC78" s="360"/>
      <c r="AD78" s="360"/>
      <c r="AE78" s="360"/>
      <c r="AF78" s="360"/>
      <c r="AG78" s="360"/>
      <c r="AH78" s="360"/>
      <c r="AI78" s="360"/>
      <c r="AJ78" s="360"/>
      <c r="AK78" s="360"/>
    </row>
    <row r="79" spans="1:37" s="362" customFormat="1">
      <c r="A79" s="327"/>
      <c r="B79" s="361"/>
      <c r="C79" s="1474">
        <v>44186</v>
      </c>
      <c r="D79" s="1475"/>
      <c r="E79" s="1429" t="s">
        <v>981</v>
      </c>
      <c r="F79" s="1427" t="s">
        <v>9</v>
      </c>
      <c r="G79" s="1432">
        <v>65</v>
      </c>
      <c r="H79" s="1429" t="s">
        <v>91</v>
      </c>
      <c r="I79" s="1429" t="s">
        <v>51</v>
      </c>
      <c r="J79" s="1355" t="s">
        <v>92</v>
      </c>
      <c r="K79" s="774"/>
      <c r="L79" s="346"/>
      <c r="M79" s="373"/>
      <c r="N79" s="346"/>
      <c r="O79" s="346"/>
      <c r="P79" s="346"/>
      <c r="Q79" s="346"/>
      <c r="R79" s="346"/>
      <c r="S79" s="346"/>
      <c r="T79" s="346"/>
      <c r="U79" s="372"/>
      <c r="V79" s="360"/>
      <c r="W79" s="360"/>
      <c r="X79" s="360"/>
      <c r="Y79" s="360"/>
      <c r="Z79" s="360"/>
      <c r="AA79" s="360"/>
      <c r="AB79" s="360"/>
      <c r="AC79" s="360"/>
      <c r="AD79" s="360"/>
      <c r="AE79" s="360"/>
      <c r="AF79" s="360"/>
      <c r="AG79" s="360"/>
      <c r="AH79" s="360"/>
      <c r="AI79" s="360"/>
      <c r="AJ79" s="360"/>
      <c r="AK79" s="360"/>
    </row>
    <row r="80" spans="1:37" s="362" customFormat="1" ht="14.25" customHeight="1" thickBot="1">
      <c r="A80" s="327"/>
      <c r="B80" s="361"/>
      <c r="C80" s="1468">
        <v>44186</v>
      </c>
      <c r="D80" s="1469"/>
      <c r="E80" s="1470" t="s">
        <v>982</v>
      </c>
      <c r="F80" s="1471" t="s">
        <v>9</v>
      </c>
      <c r="G80" s="1472">
        <v>65</v>
      </c>
      <c r="H80" s="1473" t="s">
        <v>653</v>
      </c>
      <c r="I80" s="1473" t="s">
        <v>51</v>
      </c>
      <c r="J80" s="1355" t="s">
        <v>92</v>
      </c>
      <c r="K80" s="774"/>
      <c r="L80" s="346"/>
      <c r="M80" s="373"/>
      <c r="N80" s="346"/>
      <c r="O80" s="346"/>
      <c r="P80" s="346"/>
      <c r="Q80" s="346"/>
      <c r="R80" s="346"/>
      <c r="S80" s="346"/>
      <c r="T80" s="346"/>
      <c r="U80" s="372"/>
      <c r="V80" s="360"/>
      <c r="W80" s="360"/>
      <c r="X80" s="360"/>
      <c r="Y80" s="360"/>
      <c r="Z80" s="360"/>
      <c r="AA80" s="360"/>
      <c r="AB80" s="360"/>
      <c r="AC80" s="360"/>
      <c r="AD80" s="360"/>
      <c r="AE80" s="360"/>
      <c r="AF80" s="360"/>
      <c r="AG80" s="360"/>
      <c r="AH80" s="360"/>
      <c r="AI80" s="360"/>
      <c r="AJ80" s="360"/>
      <c r="AK80" s="360"/>
    </row>
    <row r="81" spans="1:37" s="362" customFormat="1" ht="15.75" customHeight="1" thickBot="1">
      <c r="A81" s="327"/>
      <c r="B81" s="361"/>
      <c r="C81" s="1476">
        <v>44187</v>
      </c>
      <c r="D81" s="1477">
        <v>113</v>
      </c>
      <c r="E81" s="1478" t="s">
        <v>983</v>
      </c>
      <c r="F81" s="1479" t="s">
        <v>9</v>
      </c>
      <c r="G81" s="1442">
        <v>64</v>
      </c>
      <c r="H81" s="1480" t="s">
        <v>605</v>
      </c>
      <c r="I81" s="1480" t="s">
        <v>47</v>
      </c>
      <c r="J81" s="1390" t="s">
        <v>356</v>
      </c>
      <c r="K81" s="774"/>
      <c r="L81" s="346"/>
      <c r="M81" s="373"/>
      <c r="N81" s="346"/>
      <c r="O81" s="346"/>
      <c r="P81" s="346"/>
      <c r="Q81" s="346"/>
      <c r="R81" s="346"/>
      <c r="S81" s="346"/>
      <c r="T81" s="346"/>
      <c r="U81" s="372"/>
      <c r="V81" s="360"/>
      <c r="W81" s="360"/>
      <c r="X81" s="360"/>
      <c r="Y81" s="360"/>
      <c r="Z81" s="360"/>
      <c r="AA81" s="360"/>
      <c r="AB81" s="360"/>
      <c r="AC81" s="360"/>
      <c r="AD81" s="360"/>
      <c r="AE81" s="360"/>
      <c r="AF81" s="360"/>
      <c r="AG81" s="360"/>
      <c r="AH81" s="360"/>
      <c r="AI81" s="360"/>
      <c r="AJ81" s="360"/>
      <c r="AK81" s="360"/>
    </row>
    <row r="82" spans="1:37" s="362" customFormat="1" ht="16.5" thickBot="1">
      <c r="A82" s="327"/>
      <c r="B82" s="361"/>
      <c r="C82" s="1481">
        <v>44187</v>
      </c>
      <c r="D82" s="1482">
        <v>106</v>
      </c>
      <c r="E82" s="1483" t="s">
        <v>977</v>
      </c>
      <c r="F82" s="1414" t="s">
        <v>8</v>
      </c>
      <c r="G82" s="1445">
        <v>65</v>
      </c>
      <c r="H82" s="1387" t="s">
        <v>311</v>
      </c>
      <c r="I82" s="1415" t="s">
        <v>47</v>
      </c>
      <c r="J82" s="1390" t="s">
        <v>356</v>
      </c>
      <c r="K82" s="788"/>
      <c r="L82" s="346"/>
      <c r="M82" s="373"/>
      <c r="N82" s="346"/>
      <c r="O82" s="346"/>
      <c r="P82" s="346"/>
      <c r="Q82" s="346"/>
      <c r="R82" s="346"/>
      <c r="S82" s="346"/>
      <c r="T82" s="346"/>
      <c r="U82" s="372"/>
      <c r="V82" s="360"/>
      <c r="W82" s="360"/>
      <c r="X82" s="360"/>
      <c r="Y82" s="360"/>
      <c r="Z82" s="360"/>
      <c r="AA82" s="360"/>
      <c r="AB82" s="360"/>
      <c r="AC82" s="360"/>
      <c r="AD82" s="360"/>
      <c r="AE82" s="360"/>
      <c r="AF82" s="360"/>
      <c r="AG82" s="360"/>
      <c r="AH82" s="360"/>
      <c r="AI82" s="360"/>
      <c r="AJ82" s="360"/>
      <c r="AK82" s="360"/>
    </row>
    <row r="83" spans="1:37" s="362" customFormat="1" ht="16.5" thickBot="1">
      <c r="A83" s="327"/>
      <c r="B83" s="361"/>
      <c r="C83" s="1481">
        <v>44187</v>
      </c>
      <c r="D83" s="1482">
        <v>106</v>
      </c>
      <c r="E83" s="1483" t="s">
        <v>977</v>
      </c>
      <c r="F83" s="1414" t="s">
        <v>9</v>
      </c>
      <c r="G83" s="1445">
        <v>65</v>
      </c>
      <c r="H83" s="1387" t="s">
        <v>311</v>
      </c>
      <c r="I83" s="1415" t="s">
        <v>47</v>
      </c>
      <c r="J83" s="1390" t="s">
        <v>356</v>
      </c>
      <c r="K83" s="788"/>
      <c r="L83" s="346"/>
      <c r="M83" s="373"/>
      <c r="N83" s="346"/>
      <c r="O83" s="346"/>
      <c r="P83" s="346"/>
      <c r="Q83" s="346"/>
      <c r="R83" s="346"/>
      <c r="S83" s="346"/>
      <c r="T83" s="346"/>
      <c r="U83" s="372"/>
      <c r="V83" s="360"/>
      <c r="W83" s="360"/>
      <c r="X83" s="360"/>
      <c r="Y83" s="360"/>
      <c r="Z83" s="360"/>
      <c r="AA83" s="360"/>
      <c r="AB83" s="360"/>
      <c r="AC83" s="360"/>
      <c r="AD83" s="360"/>
      <c r="AE83" s="360"/>
      <c r="AF83" s="360"/>
      <c r="AG83" s="360"/>
      <c r="AH83" s="360"/>
      <c r="AI83" s="360"/>
      <c r="AJ83" s="360"/>
      <c r="AK83" s="360"/>
    </row>
    <row r="84" spans="1:37" s="362" customFormat="1" ht="16.5" thickBot="1">
      <c r="A84" s="327"/>
      <c r="B84" s="361"/>
      <c r="C84" s="1481">
        <v>44188</v>
      </c>
      <c r="D84" s="1482">
        <v>106</v>
      </c>
      <c r="E84" s="1483" t="s">
        <v>984</v>
      </c>
      <c r="F84" s="1414" t="s">
        <v>8</v>
      </c>
      <c r="G84" s="1445">
        <v>65</v>
      </c>
      <c r="H84" s="1387" t="s">
        <v>899</v>
      </c>
      <c r="I84" s="1415" t="s">
        <v>47</v>
      </c>
      <c r="J84" s="1390" t="s">
        <v>356</v>
      </c>
      <c r="K84" s="774"/>
      <c r="L84" s="346"/>
      <c r="M84" s="346"/>
      <c r="N84" s="346"/>
      <c r="O84" s="346"/>
      <c r="P84" s="346"/>
      <c r="Q84" s="346"/>
      <c r="R84" s="346"/>
      <c r="S84" s="346"/>
      <c r="T84" s="346"/>
      <c r="U84" s="372"/>
      <c r="V84" s="360"/>
      <c r="W84" s="360"/>
      <c r="X84" s="360"/>
      <c r="Y84" s="360"/>
      <c r="Z84" s="360"/>
      <c r="AA84" s="360"/>
      <c r="AB84" s="360"/>
      <c r="AC84" s="360"/>
      <c r="AD84" s="360"/>
      <c r="AE84" s="360"/>
      <c r="AF84" s="360"/>
      <c r="AG84" s="360"/>
      <c r="AH84" s="360"/>
      <c r="AI84" s="360"/>
      <c r="AJ84" s="360"/>
      <c r="AK84" s="360"/>
    </row>
    <row r="85" spans="1:37" s="362" customFormat="1">
      <c r="A85" s="327"/>
      <c r="B85" s="361"/>
      <c r="C85" s="1484">
        <v>44189</v>
      </c>
      <c r="D85" s="1451"/>
      <c r="E85" s="1485" t="s">
        <v>985</v>
      </c>
      <c r="F85" s="1355" t="s">
        <v>8</v>
      </c>
      <c r="G85" s="1452">
        <v>65</v>
      </c>
      <c r="H85" s="1387" t="s">
        <v>735</v>
      </c>
      <c r="I85" s="1387" t="s">
        <v>51</v>
      </c>
      <c r="J85" s="1355" t="s">
        <v>92</v>
      </c>
      <c r="K85" s="774"/>
      <c r="L85" s="346"/>
      <c r="M85" s="346"/>
      <c r="N85" s="346"/>
      <c r="O85" s="346"/>
      <c r="P85" s="346"/>
      <c r="Q85" s="346"/>
      <c r="R85" s="346"/>
      <c r="S85" s="346"/>
      <c r="T85" s="346"/>
      <c r="U85" s="372"/>
      <c r="V85" s="360"/>
      <c r="W85" s="360"/>
      <c r="X85" s="360"/>
      <c r="Y85" s="360"/>
      <c r="Z85" s="360"/>
      <c r="AA85" s="360"/>
      <c r="AB85" s="360"/>
      <c r="AC85" s="360"/>
      <c r="AD85" s="360"/>
      <c r="AE85" s="360"/>
      <c r="AF85" s="360"/>
      <c r="AG85" s="360"/>
      <c r="AH85" s="360"/>
      <c r="AI85" s="360"/>
      <c r="AJ85" s="360"/>
      <c r="AK85" s="360"/>
    </row>
    <row r="86" spans="1:37" s="362" customFormat="1" ht="16.5" thickBot="1">
      <c r="A86" s="360"/>
      <c r="B86" s="361"/>
      <c r="C86" s="1468">
        <v>44189</v>
      </c>
      <c r="D86" s="1469">
        <v>109</v>
      </c>
      <c r="E86" s="1470" t="s">
        <v>986</v>
      </c>
      <c r="F86" s="1471" t="s">
        <v>9</v>
      </c>
      <c r="G86" s="1472">
        <v>64</v>
      </c>
      <c r="H86" s="1473" t="s">
        <v>605</v>
      </c>
      <c r="I86" s="1473" t="s">
        <v>49</v>
      </c>
      <c r="J86" s="1390" t="s">
        <v>356</v>
      </c>
      <c r="K86" s="770"/>
      <c r="L86" s="346"/>
      <c r="M86" s="346"/>
      <c r="N86" s="346"/>
      <c r="O86" s="346"/>
      <c r="P86" s="346"/>
      <c r="Q86" s="346"/>
      <c r="R86" s="346"/>
      <c r="S86" s="346"/>
      <c r="T86" s="346"/>
      <c r="U86" s="372"/>
      <c r="V86" s="360"/>
      <c r="W86" s="360"/>
      <c r="X86" s="360"/>
      <c r="Y86" s="360"/>
      <c r="Z86" s="360"/>
      <c r="AA86" s="360"/>
      <c r="AB86" s="360"/>
      <c r="AC86" s="360"/>
      <c r="AD86" s="360"/>
      <c r="AE86" s="360"/>
      <c r="AF86" s="360"/>
      <c r="AG86" s="360"/>
      <c r="AH86" s="360"/>
      <c r="AI86" s="360"/>
      <c r="AJ86" s="360"/>
      <c r="AK86" s="360"/>
    </row>
    <row r="87" spans="1:37" s="362" customFormat="1" ht="16.5" thickBot="1">
      <c r="A87" s="360"/>
      <c r="B87" s="361"/>
      <c r="C87" s="1481">
        <v>44189</v>
      </c>
      <c r="D87" s="1482">
        <v>106</v>
      </c>
      <c r="E87" s="1483" t="s">
        <v>984</v>
      </c>
      <c r="F87" s="1414" t="s">
        <v>8</v>
      </c>
      <c r="G87" s="1445">
        <v>65</v>
      </c>
      <c r="H87" s="1415" t="s">
        <v>735</v>
      </c>
      <c r="I87" s="1415" t="s">
        <v>47</v>
      </c>
      <c r="J87" s="1390" t="s">
        <v>356</v>
      </c>
      <c r="K87" s="770"/>
      <c r="L87" s="346"/>
      <c r="M87" s="346"/>
      <c r="N87" s="346"/>
      <c r="O87" s="346"/>
      <c r="P87" s="346"/>
      <c r="Q87" s="346"/>
      <c r="R87" s="346"/>
      <c r="S87" s="346"/>
      <c r="T87" s="346"/>
      <c r="U87" s="372"/>
      <c r="V87" s="360"/>
      <c r="W87" s="360"/>
      <c r="X87" s="360"/>
      <c r="Y87" s="360"/>
      <c r="Z87" s="360"/>
      <c r="AA87" s="360"/>
      <c r="AB87" s="360"/>
      <c r="AC87" s="360"/>
      <c r="AD87" s="360"/>
      <c r="AE87" s="360"/>
      <c r="AF87" s="360"/>
      <c r="AG87" s="360"/>
      <c r="AH87" s="360"/>
      <c r="AI87" s="360"/>
      <c r="AJ87" s="360"/>
      <c r="AK87" s="360"/>
    </row>
    <row r="88" spans="1:37" s="362" customFormat="1" ht="16.5" thickBot="1">
      <c r="A88" s="360"/>
      <c r="B88" s="361"/>
      <c r="C88" s="1468">
        <v>44190</v>
      </c>
      <c r="D88" s="1469">
        <v>109</v>
      </c>
      <c r="E88" s="1470" t="s">
        <v>987</v>
      </c>
      <c r="F88" s="1471" t="s">
        <v>9</v>
      </c>
      <c r="G88" s="1472">
        <v>64</v>
      </c>
      <c r="H88" s="1473" t="s">
        <v>605</v>
      </c>
      <c r="I88" s="1473" t="s">
        <v>49</v>
      </c>
      <c r="J88" s="1390" t="s">
        <v>356</v>
      </c>
      <c r="K88" s="770"/>
      <c r="L88" s="346"/>
      <c r="M88" s="346"/>
      <c r="N88" s="346"/>
      <c r="O88" s="346"/>
      <c r="P88" s="346"/>
      <c r="Q88" s="346"/>
      <c r="R88" s="346"/>
      <c r="S88" s="346"/>
      <c r="T88" s="346"/>
      <c r="U88" s="372"/>
      <c r="V88" s="360"/>
      <c r="W88" s="360"/>
      <c r="X88" s="360"/>
      <c r="Y88" s="360"/>
      <c r="Z88" s="360"/>
      <c r="AA88" s="360"/>
      <c r="AB88" s="360"/>
      <c r="AC88" s="360"/>
      <c r="AD88" s="360"/>
      <c r="AE88" s="360"/>
      <c r="AF88" s="360"/>
      <c r="AG88" s="360"/>
      <c r="AH88" s="360"/>
      <c r="AI88" s="360"/>
      <c r="AJ88" s="360"/>
      <c r="AK88" s="360"/>
    </row>
    <row r="89" spans="1:37" s="362" customFormat="1" ht="30.75" thickBot="1">
      <c r="A89" s="360"/>
      <c r="B89" s="361"/>
      <c r="C89" s="1468">
        <v>44191</v>
      </c>
      <c r="D89" s="1469">
        <v>111</v>
      </c>
      <c r="E89" s="1470" t="s">
        <v>988</v>
      </c>
      <c r="F89" s="1471" t="s">
        <v>8</v>
      </c>
      <c r="G89" s="1472">
        <v>65</v>
      </c>
      <c r="H89" s="1429" t="s">
        <v>311</v>
      </c>
      <c r="I89" s="1473" t="s">
        <v>47</v>
      </c>
      <c r="J89" s="1390" t="s">
        <v>356</v>
      </c>
      <c r="K89" s="770"/>
      <c r="L89" s="346"/>
      <c r="M89" s="346"/>
      <c r="N89" s="346"/>
      <c r="O89" s="346"/>
      <c r="P89" s="346"/>
      <c r="Q89" s="346"/>
      <c r="R89" s="346"/>
      <c r="S89" s="346"/>
      <c r="T89" s="346"/>
      <c r="U89" s="372"/>
      <c r="V89" s="360"/>
      <c r="W89" s="360"/>
      <c r="X89" s="360"/>
      <c r="Y89" s="360"/>
      <c r="Z89" s="360"/>
      <c r="AA89" s="360"/>
      <c r="AB89" s="360"/>
      <c r="AC89" s="360"/>
      <c r="AD89" s="360"/>
      <c r="AE89" s="360"/>
      <c r="AF89" s="360"/>
      <c r="AG89" s="360"/>
      <c r="AH89" s="360"/>
      <c r="AI89" s="360"/>
      <c r="AJ89" s="360"/>
      <c r="AK89" s="360"/>
    </row>
    <row r="90" spans="1:37" s="362" customFormat="1" ht="30.75" thickBot="1">
      <c r="A90" s="360"/>
      <c r="B90" s="361"/>
      <c r="C90" s="1468">
        <v>44191</v>
      </c>
      <c r="D90" s="1469">
        <v>111</v>
      </c>
      <c r="E90" s="1470" t="s">
        <v>988</v>
      </c>
      <c r="F90" s="1471" t="s">
        <v>9</v>
      </c>
      <c r="G90" s="1472">
        <v>65</v>
      </c>
      <c r="H90" s="1429" t="s">
        <v>311</v>
      </c>
      <c r="I90" s="1473" t="s">
        <v>47</v>
      </c>
      <c r="J90" s="1390" t="s">
        <v>356</v>
      </c>
      <c r="K90" s="770"/>
      <c r="L90" s="346"/>
      <c r="M90" s="346"/>
      <c r="N90" s="346"/>
      <c r="O90" s="346"/>
      <c r="P90" s="346"/>
      <c r="Q90" s="346"/>
      <c r="R90" s="346"/>
      <c r="S90" s="346"/>
      <c r="T90" s="346"/>
      <c r="U90" s="372"/>
      <c r="V90" s="360"/>
      <c r="W90" s="360"/>
      <c r="X90" s="360"/>
      <c r="Y90" s="360"/>
      <c r="Z90" s="360"/>
      <c r="AA90" s="360"/>
      <c r="AB90" s="360"/>
      <c r="AC90" s="360"/>
      <c r="AD90" s="360"/>
      <c r="AE90" s="360"/>
      <c r="AF90" s="360"/>
      <c r="AG90" s="360"/>
      <c r="AH90" s="360"/>
      <c r="AI90" s="360"/>
      <c r="AJ90" s="360"/>
      <c r="AK90" s="360"/>
    </row>
    <row r="91" spans="1:37" s="362" customFormat="1" ht="16.5" thickBot="1">
      <c r="A91" s="360"/>
      <c r="B91" s="361"/>
      <c r="C91" s="1468">
        <v>44191</v>
      </c>
      <c r="D91" s="1469">
        <v>109</v>
      </c>
      <c r="E91" s="1470" t="s">
        <v>989</v>
      </c>
      <c r="F91" s="1471" t="s">
        <v>8</v>
      </c>
      <c r="G91" s="1472">
        <v>64</v>
      </c>
      <c r="H91" s="1473" t="s">
        <v>556</v>
      </c>
      <c r="I91" s="1473" t="s">
        <v>49</v>
      </c>
      <c r="J91" s="1390" t="s">
        <v>356</v>
      </c>
      <c r="K91" s="770"/>
      <c r="L91" s="346"/>
      <c r="M91" s="346"/>
      <c r="N91" s="346"/>
      <c r="O91" s="346"/>
      <c r="P91" s="346"/>
      <c r="Q91" s="346"/>
      <c r="R91" s="346"/>
      <c r="S91" s="346"/>
      <c r="T91" s="346"/>
      <c r="U91" s="372"/>
      <c r="V91" s="360"/>
      <c r="W91" s="360"/>
      <c r="X91" s="360"/>
      <c r="Y91" s="360"/>
      <c r="Z91" s="360"/>
      <c r="AA91" s="360"/>
      <c r="AB91" s="360"/>
      <c r="AC91" s="360"/>
      <c r="AD91" s="360"/>
      <c r="AE91" s="360"/>
      <c r="AF91" s="360"/>
      <c r="AG91" s="360"/>
      <c r="AH91" s="360"/>
      <c r="AI91" s="360"/>
      <c r="AJ91" s="360"/>
      <c r="AK91" s="360"/>
    </row>
    <row r="92" spans="1:37" s="362" customFormat="1" ht="16.5" thickBot="1">
      <c r="A92" s="360"/>
      <c r="B92" s="361"/>
      <c r="C92" s="1468">
        <v>44191</v>
      </c>
      <c r="D92" s="1469">
        <v>109</v>
      </c>
      <c r="E92" s="1470" t="s">
        <v>989</v>
      </c>
      <c r="F92" s="1471" t="s">
        <v>8</v>
      </c>
      <c r="G92" s="1472">
        <v>64</v>
      </c>
      <c r="H92" s="1429" t="s">
        <v>396</v>
      </c>
      <c r="I92" s="1473" t="s">
        <v>49</v>
      </c>
      <c r="J92" s="1390" t="s">
        <v>356</v>
      </c>
      <c r="K92" s="774"/>
      <c r="L92" s="346"/>
      <c r="M92" s="346"/>
      <c r="N92" s="346"/>
      <c r="O92" s="346"/>
      <c r="P92" s="346"/>
      <c r="Q92" s="346"/>
      <c r="R92" s="346"/>
      <c r="S92" s="346"/>
      <c r="T92" s="346"/>
      <c r="U92" s="372"/>
      <c r="V92" s="360"/>
      <c r="W92" s="360"/>
      <c r="X92" s="360"/>
      <c r="Y92" s="360"/>
      <c r="Z92" s="360"/>
      <c r="AA92" s="360"/>
      <c r="AB92" s="360"/>
      <c r="AC92" s="360"/>
      <c r="AD92" s="360"/>
      <c r="AE92" s="360"/>
      <c r="AF92" s="360"/>
      <c r="AG92" s="360"/>
      <c r="AH92" s="360"/>
      <c r="AI92" s="360"/>
      <c r="AJ92" s="360"/>
      <c r="AK92" s="360"/>
    </row>
    <row r="93" spans="1:37" s="362" customFormat="1" ht="16.5" thickBot="1">
      <c r="A93" s="360"/>
      <c r="B93" s="361"/>
      <c r="C93" s="1468">
        <v>44191</v>
      </c>
      <c r="D93" s="1469">
        <v>109</v>
      </c>
      <c r="E93" s="1470" t="s">
        <v>989</v>
      </c>
      <c r="F93" s="1471" t="s">
        <v>9</v>
      </c>
      <c r="G93" s="1472">
        <v>64</v>
      </c>
      <c r="H93" s="1429" t="s">
        <v>396</v>
      </c>
      <c r="I93" s="1473" t="s">
        <v>49</v>
      </c>
      <c r="J93" s="1390" t="s">
        <v>356</v>
      </c>
      <c r="K93" s="774"/>
      <c r="L93" s="346"/>
      <c r="M93" s="346"/>
      <c r="N93" s="346"/>
      <c r="O93" s="346"/>
      <c r="P93" s="346"/>
      <c r="Q93" s="346"/>
      <c r="R93" s="346"/>
      <c r="S93" s="346"/>
      <c r="T93" s="346"/>
      <c r="U93" s="372"/>
      <c r="V93" s="360"/>
      <c r="W93" s="360"/>
      <c r="X93" s="360"/>
      <c r="Y93" s="360"/>
      <c r="Z93" s="360"/>
      <c r="AA93" s="360"/>
      <c r="AB93" s="360"/>
      <c r="AC93" s="360"/>
      <c r="AD93" s="360"/>
      <c r="AE93" s="360"/>
      <c r="AF93" s="360"/>
      <c r="AG93" s="360"/>
      <c r="AH93" s="360"/>
      <c r="AI93" s="360"/>
      <c r="AJ93" s="360"/>
      <c r="AK93" s="360"/>
    </row>
    <row r="94" spans="1:37" s="362" customFormat="1" ht="30.75" thickBot="1">
      <c r="A94" s="360"/>
      <c r="B94" s="361"/>
      <c r="C94" s="1468">
        <v>44191</v>
      </c>
      <c r="D94" s="1469">
        <v>111</v>
      </c>
      <c r="E94" s="1470" t="s">
        <v>988</v>
      </c>
      <c r="F94" s="1471" t="s">
        <v>8</v>
      </c>
      <c r="G94" s="1472">
        <v>65</v>
      </c>
      <c r="H94" s="1473" t="s">
        <v>91</v>
      </c>
      <c r="I94" s="1473" t="s">
        <v>47</v>
      </c>
      <c r="J94" s="1390" t="s">
        <v>356</v>
      </c>
      <c r="K94" s="770"/>
      <c r="L94" s="346"/>
      <c r="M94" s="346"/>
      <c r="N94" s="346"/>
      <c r="O94" s="346"/>
      <c r="P94" s="346"/>
      <c r="Q94" s="346"/>
      <c r="R94" s="346"/>
      <c r="S94" s="346"/>
      <c r="T94" s="346"/>
      <c r="U94" s="372"/>
      <c r="V94" s="360"/>
      <c r="W94" s="360"/>
      <c r="X94" s="360"/>
      <c r="Y94" s="360"/>
      <c r="Z94" s="360"/>
      <c r="AA94" s="360"/>
      <c r="AB94" s="360"/>
      <c r="AC94" s="360"/>
      <c r="AD94" s="360"/>
      <c r="AE94" s="360"/>
      <c r="AF94" s="360"/>
      <c r="AG94" s="360"/>
      <c r="AH94" s="360"/>
      <c r="AI94" s="360"/>
      <c r="AJ94" s="360"/>
      <c r="AK94" s="360"/>
    </row>
    <row r="95" spans="1:37" s="362" customFormat="1" ht="16.5" thickBot="1">
      <c r="A95" s="327"/>
      <c r="B95" s="361"/>
      <c r="C95" s="1468">
        <v>44193</v>
      </c>
      <c r="D95" s="1469">
        <v>126</v>
      </c>
      <c r="E95" s="1470" t="s">
        <v>990</v>
      </c>
      <c r="F95" s="1471" t="s">
        <v>10</v>
      </c>
      <c r="G95" s="1472">
        <v>64</v>
      </c>
      <c r="H95" s="1473" t="s">
        <v>261</v>
      </c>
      <c r="I95" s="1473" t="s">
        <v>51</v>
      </c>
      <c r="J95" s="1390" t="s">
        <v>356</v>
      </c>
      <c r="K95" s="788"/>
      <c r="L95" s="346"/>
      <c r="M95" s="346"/>
      <c r="N95" s="346"/>
      <c r="O95" s="346"/>
      <c r="P95" s="346"/>
      <c r="Q95" s="346"/>
      <c r="R95" s="346"/>
      <c r="S95" s="346"/>
      <c r="T95" s="346"/>
      <c r="U95" s="372"/>
      <c r="V95" s="360"/>
      <c r="W95" s="360"/>
      <c r="X95" s="360"/>
      <c r="Y95" s="360"/>
      <c r="Z95" s="360"/>
      <c r="AA95" s="360"/>
      <c r="AB95" s="360"/>
      <c r="AC95" s="360"/>
      <c r="AD95" s="360"/>
      <c r="AE95" s="360"/>
      <c r="AF95" s="360"/>
      <c r="AG95" s="360"/>
      <c r="AH95" s="360"/>
      <c r="AI95" s="360"/>
      <c r="AJ95" s="360"/>
      <c r="AK95" s="360"/>
    </row>
    <row r="96" spans="1:37" s="362" customFormat="1" ht="16.5" thickBot="1">
      <c r="A96" s="327"/>
      <c r="B96" s="361"/>
      <c r="C96" s="1468">
        <v>44193</v>
      </c>
      <c r="D96" s="1469">
        <v>123</v>
      </c>
      <c r="E96" s="1470" t="s">
        <v>991</v>
      </c>
      <c r="F96" s="1471" t="s">
        <v>10</v>
      </c>
      <c r="G96" s="1472">
        <v>64</v>
      </c>
      <c r="H96" s="1473" t="s">
        <v>331</v>
      </c>
      <c r="I96" s="1473" t="s">
        <v>51</v>
      </c>
      <c r="J96" s="1390" t="s">
        <v>356</v>
      </c>
      <c r="K96" s="774"/>
      <c r="L96" s="346"/>
      <c r="M96" s="346"/>
      <c r="N96" s="346"/>
      <c r="O96" s="346"/>
      <c r="P96" s="346"/>
      <c r="Q96" s="346"/>
      <c r="R96" s="346"/>
      <c r="S96" s="346"/>
      <c r="T96" s="346"/>
      <c r="U96" s="372"/>
      <c r="V96" s="360"/>
      <c r="W96" s="360"/>
      <c r="X96" s="360"/>
      <c r="Y96" s="360"/>
      <c r="Z96" s="360"/>
      <c r="AA96" s="360"/>
      <c r="AB96" s="360"/>
      <c r="AC96" s="360"/>
      <c r="AD96" s="360"/>
      <c r="AE96" s="360"/>
      <c r="AF96" s="360"/>
      <c r="AG96" s="360"/>
      <c r="AH96" s="360"/>
      <c r="AI96" s="360"/>
      <c r="AJ96" s="360"/>
      <c r="AK96" s="360"/>
    </row>
    <row r="97" spans="1:37" s="362" customFormat="1" ht="30.75" thickBot="1">
      <c r="A97" s="327"/>
      <c r="B97" s="361"/>
      <c r="C97" s="1468">
        <v>44193</v>
      </c>
      <c r="D97" s="1469" t="s">
        <v>992</v>
      </c>
      <c r="E97" s="1470" t="s">
        <v>993</v>
      </c>
      <c r="F97" s="1471" t="s">
        <v>9</v>
      </c>
      <c r="G97" s="1472">
        <v>65</v>
      </c>
      <c r="H97" s="1429" t="s">
        <v>311</v>
      </c>
      <c r="I97" s="1473" t="s">
        <v>51</v>
      </c>
      <c r="J97" s="1390" t="s">
        <v>356</v>
      </c>
      <c r="K97" s="789"/>
      <c r="L97" s="346"/>
      <c r="M97" s="346"/>
      <c r="N97" s="346"/>
      <c r="O97" s="346"/>
      <c r="P97" s="346"/>
      <c r="Q97" s="346"/>
      <c r="R97" s="346"/>
      <c r="S97" s="346"/>
      <c r="T97" s="346"/>
      <c r="U97" s="372"/>
      <c r="V97" s="360"/>
      <c r="W97" s="360"/>
      <c r="X97" s="360"/>
      <c r="Y97" s="360"/>
      <c r="Z97" s="360"/>
      <c r="AA97" s="360"/>
      <c r="AB97" s="360"/>
      <c r="AC97" s="360"/>
      <c r="AD97" s="360"/>
      <c r="AE97" s="360"/>
      <c r="AF97" s="360"/>
      <c r="AG97" s="360"/>
      <c r="AH97" s="360"/>
      <c r="AI97" s="360"/>
      <c r="AJ97" s="360"/>
      <c r="AK97" s="360"/>
    </row>
    <row r="98" spans="1:37" s="362" customFormat="1" ht="16.5" thickBot="1">
      <c r="A98" s="327"/>
      <c r="B98" s="361"/>
      <c r="C98" s="1468">
        <v>44193</v>
      </c>
      <c r="D98" s="1469">
        <v>120</v>
      </c>
      <c r="E98" s="1470" t="s">
        <v>994</v>
      </c>
      <c r="F98" s="1471" t="s">
        <v>9</v>
      </c>
      <c r="G98" s="1472">
        <v>64</v>
      </c>
      <c r="H98" s="1473" t="s">
        <v>331</v>
      </c>
      <c r="I98" s="1473" t="s">
        <v>51</v>
      </c>
      <c r="J98" s="1390" t="s">
        <v>356</v>
      </c>
      <c r="K98" s="789"/>
      <c r="L98" s="346"/>
      <c r="M98" s="373"/>
      <c r="N98" s="346"/>
      <c r="O98" s="346"/>
      <c r="P98" s="346"/>
      <c r="Q98" s="346"/>
      <c r="R98" s="346"/>
      <c r="S98" s="346"/>
      <c r="T98" s="346"/>
      <c r="U98" s="372"/>
      <c r="V98" s="360"/>
      <c r="W98" s="360"/>
      <c r="X98" s="360"/>
      <c r="Y98" s="360"/>
      <c r="Z98" s="360"/>
      <c r="AA98" s="360"/>
      <c r="AB98" s="360"/>
      <c r="AC98" s="360"/>
      <c r="AD98" s="360"/>
      <c r="AE98" s="360"/>
      <c r="AF98" s="360"/>
      <c r="AG98" s="360"/>
      <c r="AH98" s="360"/>
      <c r="AI98" s="360"/>
      <c r="AJ98" s="360"/>
      <c r="AK98" s="360"/>
    </row>
    <row r="99" spans="1:37" s="399" customFormat="1" ht="16.5" thickBot="1">
      <c r="A99" s="395"/>
      <c r="B99" s="790"/>
      <c r="C99" s="1468">
        <v>44193</v>
      </c>
      <c r="D99" s="1469" t="s">
        <v>992</v>
      </c>
      <c r="E99" s="1470" t="s">
        <v>995</v>
      </c>
      <c r="F99" s="1471" t="s">
        <v>9</v>
      </c>
      <c r="G99" s="1472">
        <v>64</v>
      </c>
      <c r="H99" s="1429" t="s">
        <v>396</v>
      </c>
      <c r="I99" s="1473" t="s">
        <v>51</v>
      </c>
      <c r="J99" s="1390" t="s">
        <v>356</v>
      </c>
      <c r="K99" s="789"/>
      <c r="L99" s="777"/>
      <c r="M99" s="791"/>
      <c r="N99" s="792"/>
      <c r="O99" s="792"/>
      <c r="P99" s="792"/>
      <c r="Q99" s="792"/>
      <c r="R99" s="792"/>
      <c r="S99" s="792"/>
      <c r="T99" s="792"/>
      <c r="U99" s="793"/>
      <c r="V99" s="398"/>
      <c r="W99" s="398"/>
      <c r="X99" s="398"/>
      <c r="Y99" s="398"/>
      <c r="Z99" s="398"/>
      <c r="AA99" s="398"/>
      <c r="AB99" s="398"/>
      <c r="AC99" s="398"/>
      <c r="AD99" s="398"/>
      <c r="AE99" s="398"/>
      <c r="AF99" s="398"/>
      <c r="AG99" s="398"/>
      <c r="AH99" s="398"/>
      <c r="AI99" s="398"/>
      <c r="AJ99" s="398"/>
      <c r="AK99" s="398"/>
    </row>
    <row r="100" spans="1:37" ht="16.5" thickBot="1">
      <c r="A100" s="326"/>
      <c r="B100" s="326"/>
      <c r="C100" s="1468">
        <v>44193</v>
      </c>
      <c r="D100" s="1469">
        <v>127</v>
      </c>
      <c r="E100" s="1470" t="s">
        <v>996</v>
      </c>
      <c r="F100" s="1471" t="s">
        <v>9</v>
      </c>
      <c r="G100" s="1472">
        <v>65</v>
      </c>
      <c r="H100" s="1473" t="s">
        <v>653</v>
      </c>
      <c r="I100" s="1473" t="s">
        <v>51</v>
      </c>
      <c r="J100" s="1390" t="s">
        <v>356</v>
      </c>
      <c r="K100" s="789"/>
      <c r="L100" s="327"/>
      <c r="M100" s="328"/>
      <c r="N100" s="321"/>
      <c r="O100" s="321"/>
      <c r="P100" s="321"/>
      <c r="Q100" s="321"/>
      <c r="R100" s="321"/>
      <c r="S100" s="321"/>
      <c r="T100" s="321"/>
      <c r="U100" s="321"/>
      <c r="V100" s="321"/>
      <c r="X100" s="321"/>
      <c r="Y100" s="321"/>
      <c r="Z100" s="321"/>
      <c r="AA100" s="321"/>
    </row>
    <row r="101" spans="1:37" ht="16.5" thickBot="1">
      <c r="A101" s="326"/>
      <c r="B101" s="326"/>
      <c r="C101" s="1468">
        <v>44193</v>
      </c>
      <c r="D101" s="1469">
        <v>114</v>
      </c>
      <c r="E101" s="1470" t="s">
        <v>997</v>
      </c>
      <c r="F101" s="1471" t="s">
        <v>9</v>
      </c>
      <c r="G101" s="1472"/>
      <c r="H101" s="1473" t="s">
        <v>331</v>
      </c>
      <c r="I101" s="1473" t="s">
        <v>51</v>
      </c>
      <c r="J101" s="1390" t="s">
        <v>356</v>
      </c>
      <c r="K101" s="789"/>
      <c r="L101" s="327"/>
      <c r="M101" s="328"/>
      <c r="N101" s="321"/>
      <c r="O101" s="321"/>
      <c r="P101" s="321"/>
      <c r="Q101" s="321"/>
      <c r="R101" s="321"/>
      <c r="S101" s="321"/>
      <c r="T101" s="321"/>
      <c r="U101" s="321"/>
      <c r="V101" s="321"/>
      <c r="X101" s="321"/>
      <c r="Y101" s="321"/>
      <c r="Z101" s="321"/>
      <c r="AA101" s="321"/>
    </row>
    <row r="102" spans="1:37" ht="23.25" customHeight="1" thickBot="1">
      <c r="A102" s="326"/>
      <c r="B102" s="326"/>
      <c r="C102" s="1468">
        <v>44193</v>
      </c>
      <c r="D102" s="1469">
        <v>114</v>
      </c>
      <c r="E102" s="1470" t="s">
        <v>998</v>
      </c>
      <c r="F102" s="1471" t="s">
        <v>9</v>
      </c>
      <c r="G102" s="1472"/>
      <c r="H102" s="1473" t="s">
        <v>331</v>
      </c>
      <c r="I102" s="1473" t="s">
        <v>51</v>
      </c>
      <c r="J102" s="1390" t="s">
        <v>356</v>
      </c>
      <c r="K102" s="789"/>
      <c r="L102" s="327"/>
      <c r="M102" s="328"/>
      <c r="N102" s="321"/>
      <c r="O102" s="321"/>
      <c r="P102" s="321"/>
      <c r="Q102" s="321"/>
      <c r="R102" s="321"/>
      <c r="S102" s="321"/>
      <c r="T102" s="321"/>
      <c r="U102" s="321"/>
      <c r="V102" s="321"/>
      <c r="X102" s="321"/>
      <c r="Y102" s="321"/>
      <c r="Z102" s="321"/>
      <c r="AA102" s="321"/>
    </row>
    <row r="103" spans="1:37" ht="15.75" customHeight="1" thickBot="1">
      <c r="A103" s="326"/>
      <c r="B103" s="321"/>
      <c r="C103" s="1468">
        <v>44193</v>
      </c>
      <c r="D103" s="1469"/>
      <c r="E103" s="1470" t="s">
        <v>999</v>
      </c>
      <c r="F103" s="1471" t="s">
        <v>10</v>
      </c>
      <c r="G103" s="1472">
        <v>64</v>
      </c>
      <c r="H103" s="1473" t="s">
        <v>331</v>
      </c>
      <c r="I103" s="1473" t="s">
        <v>51</v>
      </c>
      <c r="J103" s="1390" t="s">
        <v>356</v>
      </c>
      <c r="K103" s="789"/>
      <c r="L103" s="327"/>
      <c r="M103" s="328"/>
      <c r="N103" s="321"/>
      <c r="O103" s="321"/>
      <c r="P103" s="321"/>
      <c r="Q103" s="392"/>
      <c r="R103" s="321"/>
      <c r="S103" s="321"/>
      <c r="T103" s="321"/>
      <c r="U103" s="321"/>
      <c r="V103" s="321"/>
      <c r="X103" s="321"/>
      <c r="Y103" s="321"/>
      <c r="Z103" s="321"/>
      <c r="AA103" s="321"/>
    </row>
    <row r="104" spans="1:37" ht="15.75" customHeight="1" thickBot="1">
      <c r="A104" s="321"/>
      <c r="B104" s="321"/>
      <c r="C104" s="1468">
        <v>44193</v>
      </c>
      <c r="D104" s="1469">
        <v>123</v>
      </c>
      <c r="E104" s="1470" t="s">
        <v>1000</v>
      </c>
      <c r="F104" s="1471" t="s">
        <v>10</v>
      </c>
      <c r="G104" s="1472">
        <v>64</v>
      </c>
      <c r="H104" s="1473" t="s">
        <v>331</v>
      </c>
      <c r="I104" s="1473" t="s">
        <v>51</v>
      </c>
      <c r="J104" s="1390" t="s">
        <v>356</v>
      </c>
      <c r="K104" s="789"/>
      <c r="L104" s="327"/>
      <c r="M104" s="328"/>
      <c r="N104" s="321"/>
      <c r="O104" s="321"/>
      <c r="P104" s="321"/>
      <c r="Q104" s="392"/>
      <c r="R104" s="321"/>
      <c r="S104" s="321"/>
      <c r="T104" s="321"/>
      <c r="U104" s="321"/>
      <c r="V104" s="321"/>
      <c r="X104" s="321"/>
      <c r="Y104" s="321"/>
      <c r="Z104" s="321"/>
      <c r="AA104" s="321"/>
    </row>
    <row r="105" spans="1:37" ht="15.75" customHeight="1" thickBot="1">
      <c r="A105" s="321"/>
      <c r="B105" s="321"/>
      <c r="C105" s="1468">
        <v>44193</v>
      </c>
      <c r="D105" s="1469"/>
      <c r="E105" s="1470" t="s">
        <v>1001</v>
      </c>
      <c r="F105" s="1471" t="s">
        <v>10</v>
      </c>
      <c r="G105" s="1472">
        <v>64</v>
      </c>
      <c r="H105" s="1473" t="s">
        <v>331</v>
      </c>
      <c r="I105" s="1473" t="s">
        <v>51</v>
      </c>
      <c r="J105" s="1390" t="s">
        <v>356</v>
      </c>
      <c r="K105" s="785"/>
      <c r="L105" s="327"/>
      <c r="M105" s="328"/>
      <c r="N105" s="321"/>
      <c r="O105" s="321"/>
      <c r="P105" s="321"/>
      <c r="Q105" s="392"/>
      <c r="R105" s="321"/>
      <c r="S105" s="321"/>
      <c r="T105" s="321"/>
      <c r="U105" s="321"/>
      <c r="V105" s="321"/>
      <c r="X105" s="321"/>
      <c r="Y105" s="321"/>
      <c r="Z105" s="321"/>
      <c r="AA105" s="321"/>
    </row>
    <row r="106" spans="1:37" ht="16.5" thickBot="1">
      <c r="A106" s="321"/>
      <c r="B106" s="321"/>
      <c r="C106" s="1468">
        <v>44193</v>
      </c>
      <c r="D106" s="1469">
        <v>117</v>
      </c>
      <c r="E106" s="1470" t="s">
        <v>1002</v>
      </c>
      <c r="F106" s="1471" t="s">
        <v>10</v>
      </c>
      <c r="G106" s="1472">
        <v>64</v>
      </c>
      <c r="H106" s="1473" t="s">
        <v>261</v>
      </c>
      <c r="I106" s="1473" t="s">
        <v>51</v>
      </c>
      <c r="J106" s="1390" t="s">
        <v>356</v>
      </c>
      <c r="K106" s="774"/>
      <c r="L106" s="327"/>
      <c r="M106" s="328"/>
      <c r="N106" s="321"/>
      <c r="O106" s="321"/>
      <c r="P106" s="321"/>
      <c r="Q106" s="392"/>
      <c r="R106" s="321"/>
      <c r="S106" s="321"/>
      <c r="T106" s="321"/>
      <c r="U106" s="321"/>
      <c r="V106" s="321"/>
      <c r="X106" s="321"/>
      <c r="Y106" s="321"/>
      <c r="Z106" s="321"/>
      <c r="AA106" s="321"/>
    </row>
    <row r="107" spans="1:37" ht="16.5" thickBot="1">
      <c r="A107" s="321"/>
      <c r="B107" s="321"/>
      <c r="C107" s="1468" t="s">
        <v>1003</v>
      </c>
      <c r="D107" s="1469">
        <v>118</v>
      </c>
      <c r="E107" s="1470" t="s">
        <v>1004</v>
      </c>
      <c r="F107" s="1471" t="s">
        <v>10</v>
      </c>
      <c r="G107" s="1472">
        <v>40</v>
      </c>
      <c r="H107" s="1429" t="s">
        <v>275</v>
      </c>
      <c r="I107" s="1473" t="s">
        <v>51</v>
      </c>
      <c r="J107" s="1390" t="s">
        <v>356</v>
      </c>
      <c r="K107" s="785"/>
      <c r="L107" s="327"/>
      <c r="M107" s="328"/>
      <c r="N107" s="321"/>
      <c r="O107" s="321"/>
      <c r="P107" s="321"/>
      <c r="Q107" s="392"/>
      <c r="R107" s="321"/>
      <c r="S107" s="321"/>
      <c r="T107" s="321"/>
      <c r="U107" s="321"/>
      <c r="V107" s="321"/>
      <c r="X107" s="321"/>
      <c r="Y107" s="321"/>
      <c r="Z107" s="321"/>
      <c r="AA107" s="321"/>
    </row>
    <row r="108" spans="1:37" ht="30.75" thickBot="1">
      <c r="A108" s="321"/>
      <c r="B108" s="321"/>
      <c r="C108" s="1468">
        <v>44194</v>
      </c>
      <c r="D108" s="1469">
        <v>123</v>
      </c>
      <c r="E108" s="1470" t="s">
        <v>1005</v>
      </c>
      <c r="F108" s="1471" t="s">
        <v>8</v>
      </c>
      <c r="G108" s="1472">
        <v>64</v>
      </c>
      <c r="H108" s="1473" t="s">
        <v>556</v>
      </c>
      <c r="I108" s="1473" t="s">
        <v>51</v>
      </c>
      <c r="J108" s="1390" t="s">
        <v>356</v>
      </c>
      <c r="K108" s="785"/>
      <c r="L108" s="327"/>
      <c r="M108" s="328"/>
      <c r="N108" s="321"/>
      <c r="O108" s="321"/>
      <c r="P108" s="321"/>
      <c r="Q108" s="392"/>
      <c r="R108" s="321"/>
      <c r="S108" s="321"/>
      <c r="T108" s="321"/>
      <c r="U108" s="321"/>
      <c r="V108" s="321"/>
      <c r="X108" s="321"/>
      <c r="Y108" s="321"/>
      <c r="Z108" s="321"/>
      <c r="AA108" s="321"/>
    </row>
    <row r="109" spans="1:37" ht="30.75" thickBot="1">
      <c r="A109" s="321"/>
      <c r="B109" s="321"/>
      <c r="C109" s="1468">
        <v>44194</v>
      </c>
      <c r="D109" s="1469">
        <v>123</v>
      </c>
      <c r="E109" s="1470" t="s">
        <v>1005</v>
      </c>
      <c r="F109" s="1471" t="s">
        <v>8</v>
      </c>
      <c r="G109" s="1472">
        <v>64</v>
      </c>
      <c r="H109" s="1429" t="s">
        <v>396</v>
      </c>
      <c r="I109" s="1473" t="s">
        <v>51</v>
      </c>
      <c r="J109" s="1390" t="s">
        <v>356</v>
      </c>
      <c r="K109" s="785"/>
      <c r="L109" s="327"/>
      <c r="M109" s="328"/>
      <c r="N109" s="321"/>
      <c r="O109" s="321"/>
      <c r="P109" s="321"/>
      <c r="Q109" s="392"/>
      <c r="R109" s="321"/>
      <c r="S109" s="321"/>
      <c r="T109" s="321"/>
      <c r="U109" s="321"/>
      <c r="V109" s="321"/>
      <c r="X109" s="321"/>
      <c r="Y109" s="321"/>
      <c r="Z109" s="321"/>
      <c r="AA109" s="321"/>
    </row>
    <row r="110" spans="1:37" ht="30.75" thickBot="1">
      <c r="A110" s="321"/>
      <c r="B110" s="321"/>
      <c r="C110" s="1468">
        <v>44194</v>
      </c>
      <c r="D110" s="1469">
        <v>123</v>
      </c>
      <c r="E110" s="1470" t="s">
        <v>1005</v>
      </c>
      <c r="F110" s="1471" t="s">
        <v>9</v>
      </c>
      <c r="G110" s="1472">
        <v>64</v>
      </c>
      <c r="H110" s="1429" t="s">
        <v>396</v>
      </c>
      <c r="I110" s="1473" t="s">
        <v>51</v>
      </c>
      <c r="J110" s="1390" t="s">
        <v>356</v>
      </c>
      <c r="K110" s="774"/>
      <c r="L110" s="327"/>
      <c r="M110" s="328"/>
      <c r="N110" s="321"/>
      <c r="O110" s="321"/>
      <c r="P110" s="321"/>
      <c r="Q110" s="392"/>
      <c r="R110" s="321"/>
      <c r="S110" s="321"/>
      <c r="T110" s="321"/>
      <c r="U110" s="321"/>
      <c r="V110" s="321"/>
      <c r="X110" s="321"/>
      <c r="Y110" s="321"/>
      <c r="Z110" s="321"/>
      <c r="AA110" s="321"/>
    </row>
    <row r="111" spans="1:37" ht="16.5" thickBot="1">
      <c r="A111" s="321"/>
      <c r="B111" s="321"/>
      <c r="C111" s="1468">
        <v>44194</v>
      </c>
      <c r="D111" s="1469">
        <v>123</v>
      </c>
      <c r="E111" s="1470" t="s">
        <v>1006</v>
      </c>
      <c r="F111" s="1471" t="s">
        <v>8</v>
      </c>
      <c r="G111" s="1472">
        <v>64</v>
      </c>
      <c r="H111" s="1473" t="s">
        <v>611</v>
      </c>
      <c r="I111" s="1473" t="s">
        <v>51</v>
      </c>
      <c r="J111" s="1390" t="s">
        <v>356</v>
      </c>
      <c r="K111" s="785"/>
      <c r="L111" s="327"/>
      <c r="M111" s="328"/>
      <c r="N111" s="321"/>
      <c r="O111" s="321"/>
      <c r="P111" s="321"/>
      <c r="Q111" s="392"/>
      <c r="R111" s="321"/>
      <c r="S111" s="321"/>
      <c r="T111" s="321"/>
      <c r="U111" s="321"/>
      <c r="V111" s="321"/>
      <c r="X111" s="321"/>
      <c r="Y111" s="321"/>
      <c r="Z111" s="321"/>
      <c r="AA111" s="321"/>
    </row>
    <row r="112" spans="1:37" ht="15.75" customHeight="1" thickBot="1">
      <c r="A112" s="321"/>
      <c r="B112" s="321"/>
      <c r="C112" s="1468">
        <v>44194</v>
      </c>
      <c r="D112" s="1469">
        <v>123</v>
      </c>
      <c r="E112" s="1470" t="s">
        <v>1006</v>
      </c>
      <c r="F112" s="1471" t="s">
        <v>9</v>
      </c>
      <c r="G112" s="1472">
        <v>64</v>
      </c>
      <c r="H112" s="1473" t="s">
        <v>611</v>
      </c>
      <c r="I112" s="1473" t="s">
        <v>51</v>
      </c>
      <c r="J112" s="1390" t="s">
        <v>356</v>
      </c>
      <c r="K112" s="785"/>
      <c r="L112" s="327"/>
      <c r="M112" s="328"/>
      <c r="N112" s="321"/>
      <c r="O112" s="321"/>
      <c r="P112" s="321"/>
      <c r="Q112" s="321"/>
      <c r="R112" s="321"/>
      <c r="S112" s="321"/>
      <c r="T112" s="321"/>
      <c r="U112" s="321"/>
      <c r="V112" s="321"/>
      <c r="X112" s="321"/>
      <c r="Y112" s="321"/>
      <c r="Z112" s="321"/>
      <c r="AA112" s="321"/>
    </row>
    <row r="113" spans="1:27" ht="16.5" thickBot="1">
      <c r="A113" s="321"/>
      <c r="B113" s="321"/>
      <c r="C113" s="1468">
        <v>44194</v>
      </c>
      <c r="D113" s="1469">
        <v>116</v>
      </c>
      <c r="E113" s="1470" t="s">
        <v>1007</v>
      </c>
      <c r="F113" s="1471" t="s">
        <v>8</v>
      </c>
      <c r="G113" s="1472">
        <v>40</v>
      </c>
      <c r="H113" s="1429" t="s">
        <v>85</v>
      </c>
      <c r="I113" s="1473" t="s">
        <v>51</v>
      </c>
      <c r="J113" s="1390" t="s">
        <v>356</v>
      </c>
      <c r="K113" s="785"/>
      <c r="L113" s="327"/>
      <c r="M113" s="328"/>
      <c r="N113" s="321"/>
      <c r="O113" s="321"/>
      <c r="P113" s="321"/>
      <c r="Q113" s="321"/>
      <c r="R113" s="321"/>
      <c r="S113" s="321"/>
      <c r="T113" s="321"/>
      <c r="U113" s="321"/>
      <c r="V113" s="321"/>
      <c r="X113" s="321"/>
      <c r="Y113" s="321"/>
      <c r="Z113" s="321"/>
      <c r="AA113" s="321"/>
    </row>
    <row r="114" spans="1:27" ht="16.5" thickBot="1">
      <c r="A114" s="321"/>
      <c r="B114" s="321"/>
      <c r="C114" s="1468">
        <v>44194</v>
      </c>
      <c r="D114" s="1469">
        <v>116</v>
      </c>
      <c r="E114" s="1470" t="s">
        <v>1007</v>
      </c>
      <c r="F114" s="1471" t="s">
        <v>9</v>
      </c>
      <c r="G114" s="1472">
        <v>40</v>
      </c>
      <c r="H114" s="1429" t="s">
        <v>85</v>
      </c>
      <c r="I114" s="1473" t="s">
        <v>51</v>
      </c>
      <c r="J114" s="1390" t="s">
        <v>356</v>
      </c>
      <c r="K114" s="785"/>
      <c r="L114" s="327"/>
      <c r="M114" s="328"/>
      <c r="N114" s="321"/>
      <c r="O114" s="321"/>
      <c r="P114" s="321"/>
      <c r="Q114" s="321"/>
      <c r="R114" s="321"/>
      <c r="S114" s="321"/>
      <c r="T114" s="321"/>
      <c r="U114" s="321"/>
      <c r="V114" s="321"/>
      <c r="X114" s="321"/>
      <c r="Y114" s="321"/>
      <c r="Z114" s="321"/>
      <c r="AA114" s="321"/>
    </row>
    <row r="115" spans="1:27" ht="16.5" thickBot="1">
      <c r="A115" s="321"/>
      <c r="B115" s="321"/>
      <c r="C115" s="1468">
        <v>44194</v>
      </c>
      <c r="D115" s="1469">
        <v>114</v>
      </c>
      <c r="E115" s="981" t="s">
        <v>1008</v>
      </c>
      <c r="F115" s="1471" t="s">
        <v>9</v>
      </c>
      <c r="G115" s="1472">
        <v>64</v>
      </c>
      <c r="H115" s="1473" t="s">
        <v>331</v>
      </c>
      <c r="I115" s="1473" t="s">
        <v>51</v>
      </c>
      <c r="J115" s="1390" t="s">
        <v>356</v>
      </c>
      <c r="K115" s="785"/>
      <c r="L115" s="327"/>
      <c r="M115" s="328"/>
      <c r="N115" s="321"/>
      <c r="O115" s="321"/>
      <c r="P115" s="321"/>
      <c r="Q115" s="321"/>
      <c r="R115" s="321"/>
      <c r="S115" s="321"/>
      <c r="T115" s="321"/>
      <c r="U115" s="321"/>
      <c r="V115" s="321"/>
      <c r="X115" s="321"/>
      <c r="Y115" s="321"/>
      <c r="Z115" s="321"/>
      <c r="AA115" s="321"/>
    </row>
    <row r="116" spans="1:27" ht="16.5" thickBot="1">
      <c r="A116" s="321"/>
      <c r="B116" s="321"/>
      <c r="C116" s="1468">
        <v>44194</v>
      </c>
      <c r="D116" s="1469">
        <v>117</v>
      </c>
      <c r="E116" s="1470" t="s">
        <v>1009</v>
      </c>
      <c r="F116" s="1471" t="s">
        <v>9</v>
      </c>
      <c r="G116" s="1472">
        <v>64</v>
      </c>
      <c r="H116" s="1429" t="s">
        <v>396</v>
      </c>
      <c r="I116" s="1473" t="s">
        <v>51</v>
      </c>
      <c r="J116" s="1390" t="s">
        <v>356</v>
      </c>
      <c r="K116" s="785"/>
      <c r="L116" s="327"/>
      <c r="M116" s="328"/>
      <c r="N116" s="321"/>
      <c r="O116" s="321"/>
      <c r="P116" s="321"/>
      <c r="Q116" s="321"/>
      <c r="R116" s="321"/>
      <c r="S116" s="321"/>
      <c r="T116" s="321"/>
      <c r="U116" s="321"/>
      <c r="V116" s="321"/>
      <c r="X116" s="321"/>
      <c r="Y116" s="321"/>
      <c r="Z116" s="321"/>
      <c r="AA116" s="321"/>
    </row>
    <row r="117" spans="1:27" ht="16.5" thickBot="1">
      <c r="A117" s="321"/>
      <c r="B117" s="321"/>
      <c r="C117" s="1468">
        <v>44194</v>
      </c>
      <c r="D117" s="1469">
        <v>117</v>
      </c>
      <c r="E117" s="1470" t="s">
        <v>1010</v>
      </c>
      <c r="F117" s="1471" t="s">
        <v>9</v>
      </c>
      <c r="G117" s="1472">
        <v>64</v>
      </c>
      <c r="H117" s="1473" t="s">
        <v>605</v>
      </c>
      <c r="I117" s="1473" t="s">
        <v>51</v>
      </c>
      <c r="J117" s="1390" t="s">
        <v>356</v>
      </c>
      <c r="K117" s="785"/>
      <c r="L117" s="327"/>
      <c r="M117" s="328"/>
      <c r="N117" s="321"/>
      <c r="O117" s="321"/>
      <c r="P117" s="321"/>
      <c r="Q117" s="321"/>
      <c r="R117" s="321"/>
      <c r="S117" s="321"/>
      <c r="T117" s="321"/>
      <c r="U117" s="321"/>
      <c r="V117" s="321"/>
      <c r="X117" s="321"/>
      <c r="Y117" s="321"/>
      <c r="Z117" s="321"/>
      <c r="AA117" s="321"/>
    </row>
    <row r="118" spans="1:27" ht="16.5" thickBot="1">
      <c r="A118" s="321"/>
      <c r="B118" s="321"/>
      <c r="C118" s="1468">
        <v>44194</v>
      </c>
      <c r="D118" s="1469">
        <v>117</v>
      </c>
      <c r="E118" s="1470" t="s">
        <v>1011</v>
      </c>
      <c r="F118" s="1471" t="s">
        <v>9</v>
      </c>
      <c r="G118" s="1472">
        <v>64</v>
      </c>
      <c r="H118" s="1473" t="s">
        <v>605</v>
      </c>
      <c r="I118" s="1473" t="s">
        <v>51</v>
      </c>
      <c r="J118" s="1390" t="s">
        <v>356</v>
      </c>
      <c r="K118" s="785"/>
      <c r="L118" s="327"/>
      <c r="M118" s="328"/>
      <c r="N118" s="321"/>
      <c r="O118" s="321"/>
      <c r="P118" s="321"/>
      <c r="Q118" s="321"/>
      <c r="R118" s="321"/>
      <c r="S118" s="321"/>
      <c r="T118" s="321"/>
      <c r="U118" s="321"/>
      <c r="V118" s="321"/>
      <c r="X118" s="321"/>
      <c r="Y118" s="321"/>
      <c r="Z118" s="321"/>
      <c r="AA118" s="321"/>
    </row>
    <row r="119" spans="1:27" ht="16.5" thickBot="1">
      <c r="A119" s="321"/>
      <c r="B119" s="321"/>
      <c r="C119" s="1468">
        <v>44194</v>
      </c>
      <c r="D119" s="1477" t="s">
        <v>992</v>
      </c>
      <c r="E119" s="1470" t="s">
        <v>1012</v>
      </c>
      <c r="F119" s="1471" t="s">
        <v>9</v>
      </c>
      <c r="G119" s="1472">
        <v>40</v>
      </c>
      <c r="H119" s="1473" t="s">
        <v>601</v>
      </c>
      <c r="I119" s="1473" t="s">
        <v>51</v>
      </c>
      <c r="J119" s="1390" t="s">
        <v>356</v>
      </c>
      <c r="K119" s="785"/>
      <c r="L119" s="327"/>
      <c r="M119" s="328"/>
      <c r="N119" s="321"/>
      <c r="O119" s="321"/>
      <c r="P119" s="321"/>
      <c r="Q119" s="321"/>
      <c r="R119" s="321"/>
      <c r="S119" s="321"/>
      <c r="T119" s="321"/>
      <c r="U119" s="321"/>
      <c r="V119" s="321"/>
      <c r="X119" s="321"/>
      <c r="Y119" s="321"/>
      <c r="Z119" s="321"/>
      <c r="AA119" s="321"/>
    </row>
    <row r="120" spans="1:27" ht="16.5" thickBot="1">
      <c r="A120" s="321"/>
      <c r="B120" s="321"/>
      <c r="C120" s="1468">
        <v>44194</v>
      </c>
      <c r="D120" s="1469">
        <v>118</v>
      </c>
      <c r="E120" s="1470" t="s">
        <v>1013</v>
      </c>
      <c r="F120" s="1471" t="s">
        <v>9</v>
      </c>
      <c r="G120" s="1472">
        <v>40</v>
      </c>
      <c r="H120" s="1473" t="s">
        <v>601</v>
      </c>
      <c r="I120" s="1473" t="s">
        <v>51</v>
      </c>
      <c r="J120" s="1390" t="s">
        <v>356</v>
      </c>
      <c r="K120" s="785"/>
      <c r="L120" s="327"/>
      <c r="M120" s="328"/>
      <c r="N120" s="321"/>
      <c r="O120" s="321"/>
      <c r="P120" s="321"/>
      <c r="Q120" s="368"/>
      <c r="R120" s="321"/>
      <c r="S120" s="321"/>
      <c r="T120" s="321"/>
      <c r="U120" s="321"/>
      <c r="V120" s="321"/>
      <c r="X120" s="321"/>
      <c r="Y120" s="321"/>
      <c r="Z120" s="321"/>
      <c r="AA120" s="321"/>
    </row>
    <row r="121" spans="1:27" ht="16.5" thickBot="1">
      <c r="A121" s="321"/>
      <c r="B121" s="321"/>
      <c r="C121" s="1468">
        <v>44194</v>
      </c>
      <c r="D121" s="1469">
        <v>109</v>
      </c>
      <c r="E121" s="1470" t="s">
        <v>1014</v>
      </c>
      <c r="F121" s="1471" t="s">
        <v>9</v>
      </c>
      <c r="G121" s="1472">
        <v>64</v>
      </c>
      <c r="H121" s="1429" t="s">
        <v>396</v>
      </c>
      <c r="I121" s="1473" t="s">
        <v>49</v>
      </c>
      <c r="J121" s="1390" t="s">
        <v>356</v>
      </c>
      <c r="K121" s="785"/>
      <c r="L121" s="327"/>
      <c r="M121" s="328"/>
      <c r="N121" s="321"/>
      <c r="O121" s="321"/>
      <c r="P121" s="321"/>
      <c r="Q121" s="321"/>
      <c r="R121" s="321"/>
      <c r="S121" s="321"/>
      <c r="T121" s="321"/>
      <c r="U121" s="321"/>
      <c r="V121" s="321"/>
      <c r="X121" s="321"/>
      <c r="Y121" s="321"/>
      <c r="Z121" s="321"/>
      <c r="AA121" s="321"/>
    </row>
    <row r="122" spans="1:27" ht="16.5" thickBot="1">
      <c r="A122" s="321"/>
      <c r="B122" s="321"/>
      <c r="C122" s="1468">
        <v>44194</v>
      </c>
      <c r="D122" s="1469">
        <v>122</v>
      </c>
      <c r="E122" s="1470" t="s">
        <v>1015</v>
      </c>
      <c r="F122" s="1471" t="s">
        <v>9</v>
      </c>
      <c r="G122" s="1472">
        <v>65</v>
      </c>
      <c r="H122" s="1473" t="s">
        <v>653</v>
      </c>
      <c r="I122" s="1473" t="s">
        <v>51</v>
      </c>
      <c r="J122" s="1390" t="s">
        <v>356</v>
      </c>
      <c r="K122" s="785"/>
      <c r="L122" s="327"/>
      <c r="M122" s="328"/>
      <c r="N122" s="321"/>
      <c r="O122" s="321"/>
      <c r="P122" s="321"/>
      <c r="Q122" s="321"/>
      <c r="R122" s="321"/>
      <c r="S122" s="321"/>
      <c r="T122" s="321"/>
      <c r="U122" s="321"/>
      <c r="V122" s="321"/>
      <c r="X122" s="321"/>
      <c r="Y122" s="321"/>
      <c r="Z122" s="321"/>
      <c r="AA122" s="321"/>
    </row>
    <row r="123" spans="1:27" ht="16.5" thickBot="1">
      <c r="A123" s="321"/>
      <c r="B123" s="321"/>
      <c r="C123" s="1468">
        <v>44194</v>
      </c>
      <c r="D123" s="1469">
        <v>121</v>
      </c>
      <c r="E123" s="1470" t="s">
        <v>1016</v>
      </c>
      <c r="F123" s="1471" t="s">
        <v>10</v>
      </c>
      <c r="G123" s="1472">
        <v>40</v>
      </c>
      <c r="H123" s="1473" t="s">
        <v>275</v>
      </c>
      <c r="I123" s="1473" t="s">
        <v>51</v>
      </c>
      <c r="J123" s="1390" t="s">
        <v>356</v>
      </c>
      <c r="K123" s="785"/>
      <c r="L123" s="327"/>
      <c r="M123" s="328"/>
      <c r="N123" s="321"/>
      <c r="O123" s="321"/>
      <c r="P123" s="321"/>
      <c r="Q123" s="321"/>
      <c r="R123" s="321"/>
      <c r="S123" s="321"/>
      <c r="T123" s="321"/>
      <c r="U123" s="321"/>
      <c r="V123" s="321"/>
      <c r="X123" s="321"/>
      <c r="Y123" s="321"/>
      <c r="Z123" s="321"/>
      <c r="AA123" s="321"/>
    </row>
    <row r="124" spans="1:27" ht="16.5" thickBot="1">
      <c r="A124" s="321"/>
      <c r="B124" s="321"/>
      <c r="C124" s="1468">
        <v>44194</v>
      </c>
      <c r="D124" s="1469">
        <v>121</v>
      </c>
      <c r="E124" s="1470" t="s">
        <v>1017</v>
      </c>
      <c r="F124" s="1471" t="s">
        <v>10</v>
      </c>
      <c r="G124" s="1472">
        <v>40</v>
      </c>
      <c r="H124" s="1473" t="s">
        <v>275</v>
      </c>
      <c r="I124" s="1473" t="s">
        <v>51</v>
      </c>
      <c r="J124" s="1390" t="s">
        <v>356</v>
      </c>
      <c r="K124" s="785"/>
      <c r="L124" s="327"/>
      <c r="M124" s="328"/>
      <c r="N124" s="321"/>
      <c r="O124" s="321"/>
      <c r="P124" s="321"/>
      <c r="Q124" s="321"/>
      <c r="R124" s="321"/>
      <c r="S124" s="321"/>
      <c r="T124" s="321"/>
      <c r="U124" s="321"/>
      <c r="V124" s="321"/>
      <c r="X124" s="321"/>
      <c r="Y124" s="321"/>
      <c r="Z124" s="321"/>
      <c r="AA124" s="321"/>
    </row>
    <row r="125" spans="1:27" ht="30.75" thickBot="1">
      <c r="A125" s="321"/>
      <c r="B125" s="321"/>
      <c r="C125" s="1468">
        <v>44194</v>
      </c>
      <c r="D125" s="1469">
        <v>117</v>
      </c>
      <c r="E125" s="1470" t="s">
        <v>1018</v>
      </c>
      <c r="F125" s="1471" t="s">
        <v>10</v>
      </c>
      <c r="G125" s="1472">
        <v>64</v>
      </c>
      <c r="H125" s="1473" t="s">
        <v>331</v>
      </c>
      <c r="I125" s="1473" t="s">
        <v>51</v>
      </c>
      <c r="J125" s="1390" t="s">
        <v>356</v>
      </c>
      <c r="K125" s="785"/>
      <c r="L125" s="327"/>
      <c r="M125" s="328"/>
      <c r="N125" s="321"/>
      <c r="O125" s="321"/>
      <c r="P125" s="321"/>
      <c r="Q125" s="321"/>
      <c r="R125" s="321"/>
      <c r="S125" s="321"/>
      <c r="T125" s="321"/>
      <c r="U125" s="321"/>
      <c r="V125" s="321"/>
      <c r="X125" s="321"/>
      <c r="Y125" s="321"/>
      <c r="Z125" s="321"/>
      <c r="AA125" s="321"/>
    </row>
    <row r="126" spans="1:27" ht="16.5" thickBot="1">
      <c r="A126" s="321"/>
      <c r="B126" s="321"/>
      <c r="C126" s="1476">
        <v>44195</v>
      </c>
      <c r="D126" s="1477">
        <v>129</v>
      </c>
      <c r="E126" s="1478" t="s">
        <v>1019</v>
      </c>
      <c r="F126" s="1479" t="s">
        <v>9</v>
      </c>
      <c r="G126" s="1442">
        <v>40</v>
      </c>
      <c r="H126" s="1459" t="s">
        <v>85</v>
      </c>
      <c r="I126" s="1480" t="s">
        <v>51</v>
      </c>
      <c r="J126" s="1390" t="s">
        <v>356</v>
      </c>
      <c r="K126" s="785"/>
      <c r="L126" s="327"/>
      <c r="M126" s="328"/>
      <c r="N126" s="321"/>
      <c r="O126" s="321"/>
      <c r="P126" s="321"/>
      <c r="Q126" s="321"/>
      <c r="R126" s="321"/>
      <c r="S126" s="321"/>
      <c r="T126" s="321"/>
      <c r="U126" s="321"/>
      <c r="V126" s="321"/>
      <c r="X126" s="321"/>
      <c r="Y126" s="321"/>
      <c r="Z126" s="321"/>
      <c r="AA126" s="321"/>
    </row>
    <row r="127" spans="1:27" ht="16.5" thickBot="1">
      <c r="A127" s="321"/>
      <c r="B127" s="321"/>
      <c r="C127" s="1476">
        <v>44195</v>
      </c>
      <c r="D127" s="1477">
        <v>118</v>
      </c>
      <c r="E127" s="1478" t="s">
        <v>1020</v>
      </c>
      <c r="F127" s="1479" t="s">
        <v>9</v>
      </c>
      <c r="G127" s="1442">
        <v>40</v>
      </c>
      <c r="H127" s="1480" t="s">
        <v>577</v>
      </c>
      <c r="I127" s="1480" t="s">
        <v>51</v>
      </c>
      <c r="J127" s="1390" t="s">
        <v>356</v>
      </c>
      <c r="K127" s="785"/>
      <c r="L127" s="327"/>
      <c r="M127" s="328"/>
      <c r="N127" s="321"/>
      <c r="O127" s="321"/>
      <c r="P127" s="321"/>
      <c r="Q127" s="321"/>
      <c r="R127" s="321"/>
      <c r="S127" s="321"/>
      <c r="T127" s="321"/>
      <c r="U127" s="321"/>
      <c r="V127" s="321"/>
      <c r="X127" s="321"/>
      <c r="Y127" s="321"/>
      <c r="Z127" s="321"/>
      <c r="AA127" s="321"/>
    </row>
    <row r="128" spans="1:27" ht="16.5" thickBot="1">
      <c r="A128" s="321"/>
      <c r="B128" s="321"/>
      <c r="C128" s="1476">
        <v>44195</v>
      </c>
      <c r="D128" s="1477">
        <v>118</v>
      </c>
      <c r="E128" s="1478" t="s">
        <v>1021</v>
      </c>
      <c r="F128" s="1479" t="s">
        <v>9</v>
      </c>
      <c r="G128" s="1442">
        <v>40</v>
      </c>
      <c r="H128" s="1480" t="s">
        <v>577</v>
      </c>
      <c r="I128" s="1480" t="s">
        <v>51</v>
      </c>
      <c r="J128" s="1390" t="s">
        <v>356</v>
      </c>
      <c r="K128" s="786"/>
      <c r="L128" s="327"/>
      <c r="M128" s="328"/>
      <c r="N128" s="321"/>
      <c r="O128" s="321"/>
      <c r="P128" s="321"/>
      <c r="Q128" s="321"/>
      <c r="R128" s="321"/>
      <c r="S128" s="321"/>
      <c r="T128" s="321"/>
      <c r="U128" s="321"/>
      <c r="V128" s="321"/>
      <c r="X128" s="321"/>
      <c r="Y128" s="321"/>
      <c r="Z128" s="321"/>
      <c r="AA128" s="321"/>
    </row>
    <row r="129" spans="1:27" ht="15.75" customHeight="1" thickBot="1">
      <c r="A129" s="321"/>
      <c r="B129" s="321"/>
      <c r="C129" s="1476">
        <v>44195</v>
      </c>
      <c r="D129" s="1477">
        <v>129</v>
      </c>
      <c r="E129" s="1478" t="s">
        <v>1022</v>
      </c>
      <c r="F129" s="1479" t="s">
        <v>9</v>
      </c>
      <c r="G129" s="1442">
        <v>40</v>
      </c>
      <c r="H129" s="1459" t="s">
        <v>85</v>
      </c>
      <c r="I129" s="1480" t="s">
        <v>51</v>
      </c>
      <c r="J129" s="1390" t="s">
        <v>356</v>
      </c>
      <c r="K129" s="785"/>
      <c r="L129" s="327"/>
      <c r="M129" s="328"/>
      <c r="N129" s="321"/>
      <c r="O129" s="321"/>
      <c r="P129" s="321"/>
      <c r="Q129" s="321"/>
      <c r="R129" s="321"/>
      <c r="S129" s="321"/>
      <c r="T129" s="321"/>
      <c r="U129" s="321"/>
      <c r="V129" s="321"/>
      <c r="X129" s="321"/>
      <c r="Y129" s="321"/>
      <c r="Z129" s="321"/>
      <c r="AA129" s="321"/>
    </row>
    <row r="130" spans="1:27" ht="16.5" thickBot="1">
      <c r="A130" s="321"/>
      <c r="B130" s="321"/>
      <c r="C130" s="1481">
        <v>44195</v>
      </c>
      <c r="D130" s="1482">
        <v>105</v>
      </c>
      <c r="E130" s="1483" t="s">
        <v>1023</v>
      </c>
      <c r="F130" s="1414" t="s">
        <v>9</v>
      </c>
      <c r="G130" s="1445">
        <v>40</v>
      </c>
      <c r="H130" s="1453" t="s">
        <v>85</v>
      </c>
      <c r="I130" s="1415" t="s">
        <v>47</v>
      </c>
      <c r="J130" s="1390" t="s">
        <v>356</v>
      </c>
      <c r="K130" s="787"/>
      <c r="L130" s="327"/>
      <c r="M130" s="328"/>
      <c r="N130" s="321"/>
      <c r="O130" s="321"/>
      <c r="P130" s="321"/>
      <c r="Q130" s="321"/>
      <c r="R130" s="321"/>
      <c r="S130" s="321"/>
      <c r="T130" s="321"/>
      <c r="U130" s="321"/>
      <c r="V130" s="321"/>
      <c r="X130" s="321"/>
      <c r="Y130" s="321"/>
      <c r="Z130" s="321"/>
      <c r="AA130" s="321"/>
    </row>
    <row r="131" spans="1:27" ht="16.5" thickBot="1">
      <c r="A131" s="321"/>
      <c r="B131" s="321"/>
      <c r="C131" s="1481">
        <v>44195</v>
      </c>
      <c r="D131" s="1482">
        <v>105</v>
      </c>
      <c r="E131" s="1483" t="s">
        <v>1024</v>
      </c>
      <c r="F131" s="1414" t="s">
        <v>10</v>
      </c>
      <c r="G131" s="1445">
        <v>40</v>
      </c>
      <c r="H131" s="1415" t="s">
        <v>275</v>
      </c>
      <c r="I131" s="1415" t="s">
        <v>47</v>
      </c>
      <c r="J131" s="1390" t="s">
        <v>356</v>
      </c>
      <c r="K131" s="786"/>
      <c r="L131" s="327"/>
      <c r="M131" s="328"/>
      <c r="N131" s="321"/>
      <c r="O131" s="321"/>
      <c r="P131" s="321"/>
      <c r="Q131" s="321"/>
      <c r="R131" s="321"/>
      <c r="S131" s="321"/>
      <c r="T131" s="321"/>
      <c r="U131" s="321"/>
      <c r="V131" s="321"/>
      <c r="X131" s="321"/>
      <c r="Y131" s="321"/>
      <c r="Z131" s="321"/>
      <c r="AA131" s="321"/>
    </row>
    <row r="132" spans="1:27" ht="16.5" thickBot="1">
      <c r="A132" s="321"/>
      <c r="B132" s="321"/>
      <c r="C132" s="1481">
        <v>44195</v>
      </c>
      <c r="D132" s="1482">
        <v>105</v>
      </c>
      <c r="E132" s="1483" t="s">
        <v>1023</v>
      </c>
      <c r="F132" s="1414" t="s">
        <v>8</v>
      </c>
      <c r="G132" s="1445">
        <v>40</v>
      </c>
      <c r="H132" s="1453" t="s">
        <v>85</v>
      </c>
      <c r="I132" s="1415" t="s">
        <v>47</v>
      </c>
      <c r="J132" s="1390" t="s">
        <v>356</v>
      </c>
      <c r="K132" s="786"/>
      <c r="L132" s="327"/>
      <c r="M132" s="328"/>
      <c r="N132" s="321"/>
      <c r="O132" s="321"/>
      <c r="P132" s="321"/>
      <c r="Q132" s="321"/>
      <c r="R132" s="321"/>
      <c r="S132" s="321"/>
      <c r="T132" s="321"/>
      <c r="U132" s="321"/>
      <c r="V132" s="321"/>
      <c r="X132" s="321"/>
      <c r="Y132" s="321"/>
      <c r="Z132" s="321"/>
      <c r="AA132" s="321"/>
    </row>
    <row r="133" spans="1:27" ht="16.5" thickBot="1">
      <c r="A133" s="321"/>
      <c r="B133" s="321"/>
      <c r="C133" s="1481">
        <v>44195</v>
      </c>
      <c r="D133" s="1482">
        <v>111</v>
      </c>
      <c r="E133" s="1483" t="s">
        <v>1025</v>
      </c>
      <c r="F133" s="1414" t="s">
        <v>8</v>
      </c>
      <c r="G133" s="1445">
        <v>65</v>
      </c>
      <c r="H133" s="1387" t="s">
        <v>311</v>
      </c>
      <c r="I133" s="1415" t="s">
        <v>47</v>
      </c>
      <c r="J133" s="1390" t="s">
        <v>356</v>
      </c>
      <c r="K133" s="326"/>
      <c r="L133" s="327"/>
      <c r="M133" s="328"/>
      <c r="N133" s="321"/>
      <c r="O133" s="321"/>
      <c r="P133" s="321"/>
      <c r="Q133" s="321"/>
      <c r="R133" s="321"/>
      <c r="S133" s="321"/>
      <c r="T133" s="321"/>
      <c r="U133" s="321"/>
      <c r="V133" s="321"/>
      <c r="X133" s="321"/>
      <c r="Y133" s="321"/>
      <c r="Z133" s="321"/>
      <c r="AA133" s="321"/>
    </row>
    <row r="134" spans="1:27" ht="16.5" thickBot="1">
      <c r="A134" s="321"/>
      <c r="B134" s="321"/>
      <c r="C134" s="1481">
        <v>44195</v>
      </c>
      <c r="D134" s="1482">
        <v>111</v>
      </c>
      <c r="E134" s="1483" t="s">
        <v>1025</v>
      </c>
      <c r="F134" s="1414" t="s">
        <v>8</v>
      </c>
      <c r="G134" s="1445">
        <v>65</v>
      </c>
      <c r="H134" s="1415" t="s">
        <v>91</v>
      </c>
      <c r="I134" s="1415" t="s">
        <v>47</v>
      </c>
      <c r="J134" s="1390" t="s">
        <v>356</v>
      </c>
      <c r="K134" s="321"/>
      <c r="L134" s="360"/>
      <c r="M134" s="392"/>
      <c r="N134" s="321"/>
      <c r="O134" s="321"/>
      <c r="P134" s="321"/>
      <c r="Q134" s="321"/>
      <c r="R134" s="321"/>
      <c r="S134" s="321"/>
      <c r="T134" s="321"/>
      <c r="U134" s="321"/>
      <c r="V134" s="321"/>
      <c r="X134" s="321"/>
      <c r="Y134" s="321"/>
      <c r="Z134" s="321"/>
      <c r="AA134" s="321"/>
    </row>
    <row r="135" spans="1:27" ht="16.5" thickBot="1">
      <c r="A135" s="321"/>
      <c r="B135" s="321"/>
      <c r="C135" s="1468">
        <v>44195</v>
      </c>
      <c r="D135" s="1469">
        <v>120</v>
      </c>
      <c r="E135" s="1470" t="s">
        <v>1026</v>
      </c>
      <c r="F135" s="1471" t="s">
        <v>8</v>
      </c>
      <c r="G135" s="1472">
        <v>64</v>
      </c>
      <c r="H135" s="1473" t="s">
        <v>556</v>
      </c>
      <c r="I135" s="1473" t="s">
        <v>51</v>
      </c>
      <c r="J135" s="1390" t="s">
        <v>356</v>
      </c>
      <c r="K135" s="321"/>
      <c r="L135" s="360"/>
      <c r="M135" s="392"/>
      <c r="N135" s="321"/>
      <c r="O135" s="321"/>
      <c r="P135" s="321"/>
      <c r="Q135" s="321"/>
      <c r="R135" s="321"/>
      <c r="S135" s="321"/>
      <c r="T135" s="321"/>
      <c r="U135" s="321"/>
      <c r="V135" s="321"/>
      <c r="X135" s="321"/>
      <c r="Y135" s="321"/>
      <c r="Z135" s="321"/>
      <c r="AA135" s="321"/>
    </row>
    <row r="136" spans="1:27" ht="16.5" thickBot="1">
      <c r="A136" s="321"/>
      <c r="B136" s="321"/>
      <c r="C136" s="1468">
        <v>44195</v>
      </c>
      <c r="D136" s="1469">
        <v>120</v>
      </c>
      <c r="E136" s="1470" t="s">
        <v>1026</v>
      </c>
      <c r="F136" s="1471" t="s">
        <v>8</v>
      </c>
      <c r="G136" s="1472">
        <v>64</v>
      </c>
      <c r="H136" s="1429" t="s">
        <v>396</v>
      </c>
      <c r="I136" s="1473" t="s">
        <v>51</v>
      </c>
      <c r="J136" s="1390" t="s">
        <v>356</v>
      </c>
      <c r="K136" s="321"/>
      <c r="L136" s="360"/>
      <c r="M136" s="392"/>
      <c r="N136" s="321"/>
      <c r="O136" s="321"/>
      <c r="P136" s="321"/>
      <c r="Q136" s="321"/>
      <c r="R136" s="321"/>
      <c r="S136" s="321"/>
      <c r="T136" s="321"/>
      <c r="U136" s="321"/>
      <c r="V136" s="321"/>
      <c r="X136" s="321"/>
      <c r="Y136" s="321"/>
      <c r="Z136" s="321"/>
      <c r="AA136" s="321"/>
    </row>
    <row r="137" spans="1:27" ht="16.5" thickBot="1">
      <c r="A137" s="321"/>
      <c r="B137" s="321"/>
      <c r="C137" s="1468">
        <v>44195</v>
      </c>
      <c r="D137" s="1469">
        <v>120</v>
      </c>
      <c r="E137" s="1470" t="s">
        <v>1026</v>
      </c>
      <c r="F137" s="1471" t="s">
        <v>9</v>
      </c>
      <c r="G137" s="1472">
        <v>64</v>
      </c>
      <c r="H137" s="1429" t="s">
        <v>396</v>
      </c>
      <c r="I137" s="1473" t="s">
        <v>51</v>
      </c>
      <c r="J137" s="1390" t="s">
        <v>356</v>
      </c>
      <c r="K137" s="321"/>
      <c r="L137" s="360"/>
      <c r="M137" s="392"/>
      <c r="N137" s="321"/>
      <c r="O137" s="321"/>
      <c r="P137" s="321"/>
      <c r="Q137" s="321"/>
      <c r="R137" s="321"/>
      <c r="S137" s="321"/>
      <c r="T137" s="321"/>
      <c r="U137" s="321"/>
      <c r="V137" s="321"/>
      <c r="X137" s="321"/>
      <c r="Y137" s="321"/>
      <c r="Z137" s="321"/>
      <c r="AA137" s="321"/>
    </row>
    <row r="138" spans="1:27" ht="30.75" thickBot="1">
      <c r="A138" s="321"/>
      <c r="B138" s="321"/>
      <c r="C138" s="1468">
        <v>44195</v>
      </c>
      <c r="D138" s="1469">
        <v>116</v>
      </c>
      <c r="E138" s="1470" t="s">
        <v>1027</v>
      </c>
      <c r="F138" s="1471" t="s">
        <v>10</v>
      </c>
      <c r="G138" s="1472">
        <v>40</v>
      </c>
      <c r="H138" s="1473" t="s">
        <v>275</v>
      </c>
      <c r="I138" s="1473" t="s">
        <v>51</v>
      </c>
      <c r="J138" s="1390" t="s">
        <v>356</v>
      </c>
      <c r="K138" s="321"/>
      <c r="L138" s="360"/>
      <c r="M138" s="392"/>
      <c r="N138" s="321"/>
      <c r="O138" s="321"/>
      <c r="P138" s="321"/>
      <c r="Q138" s="321"/>
      <c r="R138" s="321"/>
      <c r="S138" s="321"/>
      <c r="T138" s="321"/>
      <c r="U138" s="321"/>
      <c r="V138" s="321"/>
      <c r="X138" s="321"/>
      <c r="Y138" s="321"/>
      <c r="Z138" s="321"/>
      <c r="AA138" s="321"/>
    </row>
    <row r="139" spans="1:27" ht="16.5" thickBot="1">
      <c r="A139" s="321"/>
      <c r="B139" s="321"/>
      <c r="C139" s="1468">
        <v>44195</v>
      </c>
      <c r="D139" s="1469">
        <v>114</v>
      </c>
      <c r="E139" s="1470" t="s">
        <v>1028</v>
      </c>
      <c r="F139" s="1471" t="s">
        <v>10</v>
      </c>
      <c r="G139" s="1472">
        <v>64</v>
      </c>
      <c r="H139" s="1473" t="s">
        <v>261</v>
      </c>
      <c r="I139" s="1473" t="s">
        <v>51</v>
      </c>
      <c r="J139" s="1390" t="s">
        <v>356</v>
      </c>
      <c r="K139" s="321"/>
      <c r="L139" s="360"/>
      <c r="M139" s="392"/>
      <c r="N139" s="321"/>
      <c r="O139" s="321"/>
      <c r="P139" s="321"/>
      <c r="Q139" s="321"/>
      <c r="R139" s="321"/>
      <c r="S139" s="321"/>
      <c r="T139" s="321"/>
      <c r="U139" s="321"/>
      <c r="V139" s="321"/>
      <c r="X139" s="321"/>
      <c r="Y139" s="321"/>
      <c r="Z139" s="321"/>
      <c r="AA139" s="321"/>
    </row>
    <row r="140" spans="1:27" ht="16.5" thickBot="1">
      <c r="A140" s="321"/>
      <c r="B140" s="321"/>
      <c r="C140" s="1468">
        <v>44196</v>
      </c>
      <c r="D140" s="1469">
        <v>129</v>
      </c>
      <c r="E140" s="1470" t="s">
        <v>1029</v>
      </c>
      <c r="F140" s="1471" t="s">
        <v>8</v>
      </c>
      <c r="G140" s="1472">
        <v>40</v>
      </c>
      <c r="H140" s="1429" t="s">
        <v>85</v>
      </c>
      <c r="I140" s="1473" t="s">
        <v>51</v>
      </c>
      <c r="J140" s="1390" t="s">
        <v>356</v>
      </c>
      <c r="K140" s="321"/>
      <c r="L140" s="360"/>
      <c r="M140" s="392"/>
      <c r="N140" s="321"/>
      <c r="O140" s="321"/>
      <c r="P140" s="321"/>
      <c r="Q140" s="321"/>
      <c r="R140" s="321"/>
      <c r="S140" s="321"/>
      <c r="T140" s="321"/>
      <c r="U140" s="321"/>
      <c r="V140" s="321"/>
      <c r="X140" s="321"/>
      <c r="Y140" s="321"/>
      <c r="Z140" s="321"/>
      <c r="AA140" s="321"/>
    </row>
    <row r="141" spans="1:27" ht="16.5" thickBot="1">
      <c r="A141" s="321"/>
      <c r="B141" s="321"/>
      <c r="C141" s="1468">
        <v>44196</v>
      </c>
      <c r="D141" s="1469">
        <v>129</v>
      </c>
      <c r="E141" s="1470" t="s">
        <v>1029</v>
      </c>
      <c r="F141" s="1471" t="s">
        <v>9</v>
      </c>
      <c r="G141" s="1472">
        <v>40</v>
      </c>
      <c r="H141" s="1429" t="s">
        <v>85</v>
      </c>
      <c r="I141" s="1473" t="s">
        <v>51</v>
      </c>
      <c r="J141" s="1390" t="s">
        <v>356</v>
      </c>
      <c r="K141" s="321"/>
      <c r="L141" s="360"/>
      <c r="M141" s="392"/>
      <c r="N141" s="321"/>
      <c r="O141" s="321"/>
      <c r="P141" s="321"/>
      <c r="Q141" s="321"/>
      <c r="R141" s="321"/>
      <c r="S141" s="321"/>
      <c r="T141" s="321"/>
      <c r="U141" s="321"/>
      <c r="V141" s="321"/>
      <c r="X141" s="321"/>
      <c r="Y141" s="321"/>
      <c r="Z141" s="321"/>
      <c r="AA141" s="321"/>
    </row>
    <row r="142" spans="1:27" ht="16.5" thickBot="1">
      <c r="A142" s="321"/>
      <c r="B142" s="321"/>
      <c r="C142" s="1468">
        <v>44196</v>
      </c>
      <c r="D142" s="1469">
        <v>112</v>
      </c>
      <c r="E142" s="1470" t="s">
        <v>1030</v>
      </c>
      <c r="F142" s="1471" t="s">
        <v>8</v>
      </c>
      <c r="G142" s="1472">
        <v>40</v>
      </c>
      <c r="H142" s="1473" t="s">
        <v>203</v>
      </c>
      <c r="I142" s="1473" t="s">
        <v>47</v>
      </c>
      <c r="J142" s="1390" t="s">
        <v>356</v>
      </c>
      <c r="K142" s="321"/>
      <c r="L142" s="360"/>
      <c r="M142" s="392"/>
      <c r="N142" s="321"/>
      <c r="O142" s="321"/>
      <c r="P142" s="321"/>
      <c r="Q142" s="321"/>
      <c r="R142" s="321"/>
      <c r="S142" s="321"/>
      <c r="T142" s="321"/>
      <c r="U142" s="321"/>
      <c r="V142" s="321"/>
      <c r="X142" s="321"/>
      <c r="Y142" s="321"/>
      <c r="Z142" s="321"/>
      <c r="AA142" s="321"/>
    </row>
    <row r="143" spans="1:27" ht="16.5" thickBot="1">
      <c r="A143" s="321"/>
      <c r="B143" s="321"/>
      <c r="C143" s="1468">
        <v>44196</v>
      </c>
      <c r="D143" s="1469"/>
      <c r="E143" s="1470" t="s">
        <v>1031</v>
      </c>
      <c r="F143" s="1471" t="s">
        <v>8</v>
      </c>
      <c r="G143" s="1472">
        <v>65</v>
      </c>
      <c r="H143" s="1473" t="s">
        <v>735</v>
      </c>
      <c r="I143" s="1473" t="s">
        <v>49</v>
      </c>
      <c r="J143" s="1390" t="s">
        <v>356</v>
      </c>
      <c r="K143" s="321"/>
      <c r="L143" s="360"/>
      <c r="M143" s="392"/>
      <c r="N143" s="321"/>
      <c r="O143" s="321"/>
      <c r="P143" s="321"/>
      <c r="Q143" s="321"/>
      <c r="R143" s="321"/>
      <c r="S143" s="321"/>
      <c r="T143" s="321"/>
      <c r="U143" s="321"/>
      <c r="V143" s="321"/>
      <c r="X143" s="321"/>
      <c r="Y143" s="321"/>
      <c r="Z143" s="321"/>
      <c r="AA143" s="321"/>
    </row>
    <row r="144" spans="1:27" ht="16.5" thickBot="1">
      <c r="A144" s="321"/>
      <c r="B144" s="321"/>
      <c r="C144" s="1468" t="s">
        <v>943</v>
      </c>
      <c r="D144" s="1469">
        <v>105</v>
      </c>
      <c r="E144" s="1470" t="s">
        <v>1032</v>
      </c>
      <c r="F144" s="1471" t="s">
        <v>10</v>
      </c>
      <c r="G144" s="1472">
        <v>40</v>
      </c>
      <c r="H144" s="1473" t="s">
        <v>636</v>
      </c>
      <c r="I144" s="1473" t="s">
        <v>47</v>
      </c>
      <c r="J144" s="1390" t="s">
        <v>356</v>
      </c>
      <c r="K144" s="321"/>
      <c r="L144" s="360"/>
      <c r="M144" s="392"/>
      <c r="N144" s="321"/>
      <c r="O144" s="321"/>
      <c r="P144" s="321"/>
      <c r="Q144" s="321"/>
      <c r="R144" s="321"/>
      <c r="S144" s="321"/>
      <c r="T144" s="321"/>
      <c r="U144" s="321"/>
      <c r="V144" s="321"/>
      <c r="X144" s="321"/>
      <c r="Y144" s="321"/>
      <c r="Z144" s="321"/>
      <c r="AA144" s="321"/>
    </row>
    <row r="145" spans="1:27" ht="16.5" thickBot="1">
      <c r="A145" s="321"/>
      <c r="B145" s="321"/>
      <c r="C145" s="1468" t="s">
        <v>1033</v>
      </c>
      <c r="D145" s="1469">
        <v>125</v>
      </c>
      <c r="E145" s="1470" t="s">
        <v>1034</v>
      </c>
      <c r="F145" s="1471" t="s">
        <v>9</v>
      </c>
      <c r="G145" s="1472">
        <v>40</v>
      </c>
      <c r="H145" s="1473" t="s">
        <v>1035</v>
      </c>
      <c r="I145" s="1473" t="s">
        <v>51</v>
      </c>
      <c r="J145" s="1390" t="s">
        <v>356</v>
      </c>
      <c r="K145" s="321"/>
      <c r="L145" s="360"/>
      <c r="M145" s="392"/>
      <c r="N145" s="321"/>
      <c r="O145" s="321"/>
      <c r="P145" s="321"/>
      <c r="Q145" s="321"/>
      <c r="R145" s="321"/>
      <c r="S145" s="321"/>
      <c r="T145" s="321"/>
      <c r="U145" s="321"/>
      <c r="V145" s="321"/>
      <c r="X145" s="321"/>
      <c r="Y145" s="321"/>
      <c r="Z145" s="321"/>
      <c r="AA145" s="321"/>
    </row>
    <row r="146" spans="1:27" ht="16.5" thickBot="1">
      <c r="A146" s="321"/>
      <c r="B146" s="321"/>
      <c r="C146" s="1468" t="s">
        <v>927</v>
      </c>
      <c r="D146" s="1469">
        <v>105</v>
      </c>
      <c r="E146" s="1470" t="s">
        <v>1036</v>
      </c>
      <c r="F146" s="1471" t="s">
        <v>9</v>
      </c>
      <c r="G146" s="1472">
        <v>40</v>
      </c>
      <c r="H146" s="1473" t="s">
        <v>1037</v>
      </c>
      <c r="I146" s="1473" t="s">
        <v>47</v>
      </c>
      <c r="J146" s="1390"/>
      <c r="K146" s="321"/>
      <c r="L146" s="360"/>
      <c r="M146" s="392"/>
      <c r="N146" s="321"/>
      <c r="O146" s="321"/>
      <c r="P146" s="321"/>
      <c r="Q146" s="321"/>
      <c r="R146" s="321"/>
      <c r="S146" s="321"/>
      <c r="T146" s="321"/>
      <c r="U146" s="321"/>
      <c r="V146" s="321"/>
      <c r="X146" s="321"/>
      <c r="Y146" s="321"/>
      <c r="Z146" s="321"/>
      <c r="AA146" s="321"/>
    </row>
    <row r="147" spans="1:27" ht="16.5" thickBot="1">
      <c r="A147" s="321"/>
      <c r="B147" s="321"/>
      <c r="C147" s="1481"/>
      <c r="D147" s="1482">
        <v>1000</v>
      </c>
      <c r="E147" s="1483" t="s">
        <v>1038</v>
      </c>
      <c r="F147" s="1414" t="s">
        <v>8</v>
      </c>
      <c r="G147" s="1445">
        <v>64</v>
      </c>
      <c r="H147" s="1415" t="s">
        <v>85</v>
      </c>
      <c r="I147" s="1415" t="s">
        <v>49</v>
      </c>
      <c r="J147" s="1390" t="s">
        <v>356</v>
      </c>
      <c r="K147" s="321"/>
      <c r="L147" s="360"/>
      <c r="M147" s="392"/>
      <c r="N147" s="321"/>
      <c r="O147" s="321"/>
      <c r="P147" s="321"/>
      <c r="Q147" s="321"/>
      <c r="R147" s="321"/>
      <c r="S147" s="321"/>
      <c r="T147" s="321"/>
      <c r="U147" s="321"/>
      <c r="V147" s="321"/>
      <c r="X147" s="321"/>
      <c r="Y147" s="321"/>
      <c r="Z147" s="321"/>
      <c r="AA147" s="321"/>
    </row>
    <row r="148" spans="1:27" ht="16.5" thickBot="1">
      <c r="A148" s="321"/>
      <c r="B148" s="321"/>
      <c r="C148" s="1481"/>
      <c r="D148" s="1482"/>
      <c r="E148" s="1483"/>
      <c r="F148" s="1414"/>
      <c r="G148" s="1445"/>
      <c r="H148" s="1415"/>
      <c r="I148" s="1415"/>
      <c r="J148" s="1390"/>
      <c r="K148" s="321"/>
      <c r="L148" s="360"/>
      <c r="M148" s="392"/>
      <c r="N148" s="321"/>
      <c r="O148" s="321"/>
      <c r="P148" s="321"/>
      <c r="Q148" s="321"/>
      <c r="R148" s="321"/>
      <c r="S148" s="321"/>
      <c r="T148" s="321"/>
      <c r="U148" s="321"/>
      <c r="V148" s="321"/>
      <c r="X148" s="321"/>
      <c r="Y148" s="321"/>
      <c r="Z148" s="321"/>
      <c r="AA148" s="321"/>
    </row>
    <row r="149" spans="1:27" ht="16.5" thickBot="1">
      <c r="A149" s="321"/>
      <c r="B149" s="321"/>
      <c r="C149" s="1481"/>
      <c r="D149" s="1482"/>
      <c r="E149" s="1483"/>
      <c r="F149" s="1414"/>
      <c r="G149" s="1445"/>
      <c r="H149" s="1415"/>
      <c r="I149" s="1415"/>
      <c r="J149" s="1390"/>
      <c r="K149" s="321"/>
      <c r="L149" s="360"/>
      <c r="M149" s="392"/>
      <c r="N149" s="321"/>
      <c r="O149" s="321"/>
      <c r="P149" s="321"/>
      <c r="Q149" s="321"/>
      <c r="R149" s="321"/>
      <c r="S149" s="321"/>
      <c r="T149" s="321"/>
      <c r="U149" s="321"/>
      <c r="V149" s="321"/>
      <c r="X149" s="321"/>
      <c r="Y149" s="321"/>
      <c r="Z149" s="321"/>
      <c r="AA149" s="321"/>
    </row>
    <row r="150" spans="1:27" ht="16.5" thickBot="1">
      <c r="A150" s="321"/>
      <c r="B150" s="321"/>
      <c r="C150" s="1481"/>
      <c r="D150" s="1482"/>
      <c r="E150" s="1483"/>
      <c r="F150" s="1414"/>
      <c r="G150" s="1445"/>
      <c r="H150" s="1415"/>
      <c r="I150" s="1415"/>
      <c r="J150" s="1390"/>
      <c r="K150" s="321"/>
      <c r="L150" s="360"/>
      <c r="M150" s="392"/>
      <c r="N150" s="321"/>
      <c r="O150" s="321"/>
      <c r="P150" s="321"/>
      <c r="Q150" s="321"/>
      <c r="R150" s="321"/>
      <c r="S150" s="321"/>
      <c r="T150" s="321"/>
      <c r="U150" s="321"/>
      <c r="V150" s="321"/>
      <c r="X150" s="321"/>
      <c r="Y150" s="321"/>
      <c r="Z150" s="321"/>
      <c r="AA150" s="321"/>
    </row>
    <row r="151" spans="1:27" ht="16.5" thickBot="1">
      <c r="A151" s="321"/>
      <c r="B151" s="321"/>
      <c r="C151" s="1481"/>
      <c r="D151" s="1482"/>
      <c r="E151" s="1483"/>
      <c r="F151" s="1414"/>
      <c r="G151" s="1445"/>
      <c r="H151" s="1415"/>
      <c r="I151" s="1415"/>
      <c r="J151" s="1390"/>
      <c r="K151" s="321"/>
      <c r="L151" s="360"/>
      <c r="M151" s="392"/>
      <c r="N151" s="321"/>
      <c r="O151" s="321"/>
      <c r="P151" s="321"/>
      <c r="Q151" s="321"/>
      <c r="R151" s="321"/>
      <c r="S151" s="321"/>
      <c r="T151" s="321"/>
      <c r="U151" s="321"/>
      <c r="V151" s="321"/>
      <c r="X151" s="321"/>
      <c r="Y151" s="321"/>
      <c r="Z151" s="321"/>
      <c r="AA151" s="321"/>
    </row>
    <row r="152" spans="1:27" ht="16.5" thickBot="1">
      <c r="A152" s="321"/>
      <c r="B152" s="321"/>
      <c r="C152" s="1481"/>
      <c r="D152" s="1482"/>
      <c r="E152" s="1483"/>
      <c r="F152" s="1414"/>
      <c r="G152" s="1445"/>
      <c r="H152" s="1415"/>
      <c r="I152" s="1415"/>
      <c r="J152" s="1390"/>
      <c r="K152" s="321"/>
      <c r="L152" s="360"/>
      <c r="M152" s="392"/>
      <c r="N152" s="321"/>
      <c r="O152" s="321"/>
      <c r="P152" s="321"/>
      <c r="Q152" s="321"/>
      <c r="R152" s="321"/>
      <c r="S152" s="321"/>
      <c r="T152" s="321"/>
      <c r="U152" s="321"/>
      <c r="V152" s="321"/>
      <c r="X152" s="321"/>
      <c r="Y152" s="321"/>
      <c r="Z152" s="321"/>
      <c r="AA152" s="321"/>
    </row>
    <row r="153" spans="1:27">
      <c r="A153" s="321"/>
      <c r="B153" s="321"/>
      <c r="K153" s="321"/>
      <c r="L153" s="360"/>
      <c r="M153" s="392"/>
      <c r="N153" s="321"/>
      <c r="O153" s="321"/>
      <c r="P153" s="321"/>
      <c r="Q153" s="321"/>
      <c r="R153" s="321"/>
      <c r="S153" s="321"/>
      <c r="T153" s="321"/>
      <c r="U153" s="321"/>
      <c r="V153" s="321"/>
      <c r="X153" s="321"/>
      <c r="Y153" s="321"/>
      <c r="Z153" s="321"/>
      <c r="AA153" s="321"/>
    </row>
    <row r="154" spans="1:27">
      <c r="A154" s="321"/>
      <c r="B154" s="321"/>
      <c r="K154" s="321"/>
      <c r="L154" s="360"/>
      <c r="M154" s="392"/>
      <c r="N154" s="321"/>
      <c r="O154" s="321"/>
      <c r="P154" s="321"/>
      <c r="Q154" s="321"/>
      <c r="R154" s="321"/>
      <c r="S154" s="321"/>
      <c r="T154" s="321"/>
      <c r="U154" s="321"/>
      <c r="V154" s="321"/>
      <c r="X154" s="321"/>
      <c r="Y154" s="321"/>
      <c r="Z154" s="321"/>
      <c r="AA154" s="321"/>
    </row>
    <row r="155" spans="1:27">
      <c r="A155" s="321"/>
      <c r="B155" s="321"/>
      <c r="K155" s="321"/>
      <c r="L155" s="360"/>
      <c r="M155" s="392"/>
      <c r="N155" s="321"/>
      <c r="O155" s="321"/>
      <c r="P155" s="321"/>
      <c r="Q155" s="321"/>
      <c r="R155" s="321"/>
      <c r="S155" s="321"/>
      <c r="T155" s="321"/>
      <c r="U155" s="321"/>
      <c r="V155" s="321"/>
      <c r="X155" s="321"/>
      <c r="Y155" s="321"/>
      <c r="Z155" s="321"/>
      <c r="AA155" s="321"/>
    </row>
    <row r="156" spans="1:27">
      <c r="A156" s="321"/>
      <c r="B156" s="321"/>
      <c r="K156" s="321"/>
      <c r="L156" s="360"/>
      <c r="M156" s="392"/>
      <c r="N156" s="321"/>
      <c r="O156" s="321"/>
      <c r="P156" s="321"/>
      <c r="Q156" s="321"/>
      <c r="R156" s="321"/>
      <c r="S156" s="321"/>
      <c r="T156" s="321"/>
      <c r="U156" s="321"/>
      <c r="V156" s="321"/>
      <c r="X156" s="321"/>
      <c r="Y156" s="321"/>
      <c r="Z156" s="321"/>
      <c r="AA156" s="321"/>
    </row>
    <row r="157" spans="1:27">
      <c r="A157" s="321"/>
      <c r="B157" s="321"/>
      <c r="K157" s="321"/>
      <c r="L157" s="360"/>
      <c r="M157" s="392"/>
      <c r="N157" s="321"/>
      <c r="O157" s="321"/>
      <c r="P157" s="321"/>
      <c r="Q157" s="321"/>
      <c r="R157" s="321"/>
      <c r="S157" s="321"/>
      <c r="T157" s="321"/>
      <c r="U157" s="321"/>
      <c r="V157" s="321"/>
      <c r="X157" s="321"/>
      <c r="Y157" s="321"/>
      <c r="Z157" s="321"/>
      <c r="AA157" s="321"/>
    </row>
    <row r="158" spans="1:27">
      <c r="A158" s="321"/>
      <c r="B158" s="321"/>
      <c r="K158" s="321"/>
      <c r="L158" s="360"/>
      <c r="M158" s="392"/>
      <c r="N158" s="321"/>
      <c r="O158" s="321"/>
      <c r="P158" s="321"/>
      <c r="Q158" s="321"/>
      <c r="R158" s="321"/>
      <c r="S158" s="321"/>
      <c r="T158" s="321"/>
      <c r="U158" s="321"/>
      <c r="V158" s="321"/>
      <c r="X158" s="321"/>
      <c r="Y158" s="321"/>
      <c r="Z158" s="321"/>
      <c r="AA158" s="321"/>
    </row>
    <row r="159" spans="1:27">
      <c r="A159" s="321"/>
      <c r="B159" s="321"/>
      <c r="K159" s="321"/>
      <c r="L159" s="360"/>
      <c r="M159" s="392"/>
      <c r="N159" s="321"/>
      <c r="O159" s="321"/>
      <c r="P159" s="321"/>
      <c r="Q159" s="321"/>
      <c r="R159" s="321"/>
      <c r="S159" s="321"/>
      <c r="T159" s="321"/>
      <c r="U159" s="321"/>
      <c r="V159" s="321"/>
      <c r="X159" s="321"/>
      <c r="Y159" s="321"/>
      <c r="Z159" s="321"/>
      <c r="AA159" s="321"/>
    </row>
    <row r="160" spans="1:27">
      <c r="A160" s="321"/>
      <c r="B160" s="321"/>
      <c r="K160" s="321"/>
      <c r="L160" s="360"/>
      <c r="M160" s="392"/>
      <c r="N160" s="321"/>
      <c r="O160" s="321"/>
      <c r="P160" s="321"/>
      <c r="Q160" s="321"/>
      <c r="R160" s="321"/>
      <c r="S160" s="321"/>
      <c r="T160" s="321"/>
      <c r="U160" s="321"/>
      <c r="V160" s="321"/>
      <c r="X160" s="321"/>
      <c r="Y160" s="321"/>
      <c r="Z160" s="321"/>
      <c r="AA160" s="321"/>
    </row>
    <row r="161" spans="1:27">
      <c r="A161" s="321"/>
      <c r="B161" s="321"/>
      <c r="K161" s="321"/>
      <c r="L161" s="360"/>
      <c r="M161" s="392"/>
      <c r="N161" s="321"/>
      <c r="O161" s="321"/>
      <c r="P161" s="321"/>
      <c r="Q161" s="321"/>
      <c r="R161" s="321"/>
      <c r="S161" s="321"/>
      <c r="T161" s="321"/>
      <c r="U161" s="321"/>
      <c r="V161" s="321"/>
      <c r="X161" s="321"/>
      <c r="Y161" s="321"/>
      <c r="Z161" s="321"/>
      <c r="AA161" s="321"/>
    </row>
    <row r="162" spans="1:27">
      <c r="A162" s="321"/>
      <c r="B162" s="321"/>
      <c r="K162" s="321"/>
      <c r="L162" s="360"/>
      <c r="M162" s="392"/>
      <c r="N162" s="321"/>
      <c r="O162" s="321"/>
      <c r="P162" s="321"/>
      <c r="Q162" s="321"/>
      <c r="R162" s="321"/>
      <c r="S162" s="321"/>
      <c r="T162" s="321"/>
      <c r="U162" s="321"/>
      <c r="V162" s="321"/>
      <c r="X162" s="321"/>
      <c r="Y162" s="321"/>
      <c r="Z162" s="321"/>
      <c r="AA162" s="321"/>
    </row>
    <row r="163" spans="1:27">
      <c r="A163" s="321"/>
      <c r="B163" s="321"/>
      <c r="K163" s="321"/>
      <c r="L163" s="360"/>
      <c r="M163" s="392"/>
      <c r="N163" s="321"/>
      <c r="O163" s="321"/>
      <c r="P163" s="321"/>
      <c r="Q163" s="321"/>
      <c r="R163" s="321"/>
      <c r="S163" s="321"/>
      <c r="T163" s="321"/>
      <c r="U163" s="321"/>
      <c r="V163" s="321"/>
      <c r="X163" s="321"/>
      <c r="Y163" s="321"/>
      <c r="Z163" s="321"/>
      <c r="AA163" s="321"/>
    </row>
    <row r="164" spans="1:27">
      <c r="A164" s="321"/>
      <c r="B164" s="321"/>
      <c r="K164" s="321"/>
      <c r="L164" s="360"/>
      <c r="M164" s="392"/>
      <c r="N164" s="321"/>
      <c r="O164" s="321"/>
      <c r="P164" s="321"/>
      <c r="Q164" s="321"/>
      <c r="R164" s="321"/>
      <c r="S164" s="321"/>
      <c r="T164" s="321"/>
      <c r="U164" s="321"/>
      <c r="V164" s="321"/>
      <c r="X164" s="321"/>
      <c r="Y164" s="321"/>
      <c r="Z164" s="321"/>
      <c r="AA164" s="321"/>
    </row>
    <row r="165" spans="1:27">
      <c r="A165" s="321"/>
      <c r="B165" s="321"/>
      <c r="K165" s="321"/>
      <c r="L165" s="360"/>
      <c r="M165" s="392"/>
      <c r="N165" s="321"/>
      <c r="O165" s="321"/>
      <c r="P165" s="321"/>
      <c r="Q165" s="321"/>
      <c r="R165" s="321"/>
      <c r="S165" s="321"/>
      <c r="T165" s="321"/>
      <c r="U165" s="321"/>
      <c r="V165" s="321"/>
      <c r="X165" s="321"/>
      <c r="Y165" s="321"/>
      <c r="Z165" s="321"/>
      <c r="AA165" s="321"/>
    </row>
    <row r="166" spans="1:27">
      <c r="A166" s="321"/>
      <c r="B166" s="321"/>
      <c r="K166" s="321"/>
      <c r="L166" s="360"/>
      <c r="M166" s="392"/>
      <c r="N166" s="321"/>
      <c r="O166" s="321"/>
      <c r="P166" s="321"/>
      <c r="Q166" s="321"/>
      <c r="R166" s="321"/>
      <c r="S166" s="321"/>
      <c r="T166" s="321"/>
      <c r="U166" s="321"/>
      <c r="V166" s="321"/>
      <c r="X166" s="321"/>
      <c r="Y166" s="321"/>
      <c r="Z166" s="321"/>
      <c r="AA166" s="321"/>
    </row>
    <row r="167" spans="1:27">
      <c r="A167" s="321"/>
      <c r="B167" s="321"/>
      <c r="C167" s="322"/>
      <c r="D167" s="323"/>
      <c r="E167" s="324"/>
      <c r="F167" s="321"/>
      <c r="G167" s="325"/>
      <c r="H167" s="321"/>
      <c r="I167" s="321"/>
      <c r="J167" s="322"/>
      <c r="K167" s="321"/>
      <c r="L167" s="360"/>
      <c r="M167" s="392"/>
      <c r="N167" s="321"/>
      <c r="O167" s="321"/>
      <c r="P167" s="321"/>
      <c r="Q167" s="321"/>
      <c r="R167" s="321"/>
      <c r="S167" s="321"/>
      <c r="T167" s="321"/>
      <c r="U167" s="321"/>
      <c r="V167" s="321"/>
      <c r="X167" s="321"/>
      <c r="Y167" s="321"/>
      <c r="Z167" s="321"/>
      <c r="AA167" s="321"/>
    </row>
    <row r="168" spans="1:27" ht="45.75" customHeight="1" thickBot="1">
      <c r="A168" s="321"/>
      <c r="B168" s="321"/>
      <c r="C168" s="1633" t="s">
        <v>136</v>
      </c>
      <c r="D168" s="1633"/>
      <c r="E168" s="1633"/>
      <c r="F168" s="1633"/>
      <c r="G168" s="1633"/>
      <c r="H168" s="1633"/>
      <c r="I168" s="1633"/>
      <c r="J168" s="1633"/>
      <c r="K168" s="1633"/>
      <c r="L168" s="1633"/>
      <c r="M168" s="1633"/>
      <c r="N168" s="446"/>
      <c r="O168" s="321"/>
      <c r="P168" s="321"/>
      <c r="Q168" s="321"/>
      <c r="R168" s="321"/>
      <c r="S168" s="321"/>
      <c r="T168" s="321"/>
      <c r="U168" s="321"/>
      <c r="V168" s="321"/>
      <c r="X168" s="321"/>
      <c r="Y168" s="321"/>
      <c r="Z168" s="321"/>
      <c r="AA168" s="321"/>
    </row>
    <row r="169" spans="1:27" ht="16.5" customHeight="1" thickBot="1">
      <c r="A169" s="321"/>
      <c r="B169" s="321"/>
      <c r="C169" s="1608" t="s">
        <v>138</v>
      </c>
      <c r="D169" s="406"/>
      <c r="E169" s="407"/>
      <c r="F169" s="408"/>
      <c r="G169" s="409"/>
      <c r="H169" s="410"/>
      <c r="I169" s="408"/>
      <c r="J169" s="411"/>
      <c r="K169" s="406"/>
      <c r="L169" s="216"/>
      <c r="M169" s="217"/>
      <c r="N169" s="446"/>
      <c r="O169" s="321"/>
      <c r="P169" s="321"/>
      <c r="Q169" s="321"/>
      <c r="R169" s="321"/>
      <c r="S169" s="321"/>
      <c r="T169" s="321"/>
      <c r="U169" s="321"/>
      <c r="V169" s="321"/>
      <c r="X169" s="321"/>
      <c r="Y169" s="321"/>
      <c r="Z169" s="321"/>
      <c r="AA169" s="321"/>
    </row>
    <row r="170" spans="1:27">
      <c r="A170" s="321"/>
      <c r="B170" s="321"/>
      <c r="C170" s="1609"/>
      <c r="D170" s="412"/>
      <c r="E170" s="1152" t="s">
        <v>139</v>
      </c>
      <c r="F170" s="413" t="s">
        <v>140</v>
      </c>
      <c r="G170" s="414" t="s">
        <v>141</v>
      </c>
      <c r="H170" s="415"/>
      <c r="I170" s="1036" t="s">
        <v>142</v>
      </c>
      <c r="J170" s="416" t="s">
        <v>143</v>
      </c>
      <c r="K170" s="413" t="s">
        <v>132</v>
      </c>
      <c r="L170" s="246" t="s">
        <v>134</v>
      </c>
      <c r="M170" s="1146"/>
      <c r="N170" s="446"/>
      <c r="O170" s="321"/>
      <c r="P170" s="321"/>
      <c r="Q170" s="321"/>
      <c r="R170" s="321"/>
      <c r="S170" s="321"/>
      <c r="T170" s="321"/>
      <c r="U170" s="321"/>
      <c r="V170" s="321"/>
      <c r="X170" s="321"/>
      <c r="Y170" s="321"/>
      <c r="Z170" s="321"/>
      <c r="AA170" s="321"/>
    </row>
    <row r="171" spans="1:27">
      <c r="A171" s="321"/>
      <c r="B171" s="321"/>
      <c r="C171" s="1609"/>
      <c r="D171" s="412"/>
      <c r="E171" s="417" t="s">
        <v>144</v>
      </c>
      <c r="F171" s="418">
        <f>COUNTIF(J$1:J$168,"Positif")</f>
        <v>123</v>
      </c>
      <c r="G171" s="419">
        <f>COUNTIF(J$1:J$168,"Negatif")</f>
        <v>2</v>
      </c>
      <c r="H171" s="415"/>
      <c r="I171" s="420" t="s">
        <v>145</v>
      </c>
      <c r="J171" s="418">
        <f>COUNTIFS(F$1:F$168,"PQR",G$1:G$168, 40)</f>
        <v>6</v>
      </c>
      <c r="K171" s="421">
        <f>COUNTIFS(F$1:F$168,"PQR",G$1:G$168, 65)</f>
        <v>29</v>
      </c>
      <c r="L171" s="422">
        <f>COUNTIFS(F$1:F$168,"PQR",G$1:G$168,64)</f>
        <v>22</v>
      </c>
      <c r="M171" s="1146"/>
      <c r="N171" s="446"/>
      <c r="O171" s="321"/>
      <c r="P171" s="321"/>
      <c r="Q171" s="321"/>
      <c r="R171" s="321"/>
      <c r="S171" s="321"/>
      <c r="T171" s="321"/>
      <c r="U171" s="321"/>
      <c r="V171" s="321"/>
      <c r="X171" s="321"/>
      <c r="Y171" s="321"/>
      <c r="Z171" s="321"/>
      <c r="AA171" s="321"/>
    </row>
    <row r="172" spans="1:27">
      <c r="A172" s="321"/>
      <c r="B172" s="321"/>
      <c r="C172" s="1609"/>
      <c r="D172" s="412"/>
      <c r="E172" s="423" t="s">
        <v>143</v>
      </c>
      <c r="F172" s="424">
        <f>COUNTIFS(G$1:G$168,40,J$1:J$168, "Positif")</f>
        <v>26</v>
      </c>
      <c r="G172" s="419">
        <f>COUNTIFS(G$1:G$168,40,J$1:J$168, "Negatif")+COUNTIFS(G$1:G$168,40,J$1:J$168, "Negative")+COUNTIFS(G$1:G$168,40,J$1:J$168, "négatif")+COUNTIFS(G$1:G$168,40,J$1:J$168, "négative")</f>
        <v>0</v>
      </c>
      <c r="H172" s="415"/>
      <c r="I172" s="425" t="s">
        <v>146</v>
      </c>
      <c r="J172" s="418">
        <f>COUNTIFS(F$1:F$168,"web",G$1:G$168, 40)</f>
        <v>14</v>
      </c>
      <c r="K172" s="418">
        <f>COUNTIFS(F$1:F$168,"web",G$1:G$168, 65)</f>
        <v>24</v>
      </c>
      <c r="L172" s="419">
        <f>COUNTIFS(F$1:F$168,"web",G$1:G$168, 64)</f>
        <v>23</v>
      </c>
      <c r="M172" s="1146"/>
      <c r="N172" s="446"/>
      <c r="O172" s="321"/>
      <c r="P172" s="321"/>
      <c r="Q172" s="321"/>
      <c r="R172" s="321"/>
      <c r="S172" s="321"/>
      <c r="T172" s="321"/>
      <c r="U172" s="321"/>
      <c r="V172" s="321"/>
      <c r="X172" s="321"/>
      <c r="Y172" s="321"/>
      <c r="Z172" s="321"/>
      <c r="AA172" s="321"/>
    </row>
    <row r="173" spans="1:27">
      <c r="A173" s="321"/>
      <c r="B173" s="321"/>
      <c r="C173" s="1609"/>
      <c r="D173" s="412"/>
      <c r="E173" s="423" t="s">
        <v>132</v>
      </c>
      <c r="F173" s="424">
        <f>COUNTIFS(G$1:G$168,65,J$1:J$168, "Positif")+COUNTIFS(G$1:G$168,65,J$1:J$168,"Positive")</f>
        <v>41</v>
      </c>
      <c r="G173" s="419">
        <f>COUNTIFS(G$1:G$168,65,J$1:J$168, "Negatif")+COUNTIFS(G$1:G$168,65,J$1:J$168, "Negative")+COUNTIFS(G$1:G$168,65,J$1:J$168, "négatif")+COUNTIFS(G$1:G$168,65,J$1:J$168, "négative")</f>
        <v>12</v>
      </c>
      <c r="H173" s="415"/>
      <c r="I173" s="425" t="s">
        <v>147</v>
      </c>
      <c r="J173" s="418">
        <f>COUNTIFS(F$1:F$168,"radio",G$1:G$168, 40)</f>
        <v>6</v>
      </c>
      <c r="K173" s="418">
        <f>COUNTIFS(F$1:F$168,"radio",G$1:G$168, 65)</f>
        <v>0</v>
      </c>
      <c r="L173" s="419">
        <f>COUNTIFS(F$1:F$168,"radio",G$1:G$168, 64)</f>
        <v>9</v>
      </c>
      <c r="M173" s="1146"/>
      <c r="N173" s="446"/>
      <c r="O173" s="321"/>
      <c r="P173" s="321"/>
      <c r="Q173" s="321"/>
      <c r="R173" s="321"/>
      <c r="S173" s="321"/>
      <c r="T173" s="321"/>
      <c r="U173" s="321"/>
      <c r="V173" s="321"/>
      <c r="X173" s="321"/>
      <c r="Y173" s="321"/>
      <c r="Z173" s="321"/>
      <c r="AA173" s="321"/>
    </row>
    <row r="174" spans="1:27" ht="16.5" thickBot="1">
      <c r="A174" s="321"/>
      <c r="B174" s="321"/>
      <c r="C174" s="1609"/>
      <c r="D174" s="412"/>
      <c r="E174" s="426" t="s">
        <v>134</v>
      </c>
      <c r="F174" s="427">
        <f>COUNTIFS(G$1:G$168,64,J$1:J$168, "Positif")+COUNTIFS(G$1:G$168,64,J$1:J$168,"Positive")</f>
        <v>53</v>
      </c>
      <c r="G174" s="428">
        <f>COUNTIFS(G$7:G$168,64,J$7:J$168, "Negatif")+COUNTIFS(G$7:G$168,64,J$7:J$168, "Negative")+COUNTIFS(G$7:G$168,64,J$7:J$168, "négatif")+COUNTIFS(G$7:G$168,64,J$7:J$168, "négative")</f>
        <v>1</v>
      </c>
      <c r="H174" s="415"/>
      <c r="I174" s="429" t="s">
        <v>148</v>
      </c>
      <c r="J174" s="430">
        <f>COUNTIFS(F$1:F$168,"TV",G$1:G$168, 40)</f>
        <v>1</v>
      </c>
      <c r="K174" s="430">
        <f>COUNTIFS(F$1:F$168,"TV",G$1:G$168, 65)</f>
        <v>0</v>
      </c>
      <c r="L174" s="431">
        <f>COUNTIFS(F$1:F$168,"TV",G$1:G$168, 64)</f>
        <v>0</v>
      </c>
      <c r="M174" s="1146"/>
      <c r="N174" s="446"/>
      <c r="O174" s="321"/>
      <c r="P174" s="321"/>
      <c r="Q174" s="321"/>
      <c r="R174" s="321"/>
      <c r="S174" s="321"/>
      <c r="T174" s="321"/>
      <c r="U174" s="321"/>
      <c r="V174" s="321"/>
      <c r="X174" s="321"/>
      <c r="Y174" s="321"/>
      <c r="Z174" s="321"/>
      <c r="AA174" s="321"/>
    </row>
    <row r="175" spans="1:27">
      <c r="A175" s="321"/>
      <c r="B175" s="321"/>
      <c r="C175" s="1609"/>
      <c r="D175" s="412"/>
      <c r="E175" s="432"/>
      <c r="F175" s="433"/>
      <c r="G175" s="433"/>
      <c r="H175" s="415"/>
      <c r="I175" s="434"/>
      <c r="J175" s="435"/>
      <c r="K175" s="436"/>
      <c r="L175" s="434"/>
      <c r="M175" s="437"/>
      <c r="N175" s="446"/>
      <c r="O175" s="321"/>
      <c r="P175" s="321"/>
      <c r="Q175" s="321"/>
      <c r="R175" s="321"/>
      <c r="S175" s="321"/>
      <c r="T175" s="321"/>
      <c r="U175" s="321"/>
      <c r="V175" s="321"/>
      <c r="X175" s="321"/>
      <c r="Y175" s="321"/>
      <c r="Z175" s="321"/>
      <c r="AA175" s="321"/>
    </row>
    <row r="176" spans="1:27" ht="16.5" thickBot="1">
      <c r="A176" s="321"/>
      <c r="B176" s="321"/>
      <c r="C176" s="1610"/>
      <c r="D176" s="438"/>
      <c r="E176" s="439"/>
      <c r="F176" s="440"/>
      <c r="G176" s="441"/>
      <c r="H176" s="442"/>
      <c r="I176" s="443"/>
      <c r="J176" s="441"/>
      <c r="K176" s="444"/>
      <c r="L176" s="443"/>
      <c r="M176" s="445"/>
      <c r="N176" s="446"/>
      <c r="O176" s="321"/>
      <c r="P176" s="321"/>
      <c r="Q176" s="321"/>
      <c r="R176" s="321"/>
      <c r="S176" s="321"/>
      <c r="T176" s="321"/>
      <c r="U176" s="321"/>
      <c r="V176" s="321"/>
      <c r="X176" s="321"/>
      <c r="Y176" s="321"/>
      <c r="Z176" s="321"/>
      <c r="AA176" s="321"/>
    </row>
    <row r="177" spans="1:27" ht="16.5" thickBot="1">
      <c r="A177" s="321"/>
      <c r="B177" s="321"/>
      <c r="C177" s="446"/>
      <c r="D177" s="446"/>
      <c r="E177" s="446"/>
      <c r="F177" s="446"/>
      <c r="G177" s="446"/>
      <c r="H177" s="446"/>
      <c r="I177" s="446"/>
      <c r="J177" s="446"/>
      <c r="K177" s="446"/>
      <c r="L177" s="446"/>
      <c r="M177" s="446"/>
      <c r="N177" s="446"/>
      <c r="O177" s="321"/>
      <c r="P177" s="321"/>
      <c r="Q177" s="321"/>
      <c r="R177" s="321"/>
      <c r="S177" s="321"/>
      <c r="T177" s="321"/>
      <c r="U177" s="321"/>
      <c r="V177" s="321"/>
      <c r="X177" s="321"/>
      <c r="Y177" s="321"/>
      <c r="Z177" s="321"/>
      <c r="AA177" s="321"/>
    </row>
    <row r="178" spans="1:27" ht="16.5" customHeight="1" thickBot="1">
      <c r="A178" s="321"/>
      <c r="B178" s="351"/>
      <c r="C178" s="1608" t="s">
        <v>138</v>
      </c>
      <c r="D178" s="1147"/>
      <c r="E178" s="447"/>
      <c r="F178" s="1148"/>
      <c r="G178" s="1149"/>
      <c r="H178" s="1148"/>
      <c r="I178" s="411"/>
      <c r="J178" s="1150"/>
      <c r="K178" s="446"/>
      <c r="L178" s="446"/>
      <c r="M178" s="446"/>
      <c r="N178" s="538"/>
      <c r="O178" s="321"/>
      <c r="P178" s="321"/>
      <c r="Q178" s="321"/>
      <c r="R178" s="321"/>
      <c r="S178" s="321"/>
      <c r="T178" s="321"/>
      <c r="U178" s="321"/>
      <c r="V178" s="321"/>
      <c r="X178" s="321"/>
      <c r="Y178" s="321"/>
      <c r="Z178" s="321"/>
      <c r="AA178" s="321"/>
    </row>
    <row r="179" spans="1:27">
      <c r="A179" s="321"/>
      <c r="B179" s="351"/>
      <c r="C179" s="1609"/>
      <c r="D179" s="1151"/>
      <c r="E179" s="1611" t="s">
        <v>149</v>
      </c>
      <c r="F179" s="1612"/>
      <c r="G179" s="1153"/>
      <c r="H179" s="1611" t="s">
        <v>236</v>
      </c>
      <c r="I179" s="1612"/>
      <c r="J179" s="1146"/>
      <c r="K179" s="446"/>
      <c r="L179" s="446"/>
      <c r="M179" s="446"/>
      <c r="N179" s="538"/>
      <c r="O179" s="321"/>
      <c r="P179" s="321"/>
      <c r="Q179" s="321"/>
      <c r="R179" s="321"/>
      <c r="S179" s="321"/>
      <c r="T179" s="321"/>
      <c r="U179" s="321"/>
      <c r="V179" s="321"/>
      <c r="X179" s="321"/>
      <c r="Y179" s="321"/>
      <c r="Z179" s="321"/>
      <c r="AA179" s="321"/>
    </row>
    <row r="180" spans="1:27">
      <c r="A180" s="321"/>
      <c r="B180" s="321"/>
      <c r="C180" s="1609"/>
      <c r="D180" s="1151"/>
      <c r="E180" s="1613"/>
      <c r="F180" s="1614"/>
      <c r="G180" s="1153"/>
      <c r="H180" s="1615"/>
      <c r="I180" s="1616"/>
      <c r="J180" s="1146"/>
      <c r="K180" s="446"/>
      <c r="L180" s="446"/>
      <c r="M180" s="446"/>
      <c r="N180" s="446"/>
      <c r="O180" s="321"/>
      <c r="P180" s="321"/>
      <c r="Q180" s="321"/>
      <c r="R180" s="321"/>
      <c r="S180" s="321"/>
      <c r="T180" s="321"/>
      <c r="U180" s="321"/>
      <c r="V180" s="321"/>
      <c r="X180" s="321"/>
      <c r="Y180" s="321"/>
      <c r="Z180" s="321"/>
      <c r="AA180" s="321"/>
    </row>
    <row r="181" spans="1:27">
      <c r="A181" s="321"/>
      <c r="B181" s="360"/>
      <c r="C181" s="1609"/>
      <c r="D181" s="1151"/>
      <c r="E181" s="1613"/>
      <c r="F181" s="1614"/>
      <c r="G181" s="1153"/>
      <c r="H181" s="449" t="s">
        <v>151</v>
      </c>
      <c r="I181" s="450">
        <f>SUM(T:T)</f>
        <v>95</v>
      </c>
      <c r="J181" s="1146"/>
      <c r="K181" s="446"/>
      <c r="L181" s="446"/>
      <c r="M181" s="446"/>
      <c r="N181" s="488"/>
      <c r="O181" s="321"/>
      <c r="P181" s="321"/>
      <c r="Q181" s="321"/>
      <c r="R181" s="321"/>
      <c r="S181" s="321"/>
      <c r="T181" s="321"/>
      <c r="U181" s="321"/>
      <c r="V181" s="321"/>
      <c r="X181" s="321"/>
      <c r="Y181" s="321"/>
      <c r="Z181" s="321"/>
      <c r="AA181" s="321"/>
    </row>
    <row r="182" spans="1:27">
      <c r="A182" s="321"/>
      <c r="B182" s="360"/>
      <c r="C182" s="1609"/>
      <c r="D182" s="1151"/>
      <c r="E182" s="452" t="s">
        <v>152</v>
      </c>
      <c r="F182" s="450">
        <f>COUNTIF(Q:Q,40)</f>
        <v>9</v>
      </c>
      <c r="G182" s="1153"/>
      <c r="H182" s="453" t="s">
        <v>153</v>
      </c>
      <c r="I182" s="450">
        <f>SUMIFS(T:T,Q:Q, 40)</f>
        <v>22</v>
      </c>
      <c r="J182" s="1146"/>
      <c r="K182" s="446"/>
      <c r="L182" s="446"/>
      <c r="M182" s="446"/>
      <c r="N182" s="488"/>
      <c r="O182" s="321"/>
      <c r="P182" s="321"/>
      <c r="Q182" s="321"/>
      <c r="R182" s="321"/>
      <c r="S182" s="321"/>
      <c r="T182" s="321"/>
      <c r="U182" s="321"/>
      <c r="V182" s="321"/>
      <c r="X182" s="321"/>
      <c r="Y182" s="321"/>
      <c r="Z182" s="321"/>
      <c r="AA182" s="321"/>
    </row>
    <row r="183" spans="1:27">
      <c r="A183" s="321"/>
      <c r="B183" s="360"/>
      <c r="C183" s="1609"/>
      <c r="D183" s="1154"/>
      <c r="E183" s="453" t="s">
        <v>154</v>
      </c>
      <c r="F183" s="450">
        <f>COUNTIF(Q:Q,65)</f>
        <v>10</v>
      </c>
      <c r="G183" s="1154"/>
      <c r="H183" s="453" t="s">
        <v>155</v>
      </c>
      <c r="I183" s="450">
        <f>SUMIFS(T:T,Q:Q, 65)</f>
        <v>35</v>
      </c>
      <c r="J183" s="1155"/>
      <c r="K183" s="454"/>
      <c r="L183" s="446"/>
      <c r="M183" s="446"/>
      <c r="N183" s="488"/>
      <c r="O183" s="321"/>
      <c r="P183" s="321"/>
      <c r="Q183" s="321"/>
      <c r="R183" s="321"/>
      <c r="S183" s="321"/>
      <c r="T183" s="321"/>
      <c r="U183" s="321"/>
      <c r="V183" s="321"/>
      <c r="X183" s="321"/>
      <c r="Y183" s="321"/>
      <c r="Z183" s="321"/>
      <c r="AA183" s="321"/>
    </row>
    <row r="184" spans="1:27" ht="16.5" thickBot="1">
      <c r="A184" s="321"/>
      <c r="B184" s="363"/>
      <c r="C184" s="1609"/>
      <c r="D184" s="1154"/>
      <c r="E184" s="455" t="s">
        <v>156</v>
      </c>
      <c r="F184" s="456">
        <f>COUNTIF(Q:Q,64)</f>
        <v>8</v>
      </c>
      <c r="G184" s="1154"/>
      <c r="H184" s="455" t="s">
        <v>157</v>
      </c>
      <c r="I184" s="456">
        <f>SUMIFS(T:T,Q:Q, 64)</f>
        <v>38</v>
      </c>
      <c r="J184" s="1155"/>
      <c r="K184" s="454"/>
      <c r="L184" s="446"/>
      <c r="M184" s="446"/>
      <c r="N184" s="539"/>
      <c r="O184" s="321"/>
      <c r="P184" s="321"/>
      <c r="Q184" s="321"/>
      <c r="R184" s="321"/>
      <c r="S184" s="321"/>
      <c r="T184" s="321"/>
      <c r="U184" s="321"/>
      <c r="V184" s="321"/>
      <c r="X184" s="321"/>
      <c r="Y184" s="321"/>
      <c r="Z184" s="321"/>
      <c r="AA184" s="321"/>
    </row>
    <row r="185" spans="1:27" ht="16.5" thickBot="1">
      <c r="A185" s="321"/>
      <c r="B185" s="360"/>
      <c r="C185" s="1610"/>
      <c r="D185" s="1156"/>
      <c r="E185" s="1156"/>
      <c r="F185" s="1156"/>
      <c r="G185" s="1156"/>
      <c r="H185" s="1156"/>
      <c r="I185" s="1156"/>
      <c r="J185" s="1157"/>
      <c r="K185" s="458"/>
      <c r="L185" s="446"/>
      <c r="M185" s="446"/>
      <c r="N185" s="488"/>
      <c r="O185" s="321"/>
      <c r="P185" s="321"/>
      <c r="Q185" s="321"/>
      <c r="R185" s="321"/>
      <c r="S185" s="321"/>
      <c r="T185" s="321"/>
      <c r="U185" s="321"/>
      <c r="V185" s="321"/>
      <c r="X185" s="321"/>
      <c r="Y185" s="321"/>
      <c r="Z185" s="321"/>
      <c r="AA185" s="321"/>
    </row>
    <row r="186" spans="1:27" ht="16.5" thickBot="1">
      <c r="A186" s="321"/>
      <c r="B186" s="321"/>
      <c r="C186" s="459"/>
      <c r="D186" s="460"/>
      <c r="E186" s="446"/>
      <c r="F186" s="461"/>
      <c r="G186" s="458"/>
      <c r="H186" s="462"/>
      <c r="I186" s="463"/>
      <c r="J186" s="463"/>
      <c r="K186" s="454"/>
      <c r="L186" s="446"/>
      <c r="M186" s="446"/>
      <c r="N186" s="446"/>
      <c r="O186" s="321"/>
      <c r="P186" s="321"/>
      <c r="Q186" s="321"/>
      <c r="R186" s="321"/>
      <c r="S186" s="321"/>
      <c r="T186" s="321"/>
      <c r="U186" s="321"/>
      <c r="V186" s="321"/>
      <c r="X186" s="321"/>
      <c r="Y186" s="321"/>
      <c r="Z186" s="321"/>
      <c r="AA186" s="321"/>
    </row>
    <row r="187" spans="1:27" ht="16.5" customHeight="1" thickBot="1">
      <c r="A187" s="321"/>
      <c r="B187" s="363"/>
      <c r="C187" s="1608" t="s">
        <v>138</v>
      </c>
      <c r="D187" s="1158"/>
      <c r="E187" s="1158"/>
      <c r="F187" s="1158"/>
      <c r="G187" s="1158"/>
      <c r="H187" s="1158"/>
      <c r="I187" s="1158"/>
      <c r="J187" s="1159"/>
      <c r="K187" s="446"/>
      <c r="L187" s="446"/>
      <c r="M187" s="446"/>
      <c r="N187" s="539"/>
      <c r="O187" s="321"/>
      <c r="P187" s="321"/>
      <c r="Q187" s="321"/>
      <c r="R187" s="321"/>
      <c r="S187" s="321"/>
      <c r="T187" s="321"/>
      <c r="U187" s="321"/>
      <c r="V187" s="321"/>
      <c r="X187" s="321"/>
      <c r="Y187" s="321"/>
      <c r="Z187" s="321"/>
      <c r="AA187" s="321"/>
    </row>
    <row r="188" spans="1:27">
      <c r="A188" s="321"/>
      <c r="B188" s="360"/>
      <c r="C188" s="1609"/>
      <c r="D188" s="1154"/>
      <c r="E188" s="1617" t="s">
        <v>237</v>
      </c>
      <c r="F188" s="1618"/>
      <c r="G188" s="1618"/>
      <c r="H188" s="1618"/>
      <c r="I188" s="1619"/>
      <c r="J188" s="1155"/>
      <c r="K188" s="446"/>
      <c r="L188" s="446"/>
      <c r="M188" s="446"/>
      <c r="N188" s="488"/>
      <c r="O188" s="321"/>
      <c r="P188" s="321"/>
      <c r="Q188" s="321"/>
      <c r="R188" s="321"/>
      <c r="S188" s="321"/>
      <c r="T188" s="321"/>
      <c r="U188" s="321"/>
      <c r="V188" s="321"/>
      <c r="X188" s="321"/>
      <c r="Y188" s="321"/>
      <c r="Z188" s="321"/>
      <c r="AA188" s="321"/>
    </row>
    <row r="189" spans="1:27">
      <c r="A189" s="321"/>
      <c r="B189" s="360"/>
      <c r="C189" s="1609"/>
      <c r="D189" s="1154"/>
      <c r="E189" s="464" t="s">
        <v>72</v>
      </c>
      <c r="F189" s="465" t="s">
        <v>159</v>
      </c>
      <c r="G189" s="466" t="s">
        <v>143</v>
      </c>
      <c r="H189" s="466" t="s">
        <v>132</v>
      </c>
      <c r="I189" s="467" t="s">
        <v>134</v>
      </c>
      <c r="J189" s="1155"/>
      <c r="K189" s="446"/>
      <c r="L189" s="446"/>
      <c r="M189" s="446"/>
      <c r="N189" s="488"/>
      <c r="O189" s="321"/>
      <c r="P189" s="321"/>
      <c r="Q189" s="321"/>
      <c r="R189" s="321"/>
      <c r="S189" s="321"/>
      <c r="T189" s="321"/>
      <c r="U189" s="321"/>
      <c r="V189" s="321"/>
      <c r="X189" s="321"/>
      <c r="Y189" s="321"/>
      <c r="Z189" s="321"/>
      <c r="AA189" s="321"/>
    </row>
    <row r="190" spans="1:27">
      <c r="A190" s="321"/>
      <c r="B190" s="321"/>
      <c r="C190" s="1609"/>
      <c r="D190" s="1154"/>
      <c r="E190" s="468" t="s">
        <v>47</v>
      </c>
      <c r="F190" s="1160">
        <f t="shared" ref="F190:F197" si="2">COUNTIFS(I$11:I$168, E190)</f>
        <v>36</v>
      </c>
      <c r="G190" s="1161">
        <f t="shared" ref="G190:G197" si="3">COUNTIFS(G$11:G$168,40,I$11:I$168, E190)</f>
        <v>9</v>
      </c>
      <c r="H190" s="1162">
        <f t="shared" ref="H190:H197" si="4">COUNTIFS(G$11:G$168,65,I$11:I$168, E190)</f>
        <v>23</v>
      </c>
      <c r="I190" s="1163">
        <f t="shared" ref="I190:I197" si="5">COUNTIFS(G$11:G$168,64,I$11:I$168, E190)</f>
        <v>4</v>
      </c>
      <c r="J190" s="1155"/>
      <c r="K190" s="446"/>
      <c r="L190" s="446"/>
      <c r="M190" s="446"/>
      <c r="N190" s="446"/>
      <c r="O190" s="321"/>
      <c r="P190" s="321"/>
      <c r="Q190" s="321"/>
      <c r="R190" s="321"/>
      <c r="S190" s="321"/>
      <c r="T190" s="321"/>
      <c r="U190" s="321"/>
      <c r="V190" s="321"/>
      <c r="X190" s="321"/>
      <c r="Y190" s="321"/>
      <c r="Z190" s="321"/>
      <c r="AA190" s="321"/>
    </row>
    <row r="191" spans="1:27">
      <c r="A191" s="321"/>
      <c r="B191" s="321"/>
      <c r="C191" s="1609"/>
      <c r="D191" s="1154"/>
      <c r="E191" s="469" t="s">
        <v>48</v>
      </c>
      <c r="F191" s="1160">
        <f t="shared" si="2"/>
        <v>3</v>
      </c>
      <c r="G191" s="1161">
        <f t="shared" si="3"/>
        <v>2</v>
      </c>
      <c r="H191" s="1162">
        <f t="shared" si="4"/>
        <v>1</v>
      </c>
      <c r="I191" s="1163">
        <f t="shared" si="5"/>
        <v>0</v>
      </c>
      <c r="J191" s="1155"/>
      <c r="K191" s="446"/>
      <c r="L191" s="446"/>
      <c r="M191" s="446"/>
      <c r="N191" s="446"/>
      <c r="O191" s="321"/>
      <c r="P191" s="321"/>
      <c r="Q191" s="321"/>
      <c r="R191" s="321"/>
      <c r="S191" s="321"/>
      <c r="T191" s="321"/>
      <c r="U191" s="321"/>
      <c r="V191" s="321"/>
      <c r="X191" s="321"/>
      <c r="Y191" s="321"/>
      <c r="Z191" s="321"/>
      <c r="AA191" s="321"/>
    </row>
    <row r="192" spans="1:27">
      <c r="A192" s="321"/>
      <c r="B192" s="321"/>
      <c r="C192" s="1609"/>
      <c r="D192" s="1154"/>
      <c r="E192" s="469" t="s">
        <v>49</v>
      </c>
      <c r="F192" s="1160">
        <f t="shared" si="2"/>
        <v>15</v>
      </c>
      <c r="G192" s="1161">
        <f t="shared" si="3"/>
        <v>0</v>
      </c>
      <c r="H192" s="1162">
        <f t="shared" si="4"/>
        <v>1</v>
      </c>
      <c r="I192" s="1163">
        <f t="shared" si="5"/>
        <v>14</v>
      </c>
      <c r="J192" s="1155"/>
      <c r="K192" s="446"/>
      <c r="L192" s="446"/>
      <c r="M192" s="446"/>
      <c r="N192" s="446"/>
      <c r="O192" s="321"/>
      <c r="P192" s="321"/>
      <c r="Q192" s="321"/>
      <c r="R192" s="321"/>
      <c r="S192" s="321"/>
      <c r="T192" s="321"/>
      <c r="U192" s="321"/>
      <c r="V192" s="321"/>
      <c r="X192" s="321"/>
      <c r="Y192" s="321"/>
      <c r="Z192" s="321"/>
      <c r="AA192" s="321"/>
    </row>
    <row r="193" spans="1:27">
      <c r="A193" s="321"/>
      <c r="B193" s="360"/>
      <c r="C193" s="1609"/>
      <c r="D193" s="1154"/>
      <c r="E193" s="469" t="s">
        <v>50</v>
      </c>
      <c r="F193" s="1160">
        <f t="shared" si="2"/>
        <v>1</v>
      </c>
      <c r="G193" s="1161">
        <f t="shared" si="3"/>
        <v>0</v>
      </c>
      <c r="H193" s="1162">
        <f t="shared" si="4"/>
        <v>1</v>
      </c>
      <c r="I193" s="1163">
        <f t="shared" si="5"/>
        <v>0</v>
      </c>
      <c r="J193" s="1155"/>
      <c r="K193" s="446"/>
      <c r="L193" s="446"/>
      <c r="M193" s="446"/>
      <c r="N193" s="488"/>
      <c r="O193" s="321"/>
      <c r="P193" s="321"/>
      <c r="Q193" s="321"/>
      <c r="R193" s="321"/>
      <c r="S193" s="321"/>
      <c r="T193" s="321"/>
      <c r="U193" s="321"/>
      <c r="V193" s="321"/>
      <c r="X193" s="321"/>
      <c r="Y193" s="321"/>
      <c r="Z193" s="321"/>
      <c r="AA193" s="321"/>
    </row>
    <row r="194" spans="1:27">
      <c r="A194" s="321"/>
      <c r="B194" s="360"/>
      <c r="C194" s="1609"/>
      <c r="D194" s="1154"/>
      <c r="E194" s="469" t="s">
        <v>51</v>
      </c>
      <c r="F194" s="1160">
        <f t="shared" si="2"/>
        <v>53</v>
      </c>
      <c r="G194" s="1161">
        <f t="shared" si="3"/>
        <v>15</v>
      </c>
      <c r="H194" s="1162">
        <f t="shared" si="4"/>
        <v>14</v>
      </c>
      <c r="I194" s="1163">
        <f t="shared" si="5"/>
        <v>22</v>
      </c>
      <c r="J194" s="1155"/>
      <c r="K194" s="446"/>
      <c r="L194" s="446"/>
      <c r="M194" s="446"/>
      <c r="N194" s="488"/>
      <c r="O194" s="321"/>
      <c r="P194" s="321"/>
      <c r="Q194" s="321"/>
      <c r="R194" s="321"/>
      <c r="S194" s="321"/>
      <c r="T194" s="321"/>
      <c r="U194" s="321"/>
      <c r="V194" s="321"/>
      <c r="X194" s="321"/>
      <c r="Y194" s="321"/>
      <c r="Z194" s="321"/>
      <c r="AA194" s="321"/>
    </row>
    <row r="195" spans="1:27">
      <c r="A195" s="321"/>
      <c r="B195" s="360"/>
      <c r="C195" s="1609"/>
      <c r="D195" s="1154"/>
      <c r="E195" s="469" t="s">
        <v>52</v>
      </c>
      <c r="F195" s="1160">
        <f t="shared" si="2"/>
        <v>22</v>
      </c>
      <c r="G195" s="1161">
        <f t="shared" si="3"/>
        <v>0</v>
      </c>
      <c r="H195" s="1162">
        <f t="shared" si="4"/>
        <v>12</v>
      </c>
      <c r="I195" s="1163">
        <f t="shared" si="5"/>
        <v>9</v>
      </c>
      <c r="J195" s="1155"/>
      <c r="K195" s="446"/>
      <c r="L195" s="446"/>
      <c r="M195" s="446"/>
      <c r="N195" s="488"/>
      <c r="O195" s="321"/>
      <c r="P195" s="321"/>
      <c r="Q195" s="321"/>
      <c r="R195" s="321"/>
      <c r="S195" s="321"/>
      <c r="T195" s="321"/>
      <c r="U195" s="321"/>
      <c r="V195" s="321"/>
      <c r="X195" s="321"/>
      <c r="Y195" s="321"/>
      <c r="Z195" s="321"/>
      <c r="AA195" s="321"/>
    </row>
    <row r="196" spans="1:27">
      <c r="A196" s="321"/>
      <c r="B196" s="321"/>
      <c r="C196" s="1609"/>
      <c r="D196" s="1154"/>
      <c r="E196" s="469" t="s">
        <v>53</v>
      </c>
      <c r="F196" s="1160">
        <f t="shared" si="2"/>
        <v>5</v>
      </c>
      <c r="G196" s="1161">
        <f t="shared" si="3"/>
        <v>1</v>
      </c>
      <c r="H196" s="1162">
        <f t="shared" si="4"/>
        <v>1</v>
      </c>
      <c r="I196" s="1163">
        <f t="shared" si="5"/>
        <v>3</v>
      </c>
      <c r="J196" s="1155"/>
      <c r="K196" s="446"/>
      <c r="L196" s="446"/>
      <c r="M196" s="446"/>
      <c r="N196" s="446"/>
      <c r="O196" s="321"/>
      <c r="P196" s="321"/>
      <c r="Q196" s="321"/>
      <c r="R196" s="321"/>
      <c r="S196" s="321"/>
      <c r="T196" s="321"/>
      <c r="U196" s="321"/>
      <c r="V196" s="321"/>
      <c r="X196" s="321"/>
      <c r="Y196" s="321"/>
      <c r="Z196" s="321"/>
      <c r="AA196" s="321"/>
    </row>
    <row r="197" spans="1:27" ht="16.5" thickBot="1">
      <c r="A197" s="321"/>
      <c r="B197" s="360"/>
      <c r="C197" s="1609"/>
      <c r="D197" s="1154"/>
      <c r="E197" s="470" t="s">
        <v>54</v>
      </c>
      <c r="F197" s="1164">
        <f t="shared" si="2"/>
        <v>0</v>
      </c>
      <c r="G197" s="1165">
        <f t="shared" si="3"/>
        <v>0</v>
      </c>
      <c r="H197" s="1166">
        <f t="shared" si="4"/>
        <v>0</v>
      </c>
      <c r="I197" s="1167">
        <f t="shared" si="5"/>
        <v>0</v>
      </c>
      <c r="J197" s="1155"/>
      <c r="K197" s="446"/>
      <c r="L197" s="446"/>
      <c r="M197" s="446"/>
      <c r="N197" s="488"/>
      <c r="O197" s="321"/>
      <c r="P197" s="321"/>
      <c r="Q197" s="321"/>
      <c r="R197" s="321"/>
      <c r="S197" s="321"/>
      <c r="T197" s="321"/>
      <c r="U197" s="321"/>
      <c r="V197" s="321"/>
      <c r="X197" s="321"/>
      <c r="Y197" s="321"/>
      <c r="Z197" s="321"/>
      <c r="AA197" s="321"/>
    </row>
    <row r="198" spans="1:27">
      <c r="A198" s="321"/>
      <c r="B198" s="321"/>
      <c r="C198" s="1609"/>
      <c r="D198" s="1154"/>
      <c r="E198" s="1154"/>
      <c r="F198" s="1154"/>
      <c r="G198" s="1154"/>
      <c r="H198" s="1154"/>
      <c r="I198" s="1154"/>
      <c r="J198" s="1155"/>
      <c r="K198" s="446"/>
      <c r="L198" s="446"/>
      <c r="M198" s="446"/>
      <c r="N198" s="446"/>
      <c r="O198" s="321"/>
      <c r="P198" s="321"/>
      <c r="Q198" s="321"/>
      <c r="R198" s="321"/>
      <c r="S198" s="321"/>
      <c r="T198" s="321"/>
      <c r="U198" s="321"/>
      <c r="V198" s="321"/>
      <c r="X198" s="321"/>
      <c r="Y198" s="321"/>
      <c r="Z198" s="321"/>
      <c r="AA198" s="321"/>
    </row>
    <row r="199" spans="1:27" ht="16.5" thickBot="1">
      <c r="A199" s="321"/>
      <c r="B199" s="360"/>
      <c r="C199" s="1610"/>
      <c r="D199" s="1156"/>
      <c r="E199" s="1156"/>
      <c r="F199" s="1156"/>
      <c r="G199" s="1156"/>
      <c r="H199" s="1156"/>
      <c r="I199" s="1156"/>
      <c r="J199" s="1157"/>
      <c r="K199" s="446"/>
      <c r="L199" s="446"/>
      <c r="M199" s="446"/>
      <c r="N199" s="488"/>
      <c r="O199" s="321"/>
      <c r="P199" s="321"/>
      <c r="Q199" s="321"/>
      <c r="R199" s="321"/>
      <c r="S199" s="321"/>
      <c r="T199" s="321"/>
      <c r="U199" s="321"/>
      <c r="V199" s="321"/>
      <c r="X199" s="321"/>
      <c r="Y199" s="321"/>
      <c r="Z199" s="321"/>
      <c r="AA199" s="321"/>
    </row>
    <row r="200" spans="1:27">
      <c r="A200" s="321"/>
      <c r="B200" s="360"/>
      <c r="C200" s="446"/>
      <c r="D200" s="446"/>
      <c r="E200" s="446"/>
      <c r="F200" s="446"/>
      <c r="G200" s="446"/>
      <c r="H200" s="446"/>
      <c r="I200" s="446"/>
      <c r="J200" s="446"/>
      <c r="K200" s="446"/>
      <c r="L200" s="446"/>
      <c r="M200" s="446"/>
      <c r="N200" s="488"/>
      <c r="O200" s="321"/>
      <c r="P200" s="321"/>
      <c r="Q200" s="321"/>
      <c r="R200" s="321"/>
      <c r="S200" s="321"/>
      <c r="T200" s="321"/>
      <c r="U200" s="321"/>
      <c r="V200" s="321"/>
      <c r="X200" s="321"/>
      <c r="Y200" s="321"/>
      <c r="Z200" s="321"/>
      <c r="AA200" s="321"/>
    </row>
    <row r="201" spans="1:27" ht="16.5" thickBot="1">
      <c r="A201" s="321"/>
      <c r="B201" s="360"/>
      <c r="C201" s="446"/>
      <c r="D201" s="446"/>
      <c r="E201" s="446"/>
      <c r="F201" s="446"/>
      <c r="G201" s="446"/>
      <c r="H201" s="446"/>
      <c r="I201" s="446"/>
      <c r="J201" s="446"/>
      <c r="K201" s="446"/>
      <c r="L201" s="446"/>
      <c r="M201" s="446"/>
      <c r="N201" s="488"/>
      <c r="O201" s="321"/>
      <c r="P201" s="321"/>
      <c r="Q201" s="321"/>
      <c r="R201" s="321"/>
      <c r="S201" s="321"/>
      <c r="T201" s="321"/>
      <c r="U201" s="321"/>
      <c r="V201" s="321"/>
      <c r="X201" s="321"/>
      <c r="Y201" s="321"/>
      <c r="Z201" s="321"/>
      <c r="AA201" s="321"/>
    </row>
    <row r="202" spans="1:27" ht="16.5" customHeight="1" thickBot="1">
      <c r="A202" s="321"/>
      <c r="B202" s="360"/>
      <c r="C202" s="1600" t="s">
        <v>138</v>
      </c>
      <c r="D202" s="471"/>
      <c r="E202" s="472"/>
      <c r="F202" s="472"/>
      <c r="G202" s="472"/>
      <c r="H202" s="472"/>
      <c r="I202" s="472"/>
      <c r="J202" s="472"/>
      <c r="K202" s="472"/>
      <c r="L202" s="472"/>
      <c r="M202" s="472"/>
      <c r="N202" s="473"/>
      <c r="O202" s="321"/>
      <c r="P202" s="321"/>
      <c r="Q202" s="321"/>
      <c r="R202" s="321"/>
      <c r="S202" s="321"/>
      <c r="T202" s="321"/>
      <c r="U202" s="321"/>
      <c r="V202" s="321"/>
      <c r="X202" s="321"/>
      <c r="Y202" s="321"/>
      <c r="Z202" s="321"/>
      <c r="AA202" s="321"/>
    </row>
    <row r="203" spans="1:27">
      <c r="A203" s="321"/>
      <c r="B203" s="360"/>
      <c r="C203" s="1601"/>
      <c r="D203" s="474"/>
      <c r="E203" s="1634" t="s">
        <v>160</v>
      </c>
      <c r="F203" s="1635"/>
      <c r="G203" s="1635"/>
      <c r="H203" s="1635"/>
      <c r="I203" s="1635"/>
      <c r="J203" s="1635"/>
      <c r="K203" s="1635"/>
      <c r="L203" s="1635"/>
      <c r="M203" s="1636"/>
      <c r="N203" s="1168"/>
      <c r="O203" s="321"/>
      <c r="P203" s="321"/>
      <c r="Q203" s="321"/>
      <c r="R203" s="321"/>
      <c r="S203" s="321"/>
      <c r="T203" s="321"/>
      <c r="U203" s="321"/>
      <c r="V203" s="321"/>
      <c r="X203" s="321"/>
      <c r="Y203" s="321"/>
      <c r="Z203" s="321"/>
      <c r="AA203" s="321"/>
    </row>
    <row r="204" spans="1:27">
      <c r="A204" s="321"/>
      <c r="B204" s="360"/>
      <c r="C204" s="1601"/>
      <c r="D204" s="474"/>
      <c r="E204" s="1637"/>
      <c r="F204" s="1638"/>
      <c r="G204" s="1638"/>
      <c r="H204" s="1638"/>
      <c r="I204" s="1638"/>
      <c r="J204" s="1638"/>
      <c r="K204" s="1638"/>
      <c r="L204" s="1638"/>
      <c r="M204" s="1639"/>
      <c r="N204" s="475"/>
      <c r="O204" s="321"/>
      <c r="P204" s="321"/>
      <c r="Q204" s="321"/>
      <c r="R204" s="321"/>
      <c r="S204" s="321"/>
      <c r="T204" s="321"/>
      <c r="U204" s="321"/>
      <c r="V204" s="321"/>
      <c r="X204" s="321"/>
      <c r="Y204" s="321"/>
      <c r="Z204" s="321"/>
      <c r="AA204" s="321"/>
    </row>
    <row r="205" spans="1:27">
      <c r="A205" s="321"/>
      <c r="B205" s="360"/>
      <c r="C205" s="1601"/>
      <c r="D205" s="474"/>
      <c r="E205" s="464" t="s">
        <v>161</v>
      </c>
      <c r="F205" s="1603" t="s">
        <v>159</v>
      </c>
      <c r="G205" s="1604"/>
      <c r="H205" s="1605" t="s">
        <v>143</v>
      </c>
      <c r="I205" s="1606"/>
      <c r="J205" s="1605" t="s">
        <v>162</v>
      </c>
      <c r="K205" s="1606"/>
      <c r="L205" s="1605" t="s">
        <v>163</v>
      </c>
      <c r="M205" s="1607"/>
      <c r="N205" s="475"/>
      <c r="O205" s="321"/>
      <c r="P205" s="321"/>
      <c r="Q205" s="321"/>
      <c r="R205" s="321"/>
      <c r="S205" s="321"/>
      <c r="T205" s="321"/>
      <c r="U205" s="321"/>
      <c r="V205" s="321"/>
      <c r="X205" s="321"/>
      <c r="Y205" s="321"/>
      <c r="Z205" s="321"/>
      <c r="AA205" s="321"/>
    </row>
    <row r="206" spans="1:27">
      <c r="A206" s="321"/>
      <c r="B206" s="321"/>
      <c r="C206" s="1601"/>
      <c r="D206" s="474"/>
      <c r="E206" s="476" t="s">
        <v>47</v>
      </c>
      <c r="F206" s="1169">
        <f>SUM(H206,J206,L206)</f>
        <v>35</v>
      </c>
      <c r="G206" s="1170">
        <f>SUM(I206,K206,M206)</f>
        <v>0</v>
      </c>
      <c r="H206" s="1169">
        <f t="shared" ref="H206:H213" si="6">COUNTIFS(I$1:I$168, E206,J$1:J$168, "Positif",G$1:G$168, 40)</f>
        <v>8</v>
      </c>
      <c r="I206" s="1170">
        <f t="shared" ref="I206:I213" si="7">COUNTIFS(I$1:I$168,E206,J$1:J$168,"Negatif",G$1:G$168,40)+COUNTIFS(I$1:I$168,E206,J$1:J$168,"Négatif",G$1:G$168,40)</f>
        <v>0</v>
      </c>
      <c r="J206" s="1169">
        <f t="shared" ref="J206:J213" si="8">COUNTIFS(I$1:I$168, E206,J$1:J$168, "Positif",G$1:G$168, 65)</f>
        <v>23</v>
      </c>
      <c r="K206" s="1170">
        <f t="shared" ref="K206:K213" si="9">COUNTIFS(I$1:I$168,E206,J$1:J$168,"Negatif",G$1:G$168,65)+COUNTIFS(I$1:I$168,E206,J$1:J$168,"Négatif",G$1:G$168,65)</f>
        <v>0</v>
      </c>
      <c r="L206" s="1169">
        <f t="shared" ref="L206:L213" si="10">COUNTIFS(I$1:I$168, E206,J$1:J$168, "Positif",G$1:G$168,64)</f>
        <v>4</v>
      </c>
      <c r="M206" s="1171">
        <f t="shared" ref="M206:M213" si="11">COUNTIFS(I$1:I$168,E206,J$1:J$168,"Negatif",G$1:G$168,64)+COUNTIFS(I$1:I$168,E206,J$1:J$168,"Négatif",G$1:G$168,64)</f>
        <v>0</v>
      </c>
      <c r="N206" s="475"/>
      <c r="O206" s="321"/>
      <c r="P206" s="321"/>
      <c r="Q206" s="321"/>
      <c r="R206" s="321"/>
      <c r="S206" s="321"/>
      <c r="T206" s="321"/>
      <c r="U206" s="321"/>
      <c r="V206" s="321"/>
      <c r="X206" s="321"/>
      <c r="Y206" s="321"/>
      <c r="Z206" s="321"/>
      <c r="AA206" s="321"/>
    </row>
    <row r="207" spans="1:27">
      <c r="A207" s="321"/>
      <c r="B207" s="321"/>
      <c r="C207" s="1601"/>
      <c r="D207" s="474"/>
      <c r="E207" s="476" t="s">
        <v>48</v>
      </c>
      <c r="F207" s="1169">
        <f t="shared" ref="F207:G213" si="12">SUM(H207,J207,L207)</f>
        <v>3</v>
      </c>
      <c r="G207" s="1170">
        <f t="shared" si="12"/>
        <v>0</v>
      </c>
      <c r="H207" s="1169">
        <f t="shared" si="6"/>
        <v>2</v>
      </c>
      <c r="I207" s="1170">
        <f t="shared" si="7"/>
        <v>0</v>
      </c>
      <c r="J207" s="1169">
        <f t="shared" si="8"/>
        <v>1</v>
      </c>
      <c r="K207" s="1170">
        <f t="shared" si="9"/>
        <v>0</v>
      </c>
      <c r="L207" s="1169">
        <f t="shared" si="10"/>
        <v>0</v>
      </c>
      <c r="M207" s="1171">
        <f t="shared" si="11"/>
        <v>0</v>
      </c>
      <c r="N207" s="475"/>
      <c r="O207" s="321"/>
      <c r="P207" s="321"/>
      <c r="Q207" s="321"/>
      <c r="R207" s="321"/>
      <c r="S207" s="321"/>
      <c r="T207" s="321"/>
      <c r="U207" s="321"/>
      <c r="V207" s="321"/>
      <c r="X207" s="321"/>
      <c r="Y207" s="321"/>
      <c r="Z207" s="321"/>
      <c r="AA207" s="321"/>
    </row>
    <row r="208" spans="1:27">
      <c r="A208" s="321"/>
      <c r="B208" s="321"/>
      <c r="C208" s="1601"/>
      <c r="D208" s="474"/>
      <c r="E208" s="476" t="s">
        <v>49</v>
      </c>
      <c r="F208" s="1169">
        <f t="shared" si="12"/>
        <v>15</v>
      </c>
      <c r="G208" s="1170">
        <f t="shared" si="12"/>
        <v>0</v>
      </c>
      <c r="H208" s="1169">
        <f t="shared" si="6"/>
        <v>0</v>
      </c>
      <c r="I208" s="1170">
        <f t="shared" si="7"/>
        <v>0</v>
      </c>
      <c r="J208" s="1169">
        <f t="shared" si="8"/>
        <v>1</v>
      </c>
      <c r="K208" s="1170">
        <f t="shared" si="9"/>
        <v>0</v>
      </c>
      <c r="L208" s="1169">
        <f t="shared" si="10"/>
        <v>14</v>
      </c>
      <c r="M208" s="1171">
        <f t="shared" si="11"/>
        <v>0</v>
      </c>
      <c r="N208" s="475"/>
      <c r="O208" s="321"/>
      <c r="P208" s="321"/>
      <c r="Q208" s="321"/>
      <c r="R208" s="321"/>
      <c r="S208" s="321"/>
      <c r="T208" s="321"/>
      <c r="U208" s="321"/>
      <c r="V208" s="321"/>
      <c r="X208" s="321"/>
      <c r="Y208" s="321"/>
      <c r="Z208" s="321"/>
      <c r="AA208" s="321"/>
    </row>
    <row r="209" spans="1:27">
      <c r="A209" s="321"/>
      <c r="B209" s="321"/>
      <c r="C209" s="1601"/>
      <c r="D209" s="474"/>
      <c r="E209" s="476" t="s">
        <v>50</v>
      </c>
      <c r="F209" s="1169">
        <f t="shared" si="12"/>
        <v>1</v>
      </c>
      <c r="G209" s="1170">
        <f t="shared" si="12"/>
        <v>0</v>
      </c>
      <c r="H209" s="1169">
        <f t="shared" si="6"/>
        <v>0</v>
      </c>
      <c r="I209" s="1170">
        <f t="shared" si="7"/>
        <v>0</v>
      </c>
      <c r="J209" s="1169">
        <f t="shared" si="8"/>
        <v>1</v>
      </c>
      <c r="K209" s="1170">
        <f t="shared" si="9"/>
        <v>0</v>
      </c>
      <c r="L209" s="1169">
        <f t="shared" si="10"/>
        <v>0</v>
      </c>
      <c r="M209" s="1171">
        <f t="shared" si="11"/>
        <v>0</v>
      </c>
      <c r="N209" s="475"/>
      <c r="O209" s="321"/>
      <c r="P209" s="321"/>
      <c r="Q209" s="321"/>
      <c r="R209" s="321"/>
      <c r="S209" s="321"/>
      <c r="T209" s="321"/>
      <c r="U209" s="321"/>
      <c r="V209" s="321"/>
      <c r="X209" s="321"/>
      <c r="Y209" s="321"/>
      <c r="Z209" s="321"/>
      <c r="AA209" s="321"/>
    </row>
    <row r="210" spans="1:27">
      <c r="A210" s="321"/>
      <c r="B210" s="360"/>
      <c r="C210" s="1601"/>
      <c r="D210" s="474"/>
      <c r="E210" s="476" t="s">
        <v>51</v>
      </c>
      <c r="F210" s="1169">
        <f t="shared" si="12"/>
        <v>40</v>
      </c>
      <c r="G210" s="1170">
        <f t="shared" si="12"/>
        <v>11</v>
      </c>
      <c r="H210" s="1169">
        <f t="shared" si="6"/>
        <v>15</v>
      </c>
      <c r="I210" s="1170">
        <f t="shared" si="7"/>
        <v>0</v>
      </c>
      <c r="J210" s="1169">
        <f t="shared" si="8"/>
        <v>3</v>
      </c>
      <c r="K210" s="1170">
        <f t="shared" si="9"/>
        <v>11</v>
      </c>
      <c r="L210" s="1169">
        <f t="shared" si="10"/>
        <v>22</v>
      </c>
      <c r="M210" s="1171">
        <f t="shared" si="11"/>
        <v>0</v>
      </c>
      <c r="N210" s="475"/>
      <c r="O210" s="321"/>
      <c r="P210" s="321"/>
      <c r="Q210" s="321"/>
      <c r="R210" s="321"/>
      <c r="S210" s="321"/>
      <c r="T210" s="321"/>
      <c r="U210" s="321"/>
      <c r="V210" s="321"/>
      <c r="X210" s="321"/>
      <c r="Y210" s="321"/>
      <c r="Z210" s="321"/>
      <c r="AA210" s="321"/>
    </row>
    <row r="211" spans="1:27">
      <c r="A211" s="321"/>
      <c r="B211" s="360"/>
      <c r="C211" s="1601"/>
      <c r="D211" s="474"/>
      <c r="E211" s="476" t="s">
        <v>52</v>
      </c>
      <c r="F211" s="1169">
        <f t="shared" si="12"/>
        <v>21</v>
      </c>
      <c r="G211" s="1170">
        <f t="shared" si="12"/>
        <v>0</v>
      </c>
      <c r="H211" s="1169">
        <f t="shared" si="6"/>
        <v>0</v>
      </c>
      <c r="I211" s="1170">
        <f t="shared" si="7"/>
        <v>0</v>
      </c>
      <c r="J211" s="1169">
        <f t="shared" si="8"/>
        <v>12</v>
      </c>
      <c r="K211" s="1170">
        <f t="shared" si="9"/>
        <v>0</v>
      </c>
      <c r="L211" s="1169">
        <f t="shared" si="10"/>
        <v>9</v>
      </c>
      <c r="M211" s="1171">
        <f t="shared" si="11"/>
        <v>0</v>
      </c>
      <c r="N211" s="475"/>
      <c r="O211" s="321"/>
      <c r="P211" s="321"/>
      <c r="Q211" s="321"/>
      <c r="R211" s="321"/>
      <c r="S211" s="321"/>
      <c r="T211" s="321"/>
      <c r="U211" s="321"/>
      <c r="V211" s="321"/>
    </row>
    <row r="212" spans="1:27">
      <c r="A212" s="321"/>
      <c r="B212" s="360"/>
      <c r="C212" s="1601"/>
      <c r="D212" s="474"/>
      <c r="E212" s="476" t="s">
        <v>53</v>
      </c>
      <c r="F212" s="1169">
        <f t="shared" si="12"/>
        <v>3</v>
      </c>
      <c r="G212" s="1170">
        <f t="shared" si="12"/>
        <v>2</v>
      </c>
      <c r="H212" s="1169">
        <f t="shared" si="6"/>
        <v>1</v>
      </c>
      <c r="I212" s="1170">
        <f t="shared" si="7"/>
        <v>0</v>
      </c>
      <c r="J212" s="1169">
        <f t="shared" si="8"/>
        <v>0</v>
      </c>
      <c r="K212" s="1170">
        <f t="shared" si="9"/>
        <v>1</v>
      </c>
      <c r="L212" s="1169">
        <f t="shared" si="10"/>
        <v>2</v>
      </c>
      <c r="M212" s="1171">
        <f t="shared" si="11"/>
        <v>1</v>
      </c>
      <c r="N212" s="475"/>
      <c r="O212" s="321"/>
      <c r="P212" s="321"/>
      <c r="Q212" s="321"/>
      <c r="R212" s="321"/>
      <c r="S212" s="321"/>
      <c r="T212" s="321"/>
      <c r="U212" s="321"/>
      <c r="V212" s="321"/>
    </row>
    <row r="213" spans="1:27" ht="16.5" thickBot="1">
      <c r="A213" s="321"/>
      <c r="B213" s="360"/>
      <c r="C213" s="1601"/>
      <c r="D213" s="474"/>
      <c r="E213" s="477" t="s">
        <v>54</v>
      </c>
      <c r="F213" s="1172">
        <f t="shared" si="12"/>
        <v>0</v>
      </c>
      <c r="G213" s="1173">
        <f>SUM(I213,K213,M213)</f>
        <v>0</v>
      </c>
      <c r="H213" s="1172">
        <f t="shared" si="6"/>
        <v>0</v>
      </c>
      <c r="I213" s="1173">
        <f t="shared" si="7"/>
        <v>0</v>
      </c>
      <c r="J213" s="1172">
        <f t="shared" si="8"/>
        <v>0</v>
      </c>
      <c r="K213" s="1173">
        <f t="shared" si="9"/>
        <v>0</v>
      </c>
      <c r="L213" s="1172">
        <f t="shared" si="10"/>
        <v>0</v>
      </c>
      <c r="M213" s="1174">
        <f t="shared" si="11"/>
        <v>0</v>
      </c>
      <c r="N213" s="475"/>
      <c r="O213" s="321"/>
      <c r="P213" s="321"/>
      <c r="Q213" s="321"/>
      <c r="R213" s="321"/>
      <c r="S213" s="321"/>
      <c r="T213" s="321"/>
      <c r="U213" s="321"/>
      <c r="V213" s="321"/>
    </row>
    <row r="214" spans="1:27">
      <c r="A214" s="321"/>
      <c r="B214" s="360"/>
      <c r="C214" s="1601"/>
      <c r="D214" s="474"/>
      <c r="E214" s="478"/>
      <c r="F214" s="479"/>
      <c r="G214" s="479"/>
      <c r="H214" s="479"/>
      <c r="I214" s="479"/>
      <c r="J214" s="480"/>
      <c r="K214" s="480"/>
      <c r="L214" s="480"/>
      <c r="M214" s="480"/>
      <c r="N214" s="475"/>
      <c r="O214" s="321"/>
      <c r="P214" s="321"/>
      <c r="Q214" s="321"/>
      <c r="R214" s="321"/>
      <c r="S214" s="321"/>
      <c r="T214" s="321"/>
      <c r="U214" s="321"/>
      <c r="V214" s="321"/>
    </row>
    <row r="215" spans="1:27" ht="16.5" thickBot="1">
      <c r="A215" s="321"/>
      <c r="B215" s="360"/>
      <c r="C215" s="1602"/>
      <c r="D215" s="481"/>
      <c r="E215" s="482"/>
      <c r="F215" s="482"/>
      <c r="G215" s="482"/>
      <c r="H215" s="482"/>
      <c r="I215" s="482"/>
      <c r="J215" s="482"/>
      <c r="K215" s="482"/>
      <c r="L215" s="482"/>
      <c r="M215" s="482"/>
      <c r="N215" s="483"/>
      <c r="O215" s="321"/>
      <c r="P215" s="321"/>
      <c r="Q215" s="321"/>
      <c r="R215" s="321"/>
      <c r="S215" s="321"/>
      <c r="T215" s="321"/>
      <c r="U215" s="321"/>
      <c r="V215" s="321"/>
    </row>
    <row r="216" spans="1:27">
      <c r="A216" s="321"/>
      <c r="B216" s="321"/>
      <c r="C216" s="322"/>
      <c r="D216" s="323"/>
      <c r="E216" s="324"/>
      <c r="F216" s="321"/>
      <c r="G216" s="325"/>
      <c r="H216" s="321"/>
      <c r="I216" s="321"/>
      <c r="J216" s="322"/>
      <c r="K216" s="321"/>
      <c r="L216" s="360"/>
      <c r="M216" s="392"/>
      <c r="N216" s="321"/>
      <c r="O216" s="321"/>
      <c r="P216" s="321"/>
      <c r="Q216" s="321"/>
      <c r="R216" s="321"/>
      <c r="S216" s="321"/>
      <c r="T216" s="321"/>
      <c r="U216" s="321"/>
      <c r="V216" s="321"/>
    </row>
    <row r="217" spans="1:27">
      <c r="A217" s="321"/>
      <c r="B217" s="321"/>
      <c r="C217" s="322"/>
      <c r="D217" s="323"/>
      <c r="E217" s="324"/>
      <c r="F217" s="321"/>
      <c r="G217" s="325"/>
      <c r="H217" s="321"/>
      <c r="I217" s="321"/>
      <c r="J217" s="322"/>
      <c r="K217" s="321"/>
      <c r="L217" s="360"/>
      <c r="M217" s="392"/>
      <c r="N217" s="321"/>
      <c r="O217" s="321"/>
      <c r="P217" s="321"/>
      <c r="Q217" s="321"/>
      <c r="R217" s="321"/>
      <c r="S217" s="321"/>
      <c r="T217" s="321"/>
      <c r="U217" s="321"/>
      <c r="V217" s="321"/>
    </row>
    <row r="218" spans="1:27">
      <c r="A218" s="321"/>
      <c r="B218" s="321"/>
      <c r="C218" s="322"/>
      <c r="D218" s="323"/>
      <c r="E218" s="324"/>
      <c r="F218" s="321"/>
      <c r="G218" s="325"/>
      <c r="H218" s="321"/>
      <c r="I218" s="321"/>
      <c r="J218" s="322"/>
      <c r="K218" s="321"/>
      <c r="L218" s="360"/>
      <c r="M218" s="392"/>
      <c r="N218" s="321"/>
      <c r="O218" s="321"/>
      <c r="P218" s="321"/>
      <c r="Q218" s="321"/>
      <c r="R218" s="321"/>
      <c r="S218" s="321"/>
      <c r="T218" s="321"/>
      <c r="U218" s="321"/>
      <c r="V218" s="321"/>
    </row>
    <row r="219" spans="1:27">
      <c r="A219" s="321"/>
      <c r="B219" s="321"/>
      <c r="C219" s="322"/>
      <c r="D219" s="323"/>
      <c r="E219" s="324"/>
      <c r="F219" s="321"/>
      <c r="G219" s="325"/>
      <c r="H219" s="321"/>
      <c r="I219" s="321"/>
      <c r="J219" s="322"/>
      <c r="K219" s="321"/>
      <c r="L219" s="360"/>
      <c r="M219" s="392"/>
      <c r="N219" s="321"/>
      <c r="O219" s="321"/>
      <c r="P219" s="321"/>
      <c r="Q219" s="321"/>
      <c r="R219" s="321"/>
      <c r="S219" s="321"/>
      <c r="T219" s="321"/>
      <c r="U219" s="321"/>
      <c r="V219" s="321"/>
    </row>
    <row r="220" spans="1:27">
      <c r="A220" s="321"/>
      <c r="B220" s="321"/>
      <c r="C220" s="322"/>
      <c r="D220" s="323"/>
      <c r="E220" s="324"/>
      <c r="F220" s="321"/>
      <c r="G220" s="325"/>
      <c r="H220" s="321"/>
      <c r="I220" s="321"/>
      <c r="J220" s="322"/>
      <c r="K220" s="321"/>
      <c r="L220" s="360"/>
      <c r="M220" s="392"/>
      <c r="N220" s="321"/>
      <c r="O220" s="321"/>
      <c r="P220" s="321"/>
      <c r="Q220" s="321"/>
      <c r="R220" s="321"/>
      <c r="S220" s="321"/>
      <c r="T220" s="321"/>
      <c r="U220" s="321"/>
      <c r="V220" s="321"/>
    </row>
    <row r="221" spans="1:27">
      <c r="A221" s="321"/>
      <c r="B221" s="321"/>
      <c r="C221" s="322"/>
      <c r="D221" s="323"/>
      <c r="E221" s="324"/>
      <c r="F221" s="321"/>
      <c r="G221" s="325"/>
      <c r="H221" s="321"/>
      <c r="I221" s="321"/>
      <c r="J221" s="322"/>
      <c r="K221" s="321"/>
      <c r="L221" s="360"/>
      <c r="M221" s="392"/>
      <c r="N221" s="321"/>
      <c r="O221" s="321"/>
      <c r="P221" s="321"/>
      <c r="Q221" s="321"/>
      <c r="R221" s="321"/>
      <c r="S221" s="321"/>
      <c r="T221" s="321"/>
      <c r="U221" s="321"/>
      <c r="V221" s="321"/>
    </row>
    <row r="222" spans="1:27">
      <c r="A222" s="321"/>
      <c r="B222" s="321"/>
      <c r="C222" s="322"/>
      <c r="D222" s="323"/>
      <c r="E222" s="324"/>
      <c r="F222" s="321"/>
      <c r="G222" s="325"/>
      <c r="H222" s="321"/>
      <c r="I222" s="321"/>
      <c r="J222" s="322"/>
      <c r="K222" s="321"/>
      <c r="L222" s="360"/>
      <c r="M222" s="392"/>
      <c r="N222" s="321"/>
      <c r="O222" s="321"/>
      <c r="P222" s="321"/>
      <c r="Q222" s="321"/>
      <c r="R222" s="321"/>
      <c r="S222" s="321"/>
      <c r="T222" s="321"/>
      <c r="U222" s="321"/>
      <c r="V222" s="321"/>
    </row>
    <row r="223" spans="1:27">
      <c r="A223" s="321"/>
      <c r="B223" s="321"/>
      <c r="C223" s="322"/>
      <c r="D223" s="323"/>
      <c r="E223" s="324"/>
      <c r="F223" s="321"/>
      <c r="G223" s="325"/>
      <c r="H223" s="321"/>
      <c r="I223" s="321"/>
      <c r="J223" s="322"/>
      <c r="K223" s="321"/>
      <c r="L223" s="360"/>
      <c r="M223" s="392"/>
      <c r="N223" s="321"/>
      <c r="O223" s="321"/>
      <c r="P223" s="321"/>
      <c r="Q223" s="321"/>
      <c r="R223" s="321"/>
      <c r="S223" s="321"/>
      <c r="T223" s="321"/>
      <c r="U223" s="321"/>
      <c r="V223" s="321"/>
    </row>
    <row r="224" spans="1:27">
      <c r="A224" s="321"/>
      <c r="B224" s="321"/>
      <c r="C224" s="322"/>
      <c r="D224" s="323"/>
      <c r="E224" s="324"/>
      <c r="F224" s="321"/>
      <c r="G224" s="325"/>
      <c r="H224" s="321"/>
      <c r="I224" s="321"/>
      <c r="J224" s="322"/>
      <c r="K224" s="321"/>
      <c r="L224" s="360"/>
      <c r="M224" s="392"/>
      <c r="N224" s="321"/>
      <c r="O224" s="321"/>
      <c r="P224" s="321"/>
      <c r="Q224" s="321"/>
      <c r="R224" s="321"/>
      <c r="S224" s="321"/>
      <c r="T224" s="321"/>
      <c r="U224" s="321"/>
      <c r="V224" s="321"/>
    </row>
    <row r="225" spans="1:22">
      <c r="A225" s="321"/>
      <c r="B225" s="321"/>
      <c r="C225" s="322"/>
      <c r="D225" s="323"/>
      <c r="E225" s="324"/>
      <c r="F225" s="321"/>
      <c r="G225" s="325"/>
      <c r="H225" s="321"/>
      <c r="I225" s="321"/>
      <c r="J225" s="322"/>
      <c r="K225" s="321"/>
      <c r="L225" s="360"/>
      <c r="M225" s="392"/>
      <c r="N225" s="321"/>
      <c r="O225" s="321"/>
      <c r="P225" s="321"/>
      <c r="Q225" s="321"/>
      <c r="R225" s="321"/>
      <c r="S225" s="321"/>
      <c r="T225" s="321"/>
      <c r="U225" s="321"/>
      <c r="V225" s="321"/>
    </row>
    <row r="226" spans="1:22">
      <c r="A226" s="321"/>
      <c r="B226" s="321"/>
      <c r="C226" s="322"/>
      <c r="D226" s="323"/>
      <c r="E226" s="324"/>
      <c r="F226" s="321"/>
      <c r="G226" s="325"/>
      <c r="H226" s="321"/>
      <c r="I226" s="321"/>
      <c r="J226" s="322"/>
      <c r="K226" s="321"/>
      <c r="L226" s="360"/>
      <c r="M226" s="392"/>
      <c r="N226" s="321"/>
      <c r="O226" s="321"/>
      <c r="P226" s="321"/>
      <c r="Q226" s="321"/>
      <c r="R226" s="321"/>
      <c r="S226" s="321"/>
      <c r="T226" s="321"/>
      <c r="U226" s="321"/>
      <c r="V226" s="321"/>
    </row>
    <row r="227" spans="1:22">
      <c r="A227" s="321"/>
      <c r="B227" s="321"/>
      <c r="C227" s="322"/>
      <c r="D227" s="323"/>
      <c r="E227" s="324"/>
      <c r="F227" s="321"/>
      <c r="G227" s="325"/>
      <c r="H227" s="321"/>
      <c r="I227" s="321"/>
      <c r="J227" s="322"/>
      <c r="K227" s="321"/>
      <c r="L227" s="360"/>
      <c r="M227" s="392"/>
      <c r="N227" s="321"/>
      <c r="O227" s="321"/>
      <c r="P227" s="321"/>
      <c r="Q227" s="321"/>
      <c r="R227" s="321"/>
      <c r="S227" s="321"/>
      <c r="T227" s="321"/>
      <c r="U227" s="321"/>
      <c r="V227" s="321"/>
    </row>
    <row r="228" spans="1:22">
      <c r="A228" s="321"/>
      <c r="B228" s="321"/>
      <c r="C228" s="322"/>
      <c r="D228" s="323"/>
      <c r="E228" s="324"/>
      <c r="F228" s="321"/>
      <c r="G228" s="325"/>
      <c r="H228" s="321"/>
      <c r="I228" s="321"/>
      <c r="J228" s="322"/>
      <c r="K228" s="321"/>
      <c r="L228" s="360"/>
      <c r="M228" s="392"/>
      <c r="N228" s="321"/>
      <c r="O228" s="321"/>
      <c r="P228" s="321"/>
      <c r="Q228" s="321"/>
      <c r="R228" s="321"/>
      <c r="S228" s="321"/>
      <c r="T228" s="321"/>
      <c r="U228" s="321"/>
      <c r="V228" s="321"/>
    </row>
    <row r="229" spans="1:22">
      <c r="A229" s="321"/>
      <c r="B229" s="321"/>
      <c r="C229" s="322"/>
      <c r="D229" s="323"/>
      <c r="E229" s="324"/>
      <c r="F229" s="321"/>
      <c r="G229" s="325"/>
      <c r="H229" s="321"/>
      <c r="I229" s="321"/>
      <c r="J229" s="322"/>
      <c r="K229" s="321"/>
      <c r="L229" s="360"/>
      <c r="M229" s="392"/>
      <c r="N229" s="321"/>
      <c r="O229" s="321"/>
      <c r="P229" s="321"/>
      <c r="Q229" s="321"/>
      <c r="R229" s="321"/>
      <c r="S229" s="321"/>
      <c r="T229" s="321"/>
      <c r="U229" s="321"/>
      <c r="V229" s="321"/>
    </row>
  </sheetData>
  <sheetProtection formatCells="0" formatColumns="0" formatRows="0" insertHyperlinks="0"/>
  <autoFilter ref="C10:J157" xr:uid="{00000000-0009-0000-0000-00000F000000}">
    <sortState xmlns:xlrd2="http://schemas.microsoft.com/office/spreadsheetml/2017/richdata2" ref="C2:I65">
      <sortCondition ref="C1:C65"/>
    </sortState>
  </autoFilter>
  <mergeCells count="19">
    <mergeCell ref="C178:C185"/>
    <mergeCell ref="E179:F181"/>
    <mergeCell ref="H179:I180"/>
    <mergeCell ref="C168:M168"/>
    <mergeCell ref="B2:L4"/>
    <mergeCell ref="C169:C176"/>
    <mergeCell ref="C8:K9"/>
    <mergeCell ref="M8:T9"/>
    <mergeCell ref="S49:S51"/>
    <mergeCell ref="S52:S54"/>
    <mergeCell ref="S61:S63"/>
    <mergeCell ref="C187:C199"/>
    <mergeCell ref="E188:I188"/>
    <mergeCell ref="C202:C215"/>
    <mergeCell ref="E203:M204"/>
    <mergeCell ref="F205:G205"/>
    <mergeCell ref="H205:I205"/>
    <mergeCell ref="J205:K205"/>
    <mergeCell ref="L205:M205"/>
  </mergeCells>
  <conditionalFormatting sqref="K169 J11:J12 J14:J18 J27 J20:J22 J29:J34 J40 J46 J57:J65 J71:J79 J81:J91 J93:J108 J110:J111 J132:J133 J114:J129 J135:J152">
    <cfRule type="cellIs" dxfId="190" priority="548" operator="equal">
      <formula>"Positif"</formula>
    </cfRule>
    <cfRule type="cellIs" dxfId="189" priority="549" operator="equal">
      <formula>"Negatif"</formula>
    </cfRule>
  </conditionalFormatting>
  <conditionalFormatting sqref="J11:J12 J14:J18 J27 J20:J22 J29:J34 J40 J46 J57:J65 J71:J79 J81:J91 J93:J108 J110:J111 J132:J133 J114:J129 J135:J152">
    <cfRule type="cellIs" dxfId="188" priority="547" operator="equal">
      <formula>"négatif"</formula>
    </cfRule>
  </conditionalFormatting>
  <conditionalFormatting sqref="J35">
    <cfRule type="cellIs" dxfId="187" priority="530" operator="equal">
      <formula>"Positif"</formula>
    </cfRule>
    <cfRule type="cellIs" dxfId="186" priority="531" operator="equal">
      <formula>"Negatif"</formula>
    </cfRule>
  </conditionalFormatting>
  <conditionalFormatting sqref="J35">
    <cfRule type="cellIs" dxfId="185" priority="529" operator="equal">
      <formula>"négatif"</formula>
    </cfRule>
  </conditionalFormatting>
  <conditionalFormatting sqref="J11:J12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4" priority="497" operator="equal">
      <formula>"Negatif"</formula>
    </cfRule>
    <cfRule type="colorScale" priority="498">
      <colorScale>
        <cfvo type="min"/>
        <cfvo type="max"/>
        <color rgb="FFFF7128"/>
        <color rgb="FFFFEF9C"/>
      </colorScale>
    </cfRule>
  </conditionalFormatting>
  <conditionalFormatting sqref="J13">
    <cfRule type="cellIs" dxfId="183" priority="476" operator="equal">
      <formula>"Positif"</formula>
    </cfRule>
    <cfRule type="cellIs" dxfId="182" priority="477" operator="equal">
      <formula>"Negatif"</formula>
    </cfRule>
  </conditionalFormatting>
  <conditionalFormatting sqref="J13">
    <cfRule type="cellIs" dxfId="181" priority="475" operator="equal">
      <formula>"négatif"</formula>
    </cfRule>
  </conditionalFormatting>
  <conditionalFormatting sqref="J1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0" priority="473" operator="equal">
      <formula>"Negatif"</formula>
    </cfRule>
    <cfRule type="colorScale" priority="474">
      <colorScale>
        <cfvo type="min"/>
        <cfvo type="max"/>
        <color rgb="FFFF7128"/>
        <color rgb="FFFFEF9C"/>
      </colorScale>
    </cfRule>
  </conditionalFormatting>
  <conditionalFormatting sqref="J19">
    <cfRule type="cellIs" dxfId="179" priority="461" operator="equal">
      <formula>"Positif"</formula>
    </cfRule>
    <cfRule type="cellIs" dxfId="178" priority="462" operator="equal">
      <formula>"Negatif"</formula>
    </cfRule>
  </conditionalFormatting>
  <conditionalFormatting sqref="J19">
    <cfRule type="cellIs" dxfId="177" priority="460" operator="equal">
      <formula>"négatif"</formula>
    </cfRule>
  </conditionalFormatting>
  <conditionalFormatting sqref="J19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6" priority="464" operator="equal">
      <formula>"Negatif"</formula>
    </cfRule>
    <cfRule type="colorScale" priority="465">
      <colorScale>
        <cfvo type="min"/>
        <cfvo type="max"/>
        <color rgb="FFFF7128"/>
        <color rgb="FFFFEF9C"/>
      </colorScale>
    </cfRule>
  </conditionalFormatting>
  <conditionalFormatting sqref="J19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5" priority="467" operator="equal">
      <formula>"Negatif"</formula>
    </cfRule>
    <cfRule type="colorScale" priority="468">
      <colorScale>
        <cfvo type="min"/>
        <cfvo type="max"/>
        <color rgb="FFFF7128"/>
        <color rgb="FFFFEF9C"/>
      </colorScale>
    </cfRule>
  </conditionalFormatting>
  <conditionalFormatting sqref="J19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4" priority="470" operator="equal">
      <formula>"Negatif"</formula>
    </cfRule>
    <cfRule type="colorScale" priority="471">
      <colorScale>
        <cfvo type="min"/>
        <cfvo type="max"/>
        <color rgb="FFFF7128"/>
        <color rgb="FFFFEF9C"/>
      </colorScale>
    </cfRule>
  </conditionalFormatting>
  <conditionalFormatting sqref="J20:J22 J35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3" priority="3524" operator="equal">
      <formula>"Negatif"</formula>
    </cfRule>
    <cfRule type="colorScale" priority="3525">
      <colorScale>
        <cfvo type="min"/>
        <cfvo type="max"/>
        <color rgb="FFFF7128"/>
        <color rgb="FFFFEF9C"/>
      </colorScale>
    </cfRule>
  </conditionalFormatting>
  <conditionalFormatting sqref="J22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2" priority="452" operator="equal">
      <formula>"Negatif"</formula>
    </cfRule>
    <cfRule type="colorScale" priority="453">
      <colorScale>
        <cfvo type="min"/>
        <cfvo type="max"/>
        <color rgb="FFFF7128"/>
        <color rgb="FFFFEF9C"/>
      </colorScale>
    </cfRule>
  </conditionalFormatting>
  <conditionalFormatting sqref="J2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1" priority="455" operator="equal">
      <formula>"Negatif"</formula>
    </cfRule>
    <cfRule type="colorScale" priority="456">
      <colorScale>
        <cfvo type="min"/>
        <cfvo type="max"/>
        <color rgb="FFFF7128"/>
        <color rgb="FFFFEF9C"/>
      </colorScale>
    </cfRule>
  </conditionalFormatting>
  <conditionalFormatting sqref="J22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0" priority="458" operator="equal">
      <formula>"Negatif"</formula>
    </cfRule>
    <cfRule type="colorScale" priority="459">
      <colorScale>
        <cfvo type="min"/>
        <cfvo type="max"/>
        <color rgb="FFFF7128"/>
        <color rgb="FFFFEF9C"/>
      </colorScale>
    </cfRule>
  </conditionalFormatting>
  <conditionalFormatting sqref="J23">
    <cfRule type="cellIs" dxfId="169" priority="440" operator="equal">
      <formula>"Positif"</formula>
    </cfRule>
    <cfRule type="cellIs" dxfId="168" priority="441" operator="equal">
      <formula>"Negatif"</formula>
    </cfRule>
  </conditionalFormatting>
  <conditionalFormatting sqref="J23">
    <cfRule type="cellIs" dxfId="167" priority="439" operator="equal">
      <formula>"négatif"</formula>
    </cfRule>
  </conditionalFormatting>
  <conditionalFormatting sqref="J23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6" priority="443" operator="equal">
      <formula>"Negatif"</formula>
    </cfRule>
    <cfRule type="colorScale" priority="444">
      <colorScale>
        <cfvo type="min"/>
        <cfvo type="max"/>
        <color rgb="FFFF7128"/>
        <color rgb="FFFFEF9C"/>
      </colorScale>
    </cfRule>
  </conditionalFormatting>
  <conditionalFormatting sqref="J23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5" priority="446" operator="equal">
      <formula>"Negatif"</formula>
    </cfRule>
    <cfRule type="colorScale" priority="447">
      <colorScale>
        <cfvo type="min"/>
        <cfvo type="max"/>
        <color rgb="FFFF7128"/>
        <color rgb="FFFFEF9C"/>
      </colorScale>
    </cfRule>
  </conditionalFormatting>
  <conditionalFormatting sqref="J23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4" priority="449" operator="equal">
      <formula>"Negatif"</formula>
    </cfRule>
    <cfRule type="colorScale" priority="450">
      <colorScale>
        <cfvo type="min"/>
        <cfvo type="max"/>
        <color rgb="FFFF7128"/>
        <color rgb="FFFFEF9C"/>
      </colorScale>
    </cfRule>
  </conditionalFormatting>
  <conditionalFormatting sqref="J24">
    <cfRule type="cellIs" dxfId="163" priority="428" operator="equal">
      <formula>"Positif"</formula>
    </cfRule>
    <cfRule type="cellIs" dxfId="162" priority="429" operator="equal">
      <formula>"Negatif"</formula>
    </cfRule>
  </conditionalFormatting>
  <conditionalFormatting sqref="J24">
    <cfRule type="cellIs" dxfId="161" priority="427" operator="equal">
      <formula>"négatif"</formula>
    </cfRule>
  </conditionalFormatting>
  <conditionalFormatting sqref="J2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0" priority="431" operator="equal">
      <formula>"Negatif"</formula>
    </cfRule>
    <cfRule type="colorScale" priority="432">
      <colorScale>
        <cfvo type="min"/>
        <cfvo type="max"/>
        <color rgb="FFFF7128"/>
        <color rgb="FFFFEF9C"/>
      </colorScale>
    </cfRule>
  </conditionalFormatting>
  <conditionalFormatting sqref="J24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9" priority="434" operator="equal">
      <formula>"Negatif"</formula>
    </cfRule>
    <cfRule type="colorScale" priority="435">
      <colorScale>
        <cfvo type="min"/>
        <cfvo type="max"/>
        <color rgb="FFFF7128"/>
        <color rgb="FFFFEF9C"/>
      </colorScale>
    </cfRule>
  </conditionalFormatting>
  <conditionalFormatting sqref="J2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8" priority="437" operator="equal">
      <formula>"Negatif"</formula>
    </cfRule>
    <cfRule type="colorScale" priority="438">
      <colorScale>
        <cfvo type="min"/>
        <cfvo type="max"/>
        <color rgb="FFFF7128"/>
        <color rgb="FFFFEF9C"/>
      </colorScale>
    </cfRule>
  </conditionalFormatting>
  <conditionalFormatting sqref="J36">
    <cfRule type="cellIs" dxfId="157" priority="416" operator="equal">
      <formula>"Positif"</formula>
    </cfRule>
    <cfRule type="cellIs" dxfId="156" priority="417" operator="equal">
      <formula>"Negatif"</formula>
    </cfRule>
  </conditionalFormatting>
  <conditionalFormatting sqref="J36">
    <cfRule type="cellIs" dxfId="155" priority="415" operator="equal">
      <formula>"négatif"</formula>
    </cfRule>
  </conditionalFormatting>
  <conditionalFormatting sqref="J36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4" priority="419" operator="equal">
      <formula>"Negatif"</formula>
    </cfRule>
    <cfRule type="colorScale" priority="420">
      <colorScale>
        <cfvo type="min"/>
        <cfvo type="max"/>
        <color rgb="FFFF7128"/>
        <color rgb="FFFFEF9C"/>
      </colorScale>
    </cfRule>
  </conditionalFormatting>
  <conditionalFormatting sqref="J36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3" priority="422" operator="equal">
      <formula>"Negatif"</formula>
    </cfRule>
    <cfRule type="colorScale" priority="423">
      <colorScale>
        <cfvo type="min"/>
        <cfvo type="max"/>
        <color rgb="FFFF7128"/>
        <color rgb="FFFFEF9C"/>
      </colorScale>
    </cfRule>
  </conditionalFormatting>
  <conditionalFormatting sqref="J36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2" priority="425" operator="equal">
      <formula>"Negatif"</formula>
    </cfRule>
    <cfRule type="colorScale" priority="426">
      <colorScale>
        <cfvo type="min"/>
        <cfvo type="max"/>
        <color rgb="FFFF7128"/>
        <color rgb="FFFFEF9C"/>
      </colorScale>
    </cfRule>
  </conditionalFormatting>
  <conditionalFormatting sqref="J37">
    <cfRule type="cellIs" dxfId="151" priority="404" operator="equal">
      <formula>"Positif"</formula>
    </cfRule>
    <cfRule type="cellIs" dxfId="150" priority="405" operator="equal">
      <formula>"Negatif"</formula>
    </cfRule>
  </conditionalFormatting>
  <conditionalFormatting sqref="J37">
    <cfRule type="cellIs" dxfId="149" priority="403" operator="equal">
      <formula>"négatif"</formula>
    </cfRule>
  </conditionalFormatting>
  <conditionalFormatting sqref="J3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8" priority="407" operator="equal">
      <formula>"Negatif"</formula>
    </cfRule>
    <cfRule type="colorScale" priority="408">
      <colorScale>
        <cfvo type="min"/>
        <cfvo type="max"/>
        <color rgb="FFFF7128"/>
        <color rgb="FFFFEF9C"/>
      </colorScale>
    </cfRule>
  </conditionalFormatting>
  <conditionalFormatting sqref="J37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7" priority="410" operator="equal">
      <formula>"Negatif"</formula>
    </cfRule>
    <cfRule type="colorScale" priority="411">
      <colorScale>
        <cfvo type="min"/>
        <cfvo type="max"/>
        <color rgb="FFFF7128"/>
        <color rgb="FFFFEF9C"/>
      </colorScale>
    </cfRule>
  </conditionalFormatting>
  <conditionalFormatting sqref="J3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6" priority="413" operator="equal">
      <formula>"Negatif"</formula>
    </cfRule>
    <cfRule type="colorScale" priority="414">
      <colorScale>
        <cfvo type="min"/>
        <cfvo type="max"/>
        <color rgb="FFFF7128"/>
        <color rgb="FFFFEF9C"/>
      </colorScale>
    </cfRule>
  </conditionalFormatting>
  <conditionalFormatting sqref="J38">
    <cfRule type="cellIs" dxfId="145" priority="392" operator="equal">
      <formula>"Positif"</formula>
    </cfRule>
    <cfRule type="cellIs" dxfId="144" priority="393" operator="equal">
      <formula>"Negatif"</formula>
    </cfRule>
  </conditionalFormatting>
  <conditionalFormatting sqref="J38">
    <cfRule type="cellIs" dxfId="143" priority="391" operator="equal">
      <formula>"négatif"</formula>
    </cfRule>
  </conditionalFormatting>
  <conditionalFormatting sqref="J38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2" priority="395" operator="equal">
      <formula>"Negatif"</formula>
    </cfRule>
    <cfRule type="colorScale" priority="396">
      <colorScale>
        <cfvo type="min"/>
        <cfvo type="max"/>
        <color rgb="FFFF7128"/>
        <color rgb="FFFFEF9C"/>
      </colorScale>
    </cfRule>
  </conditionalFormatting>
  <conditionalFormatting sqref="J38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1" priority="398" operator="equal">
      <formula>"Negatif"</formula>
    </cfRule>
    <cfRule type="colorScale" priority="399">
      <colorScale>
        <cfvo type="min"/>
        <cfvo type="max"/>
        <color rgb="FFFF7128"/>
        <color rgb="FFFFEF9C"/>
      </colorScale>
    </cfRule>
  </conditionalFormatting>
  <conditionalFormatting sqref="J3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0" priority="401" operator="equal">
      <formula>"Negatif"</formula>
    </cfRule>
    <cfRule type="colorScale" priority="402">
      <colorScale>
        <cfvo type="min"/>
        <cfvo type="max"/>
        <color rgb="FFFF7128"/>
        <color rgb="FFFFEF9C"/>
      </colorScale>
    </cfRule>
  </conditionalFormatting>
  <conditionalFormatting sqref="J25">
    <cfRule type="cellIs" dxfId="139" priority="380" operator="equal">
      <formula>"Positif"</formula>
    </cfRule>
    <cfRule type="cellIs" dxfId="138" priority="381" operator="equal">
      <formula>"Negatif"</formula>
    </cfRule>
  </conditionalFormatting>
  <conditionalFormatting sqref="J25">
    <cfRule type="cellIs" dxfId="137" priority="379" operator="equal">
      <formula>"négatif"</formula>
    </cfRule>
  </conditionalFormatting>
  <conditionalFormatting sqref="J25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6" priority="383" operator="equal">
      <formula>"Negatif"</formula>
    </cfRule>
    <cfRule type="colorScale" priority="384">
      <colorScale>
        <cfvo type="min"/>
        <cfvo type="max"/>
        <color rgb="FFFF7128"/>
        <color rgb="FFFFEF9C"/>
      </colorScale>
    </cfRule>
  </conditionalFormatting>
  <conditionalFormatting sqref="J25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5" priority="386" operator="equal">
      <formula>"Negatif"</formula>
    </cfRule>
    <cfRule type="colorScale" priority="387">
      <colorScale>
        <cfvo type="min"/>
        <cfvo type="max"/>
        <color rgb="FFFF7128"/>
        <color rgb="FFFFEF9C"/>
      </colorScale>
    </cfRule>
  </conditionalFormatting>
  <conditionalFormatting sqref="J25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4" priority="389" operator="equal">
      <formula>"Negatif"</formula>
    </cfRule>
    <cfRule type="colorScale" priority="390">
      <colorScale>
        <cfvo type="min"/>
        <cfvo type="max"/>
        <color rgb="FFFF7128"/>
        <color rgb="FFFFEF9C"/>
      </colorScale>
    </cfRule>
  </conditionalFormatting>
  <conditionalFormatting sqref="J26">
    <cfRule type="cellIs" dxfId="133" priority="368" operator="equal">
      <formula>"Positif"</formula>
    </cfRule>
    <cfRule type="cellIs" dxfId="132" priority="369" operator="equal">
      <formula>"Negatif"</formula>
    </cfRule>
  </conditionalFormatting>
  <conditionalFormatting sqref="J26">
    <cfRule type="cellIs" dxfId="131" priority="367" operator="equal">
      <formula>"négatif"</formula>
    </cfRule>
  </conditionalFormatting>
  <conditionalFormatting sqref="J26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0" priority="371" operator="equal">
      <formula>"Negatif"</formula>
    </cfRule>
    <cfRule type="colorScale" priority="372">
      <colorScale>
        <cfvo type="min"/>
        <cfvo type="max"/>
        <color rgb="FFFF7128"/>
        <color rgb="FFFFEF9C"/>
      </colorScale>
    </cfRule>
  </conditionalFormatting>
  <conditionalFormatting sqref="J26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9" priority="374" operator="equal">
      <formula>"Negatif"</formula>
    </cfRule>
    <cfRule type="colorScale" priority="375">
      <colorScale>
        <cfvo type="min"/>
        <cfvo type="max"/>
        <color rgb="FFFF7128"/>
        <color rgb="FFFFEF9C"/>
      </colorScale>
    </cfRule>
  </conditionalFormatting>
  <conditionalFormatting sqref="J2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8" priority="377" operator="equal">
      <formula>"Negatif"</formula>
    </cfRule>
    <cfRule type="colorScale" priority="378">
      <colorScale>
        <cfvo type="min"/>
        <cfvo type="max"/>
        <color rgb="FFFF7128"/>
        <color rgb="FFFFEF9C"/>
      </colorScale>
    </cfRule>
  </conditionalFormatting>
  <conditionalFormatting sqref="J28">
    <cfRule type="cellIs" dxfId="127" priority="356" operator="equal">
      <formula>"Positif"</formula>
    </cfRule>
    <cfRule type="cellIs" dxfId="126" priority="357" operator="equal">
      <formula>"Negatif"</formula>
    </cfRule>
  </conditionalFormatting>
  <conditionalFormatting sqref="J28">
    <cfRule type="cellIs" dxfId="125" priority="355" operator="equal">
      <formula>"négatif"</formula>
    </cfRule>
  </conditionalFormatting>
  <conditionalFormatting sqref="J28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4" priority="359" operator="equal">
      <formula>"Negatif"</formula>
    </cfRule>
    <cfRule type="colorScale" priority="360">
      <colorScale>
        <cfvo type="min"/>
        <cfvo type="max"/>
        <color rgb="FFFF7128"/>
        <color rgb="FFFFEF9C"/>
      </colorScale>
    </cfRule>
  </conditionalFormatting>
  <conditionalFormatting sqref="J2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3" priority="362" operator="equal">
      <formula>"Negatif"</formula>
    </cfRule>
    <cfRule type="colorScale" priority="363">
      <colorScale>
        <cfvo type="min"/>
        <cfvo type="max"/>
        <color rgb="FFFF7128"/>
        <color rgb="FFFFEF9C"/>
      </colorScale>
    </cfRule>
  </conditionalFormatting>
  <conditionalFormatting sqref="J28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2" priority="365" operator="equal">
      <formula>"Negatif"</formula>
    </cfRule>
    <cfRule type="colorScale" priority="366">
      <colorScale>
        <cfvo type="min"/>
        <cfvo type="max"/>
        <color rgb="FFFF7128"/>
        <color rgb="FFFFEF9C"/>
      </colorScale>
    </cfRule>
  </conditionalFormatting>
  <conditionalFormatting sqref="J39">
    <cfRule type="cellIs" dxfId="121" priority="344" operator="equal">
      <formula>"Positif"</formula>
    </cfRule>
    <cfRule type="cellIs" dxfId="120" priority="345" operator="equal">
      <formula>"Negatif"</formula>
    </cfRule>
  </conditionalFormatting>
  <conditionalFormatting sqref="J39">
    <cfRule type="cellIs" dxfId="119" priority="343" operator="equal">
      <formula>"négatif"</formula>
    </cfRule>
  </conditionalFormatting>
  <conditionalFormatting sqref="J3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8" priority="347" operator="equal">
      <formula>"Negatif"</formula>
    </cfRule>
    <cfRule type="colorScale" priority="348">
      <colorScale>
        <cfvo type="min"/>
        <cfvo type="max"/>
        <color rgb="FFFF7128"/>
        <color rgb="FFFFEF9C"/>
      </colorScale>
    </cfRule>
  </conditionalFormatting>
  <conditionalFormatting sqref="J39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7" priority="350" operator="equal">
      <formula>"Negatif"</formula>
    </cfRule>
    <cfRule type="colorScale" priority="351">
      <colorScale>
        <cfvo type="min"/>
        <cfvo type="max"/>
        <color rgb="FFFF7128"/>
        <color rgb="FFFFEF9C"/>
      </colorScale>
    </cfRule>
  </conditionalFormatting>
  <conditionalFormatting sqref="J39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6" priority="353" operator="equal">
      <formula>"Negatif"</formula>
    </cfRule>
    <cfRule type="colorScale" priority="354">
      <colorScale>
        <cfvo type="min"/>
        <cfvo type="max"/>
        <color rgb="FFFF7128"/>
        <color rgb="FFFFEF9C"/>
      </colorScale>
    </cfRule>
  </conditionalFormatting>
  <conditionalFormatting sqref="J41">
    <cfRule type="cellIs" dxfId="115" priority="332" operator="equal">
      <formula>"Positif"</formula>
    </cfRule>
    <cfRule type="cellIs" dxfId="114" priority="333" operator="equal">
      <formula>"Negatif"</formula>
    </cfRule>
  </conditionalFormatting>
  <conditionalFormatting sqref="J41">
    <cfRule type="cellIs" dxfId="113" priority="331" operator="equal">
      <formula>"négatif"</formula>
    </cfRule>
  </conditionalFormatting>
  <conditionalFormatting sqref="J41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2" priority="335" operator="equal">
      <formula>"Negatif"</formula>
    </cfRule>
    <cfRule type="colorScale" priority="336">
      <colorScale>
        <cfvo type="min"/>
        <cfvo type="max"/>
        <color rgb="FFFF7128"/>
        <color rgb="FFFFEF9C"/>
      </colorScale>
    </cfRule>
  </conditionalFormatting>
  <conditionalFormatting sqref="J41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1" priority="338" operator="equal">
      <formula>"Negatif"</formula>
    </cfRule>
    <cfRule type="colorScale" priority="339">
      <colorScale>
        <cfvo type="min"/>
        <cfvo type="max"/>
        <color rgb="FFFF7128"/>
        <color rgb="FFFFEF9C"/>
      </colorScale>
    </cfRule>
  </conditionalFormatting>
  <conditionalFormatting sqref="J41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0" priority="341" operator="equal">
      <formula>"Negatif"</formula>
    </cfRule>
    <cfRule type="colorScale" priority="342">
      <colorScale>
        <cfvo type="min"/>
        <cfvo type="max"/>
        <color rgb="FFFF7128"/>
        <color rgb="FFFFEF9C"/>
      </colorScale>
    </cfRule>
  </conditionalFormatting>
  <conditionalFormatting sqref="J42">
    <cfRule type="cellIs" dxfId="109" priority="320" operator="equal">
      <formula>"Positif"</formula>
    </cfRule>
    <cfRule type="cellIs" dxfId="108" priority="321" operator="equal">
      <formula>"Negatif"</formula>
    </cfRule>
  </conditionalFormatting>
  <conditionalFormatting sqref="J42">
    <cfRule type="cellIs" dxfId="107" priority="319" operator="equal">
      <formula>"négatif"</formula>
    </cfRule>
  </conditionalFormatting>
  <conditionalFormatting sqref="J42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6" priority="323" operator="equal">
      <formula>"Negatif"</formula>
    </cfRule>
    <cfRule type="colorScale" priority="324">
      <colorScale>
        <cfvo type="min"/>
        <cfvo type="max"/>
        <color rgb="FFFF7128"/>
        <color rgb="FFFFEF9C"/>
      </colorScale>
    </cfRule>
  </conditionalFormatting>
  <conditionalFormatting sqref="J42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5" priority="326" operator="equal">
      <formula>"Negatif"</formula>
    </cfRule>
    <cfRule type="colorScale" priority="327">
      <colorScale>
        <cfvo type="min"/>
        <cfvo type="max"/>
        <color rgb="FFFF7128"/>
        <color rgb="FFFFEF9C"/>
      </colorScale>
    </cfRule>
  </conditionalFormatting>
  <conditionalFormatting sqref="J42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4" priority="329" operator="equal">
      <formula>"Negatif"</formula>
    </cfRule>
    <cfRule type="colorScale" priority="330">
      <colorScale>
        <cfvo type="min"/>
        <cfvo type="max"/>
        <color rgb="FFFF7128"/>
        <color rgb="FFFFEF9C"/>
      </colorScale>
    </cfRule>
  </conditionalFormatting>
  <conditionalFormatting sqref="J43">
    <cfRule type="cellIs" dxfId="103" priority="308" operator="equal">
      <formula>"Positif"</formula>
    </cfRule>
    <cfRule type="cellIs" dxfId="102" priority="309" operator="equal">
      <formula>"Negatif"</formula>
    </cfRule>
  </conditionalFormatting>
  <conditionalFormatting sqref="J43">
    <cfRule type="cellIs" dxfId="101" priority="307" operator="equal">
      <formula>"négatif"</formula>
    </cfRule>
  </conditionalFormatting>
  <conditionalFormatting sqref="J43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0" priority="311" operator="equal">
      <formula>"Negatif"</formula>
    </cfRule>
    <cfRule type="colorScale" priority="312">
      <colorScale>
        <cfvo type="min"/>
        <cfvo type="max"/>
        <color rgb="FFFF7128"/>
        <color rgb="FFFFEF9C"/>
      </colorScale>
    </cfRule>
  </conditionalFormatting>
  <conditionalFormatting sqref="J43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9" priority="314" operator="equal">
      <formula>"Negatif"</formula>
    </cfRule>
    <cfRule type="colorScale" priority="315">
      <colorScale>
        <cfvo type="min"/>
        <cfvo type="max"/>
        <color rgb="FFFF7128"/>
        <color rgb="FFFFEF9C"/>
      </colorScale>
    </cfRule>
  </conditionalFormatting>
  <conditionalFormatting sqref="J4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8" priority="317" operator="equal">
      <formula>"Negatif"</formula>
    </cfRule>
    <cfRule type="colorScale" priority="318">
      <colorScale>
        <cfvo type="min"/>
        <cfvo type="max"/>
        <color rgb="FFFF7128"/>
        <color rgb="FFFFEF9C"/>
      </colorScale>
    </cfRule>
  </conditionalFormatting>
  <conditionalFormatting sqref="J44">
    <cfRule type="cellIs" dxfId="97" priority="296" operator="equal">
      <formula>"Positif"</formula>
    </cfRule>
    <cfRule type="cellIs" dxfId="96" priority="297" operator="equal">
      <formula>"Negatif"</formula>
    </cfRule>
  </conditionalFormatting>
  <conditionalFormatting sqref="J44">
    <cfRule type="cellIs" dxfId="95" priority="295" operator="equal">
      <formula>"négatif"</formula>
    </cfRule>
  </conditionalFormatting>
  <conditionalFormatting sqref="J4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4" priority="299" operator="equal">
      <formula>"Negatif"</formula>
    </cfRule>
    <cfRule type="colorScale" priority="300">
      <colorScale>
        <cfvo type="min"/>
        <cfvo type="max"/>
        <color rgb="FFFF7128"/>
        <color rgb="FFFFEF9C"/>
      </colorScale>
    </cfRule>
  </conditionalFormatting>
  <conditionalFormatting sqref="J4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3" priority="302" operator="equal">
      <formula>"Negatif"</formula>
    </cfRule>
    <cfRule type="colorScale" priority="303">
      <colorScale>
        <cfvo type="min"/>
        <cfvo type="max"/>
        <color rgb="FFFF7128"/>
        <color rgb="FFFFEF9C"/>
      </colorScale>
    </cfRule>
  </conditionalFormatting>
  <conditionalFormatting sqref="J4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2" priority="305" operator="equal">
      <formula>"Negatif"</formula>
    </cfRule>
    <cfRule type="colorScale" priority="306">
      <colorScale>
        <cfvo type="min"/>
        <cfvo type="max"/>
        <color rgb="FFFF7128"/>
        <color rgb="FFFFEF9C"/>
      </colorScale>
    </cfRule>
  </conditionalFormatting>
  <conditionalFormatting sqref="J45">
    <cfRule type="cellIs" dxfId="91" priority="284" operator="equal">
      <formula>"Positif"</formula>
    </cfRule>
    <cfRule type="cellIs" dxfId="90" priority="285" operator="equal">
      <formula>"Negatif"</formula>
    </cfRule>
  </conditionalFormatting>
  <conditionalFormatting sqref="J45">
    <cfRule type="cellIs" dxfId="89" priority="283" operator="equal">
      <formula>"négatif"</formula>
    </cfRule>
  </conditionalFormatting>
  <conditionalFormatting sqref="J4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8" priority="287" operator="equal">
      <formula>"Negatif"</formula>
    </cfRule>
    <cfRule type="colorScale" priority="288">
      <colorScale>
        <cfvo type="min"/>
        <cfvo type="max"/>
        <color rgb="FFFF7128"/>
        <color rgb="FFFFEF9C"/>
      </colorScale>
    </cfRule>
  </conditionalFormatting>
  <conditionalFormatting sqref="J45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7" priority="290" operator="equal">
      <formula>"Negatif"</formula>
    </cfRule>
    <cfRule type="colorScale" priority="291">
      <colorScale>
        <cfvo type="min"/>
        <cfvo type="max"/>
        <color rgb="FFFF7128"/>
        <color rgb="FFFFEF9C"/>
      </colorScale>
    </cfRule>
  </conditionalFormatting>
  <conditionalFormatting sqref="J4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6" priority="293" operator="equal">
      <formula>"Negatif"</formula>
    </cfRule>
    <cfRule type="colorScale" priority="294">
      <colorScale>
        <cfvo type="min"/>
        <cfvo type="max"/>
        <color rgb="FFFF7128"/>
        <color rgb="FFFFEF9C"/>
      </colorScale>
    </cfRule>
  </conditionalFormatting>
  <conditionalFormatting sqref="J4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5" priority="275" operator="equal">
      <formula>"Negatif"</formula>
    </cfRule>
    <cfRule type="colorScale" priority="276">
      <colorScale>
        <cfvo type="min"/>
        <cfvo type="max"/>
        <color rgb="FFFF7128"/>
        <color rgb="FFFFEF9C"/>
      </colorScale>
    </cfRule>
  </conditionalFormatting>
  <conditionalFormatting sqref="J48">
    <cfRule type="cellIs" dxfId="84" priority="224" operator="equal">
      <formula>"Positif"</formula>
    </cfRule>
    <cfRule type="cellIs" dxfId="83" priority="225" operator="equal">
      <formula>"Negatif"</formula>
    </cfRule>
  </conditionalFormatting>
  <conditionalFormatting sqref="J48">
    <cfRule type="cellIs" dxfId="82" priority="223" operator="equal">
      <formula>"négatif"</formula>
    </cfRule>
  </conditionalFormatting>
  <conditionalFormatting sqref="J4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1" priority="227" operator="equal">
      <formula>"Negatif"</formula>
    </cfRule>
    <cfRule type="colorScale" priority="228">
      <colorScale>
        <cfvo type="min"/>
        <cfvo type="max"/>
        <color rgb="FFFF7128"/>
        <color rgb="FFFFEF9C"/>
      </colorScale>
    </cfRule>
  </conditionalFormatting>
  <conditionalFormatting sqref="J4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0" priority="230" operator="equal">
      <formula>"Negatif"</formula>
    </cfRule>
    <cfRule type="colorScale" priority="231">
      <colorScale>
        <cfvo type="min"/>
        <cfvo type="max"/>
        <color rgb="FFFF7128"/>
        <color rgb="FFFFEF9C"/>
      </colorScale>
    </cfRule>
  </conditionalFormatting>
  <conditionalFormatting sqref="J48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9" priority="233" operator="equal">
      <formula>"Negatif"</formula>
    </cfRule>
    <cfRule type="colorScale" priority="234">
      <colorScale>
        <cfvo type="min"/>
        <cfvo type="max"/>
        <color rgb="FFFF7128"/>
        <color rgb="FFFFEF9C"/>
      </colorScale>
    </cfRule>
  </conditionalFormatting>
  <conditionalFormatting sqref="J49">
    <cfRule type="cellIs" dxfId="78" priority="212" operator="equal">
      <formula>"Positif"</formula>
    </cfRule>
    <cfRule type="cellIs" dxfId="77" priority="213" operator="equal">
      <formula>"Negatif"</formula>
    </cfRule>
  </conditionalFormatting>
  <conditionalFormatting sqref="J49">
    <cfRule type="cellIs" dxfId="76" priority="211" operator="equal">
      <formula>"négatif"</formula>
    </cfRule>
  </conditionalFormatting>
  <conditionalFormatting sqref="J4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5" priority="215" operator="equal">
      <formula>"Negatif"</formula>
    </cfRule>
    <cfRule type="colorScale" priority="216">
      <colorScale>
        <cfvo type="min"/>
        <cfvo type="max"/>
        <color rgb="FFFF7128"/>
        <color rgb="FFFFEF9C"/>
      </colorScale>
    </cfRule>
  </conditionalFormatting>
  <conditionalFormatting sqref="J49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4" priority="218" operator="equal">
      <formula>"Negatif"</formula>
    </cfRule>
    <cfRule type="colorScale" priority="219">
      <colorScale>
        <cfvo type="min"/>
        <cfvo type="max"/>
        <color rgb="FFFF7128"/>
        <color rgb="FFFFEF9C"/>
      </colorScale>
    </cfRule>
  </conditionalFormatting>
  <conditionalFormatting sqref="J4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3" priority="221" operator="equal">
      <formula>"Negatif"</formula>
    </cfRule>
    <cfRule type="colorScale" priority="222">
      <colorScale>
        <cfvo type="min"/>
        <cfvo type="max"/>
        <color rgb="FFFF7128"/>
        <color rgb="FFFFEF9C"/>
      </colorScale>
    </cfRule>
  </conditionalFormatting>
  <conditionalFormatting sqref="J50">
    <cfRule type="cellIs" dxfId="72" priority="200" operator="equal">
      <formula>"Positif"</formula>
    </cfRule>
    <cfRule type="cellIs" dxfId="71" priority="201" operator="equal">
      <formula>"Negatif"</formula>
    </cfRule>
  </conditionalFormatting>
  <conditionalFormatting sqref="J50">
    <cfRule type="cellIs" dxfId="70" priority="199" operator="equal">
      <formula>"négatif"</formula>
    </cfRule>
  </conditionalFormatting>
  <conditionalFormatting sqref="J5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9" priority="203" operator="equal">
      <formula>"Negatif"</formula>
    </cfRule>
    <cfRule type="colorScale" priority="204">
      <colorScale>
        <cfvo type="min"/>
        <cfvo type="max"/>
        <color rgb="FFFF7128"/>
        <color rgb="FFFFEF9C"/>
      </colorScale>
    </cfRule>
  </conditionalFormatting>
  <conditionalFormatting sqref="J5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" priority="206" operator="equal">
      <formula>"Negatif"</formula>
    </cfRule>
    <cfRule type="colorScale" priority="207">
      <colorScale>
        <cfvo type="min"/>
        <cfvo type="max"/>
        <color rgb="FFFF7128"/>
        <color rgb="FFFFEF9C"/>
      </colorScale>
    </cfRule>
  </conditionalFormatting>
  <conditionalFormatting sqref="J50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7" priority="209" operator="equal">
      <formula>"Negatif"</formula>
    </cfRule>
    <cfRule type="colorScale" priority="210">
      <colorScale>
        <cfvo type="min"/>
        <cfvo type="max"/>
        <color rgb="FFFF7128"/>
        <color rgb="FFFFEF9C"/>
      </colorScale>
    </cfRule>
  </conditionalFormatting>
  <conditionalFormatting sqref="J51:J56">
    <cfRule type="cellIs" dxfId="66" priority="188" operator="equal">
      <formula>"Positif"</formula>
    </cfRule>
    <cfRule type="cellIs" dxfId="65" priority="189" operator="equal">
      <formula>"Negatif"</formula>
    </cfRule>
  </conditionalFormatting>
  <conditionalFormatting sqref="J51:J56">
    <cfRule type="cellIs" dxfId="64" priority="187" operator="equal">
      <formula>"négatif"</formula>
    </cfRule>
  </conditionalFormatting>
  <conditionalFormatting sqref="J51:J56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3" priority="191" operator="equal">
      <formula>"Negatif"</formula>
    </cfRule>
    <cfRule type="colorScale" priority="192">
      <colorScale>
        <cfvo type="min"/>
        <cfvo type="max"/>
        <color rgb="FFFF7128"/>
        <color rgb="FFFFEF9C"/>
      </colorScale>
    </cfRule>
  </conditionalFormatting>
  <conditionalFormatting sqref="J51:J5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2" priority="194" operator="equal">
      <formula>"Negatif"</formula>
    </cfRule>
    <cfRule type="colorScale" priority="195">
      <colorScale>
        <cfvo type="min"/>
        <cfvo type="max"/>
        <color rgb="FFFF7128"/>
        <color rgb="FFFFEF9C"/>
      </colorScale>
    </cfRule>
  </conditionalFormatting>
  <conditionalFormatting sqref="J51:J5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1" priority="197" operator="equal">
      <formula>"Negatif"</formula>
    </cfRule>
    <cfRule type="colorScale" priority="198">
      <colorScale>
        <cfvo type="min"/>
        <cfvo type="max"/>
        <color rgb="FFFF7128"/>
        <color rgb="FFFFEF9C"/>
      </colorScale>
    </cfRule>
  </conditionalFormatting>
  <conditionalFormatting sqref="J47">
    <cfRule type="cellIs" dxfId="60" priority="158" operator="equal">
      <formula>"Positif"</formula>
    </cfRule>
    <cfRule type="cellIs" dxfId="59" priority="159" operator="equal">
      <formula>"Negatif"</formula>
    </cfRule>
  </conditionalFormatting>
  <conditionalFormatting sqref="J47">
    <cfRule type="cellIs" dxfId="58" priority="157" operator="equal">
      <formula>"négatif"</formula>
    </cfRule>
  </conditionalFormatting>
  <conditionalFormatting sqref="J47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7" priority="161" operator="equal">
      <formula>"Negatif"</formula>
    </cfRule>
    <cfRule type="colorScale" priority="162">
      <colorScale>
        <cfvo type="min"/>
        <cfvo type="max"/>
        <color rgb="FFFF7128"/>
        <color rgb="FFFFEF9C"/>
      </colorScale>
    </cfRule>
  </conditionalFormatting>
  <conditionalFormatting sqref="J4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6" priority="164" operator="equal">
      <formula>"Negatif"</formula>
    </cfRule>
    <cfRule type="colorScale" priority="165">
      <colorScale>
        <cfvo type="min"/>
        <cfvo type="max"/>
        <color rgb="FFFF7128"/>
        <color rgb="FFFFEF9C"/>
      </colorScale>
    </cfRule>
  </conditionalFormatting>
  <conditionalFormatting sqref="J4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5" priority="167" operator="equal">
      <formula>"Negatif"</formula>
    </cfRule>
    <cfRule type="colorScale" priority="168">
      <colorScale>
        <cfvo type="min"/>
        <cfvo type="max"/>
        <color rgb="FFFF7128"/>
        <color rgb="FFFFEF9C"/>
      </colorScale>
    </cfRule>
  </conditionalFormatting>
  <conditionalFormatting sqref="J67">
    <cfRule type="cellIs" dxfId="54" priority="134" operator="equal">
      <formula>"Positif"</formula>
    </cfRule>
    <cfRule type="cellIs" dxfId="53" priority="135" operator="equal">
      <formula>"Negatif"</formula>
    </cfRule>
  </conditionalFormatting>
  <conditionalFormatting sqref="J67">
    <cfRule type="cellIs" dxfId="52" priority="133" operator="equal">
      <formula>"négatif"</formula>
    </cfRule>
  </conditionalFormatting>
  <conditionalFormatting sqref="J68:J69">
    <cfRule type="cellIs" dxfId="51" priority="128" operator="equal">
      <formula>"Positif"</formula>
    </cfRule>
    <cfRule type="cellIs" dxfId="50" priority="129" operator="equal">
      <formula>"Negatif"</formula>
    </cfRule>
  </conditionalFormatting>
  <conditionalFormatting sqref="J68:J69">
    <cfRule type="cellIs" dxfId="49" priority="127" operator="equal">
      <formula>"négatif"</formula>
    </cfRule>
  </conditionalFormatting>
  <conditionalFormatting sqref="J68:J6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" priority="131" operator="equal">
      <formula>"Negatif"</formula>
    </cfRule>
    <cfRule type="colorScale" priority="132">
      <colorScale>
        <cfvo type="min"/>
        <cfvo type="max"/>
        <color rgb="FFFF7128"/>
        <color rgb="FFFFEF9C"/>
      </colorScale>
    </cfRule>
  </conditionalFormatting>
  <conditionalFormatting sqref="J70">
    <cfRule type="cellIs" dxfId="47" priority="122" operator="equal">
      <formula>"Positif"</formula>
    </cfRule>
    <cfRule type="cellIs" dxfId="46" priority="123" operator="equal">
      <formula>"Negatif"</formula>
    </cfRule>
  </conditionalFormatting>
  <conditionalFormatting sqref="J70">
    <cfRule type="cellIs" dxfId="45" priority="121" operator="equal">
      <formula>"négatif"</formula>
    </cfRule>
  </conditionalFormatting>
  <conditionalFormatting sqref="J7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" priority="125" operator="equal">
      <formula>"Negatif"</formula>
    </cfRule>
    <cfRule type="colorScale" priority="126">
      <colorScale>
        <cfvo type="min"/>
        <cfvo type="max"/>
        <color rgb="FFFF7128"/>
        <color rgb="FFFFEF9C"/>
      </colorScale>
    </cfRule>
  </conditionalFormatting>
  <conditionalFormatting sqref="J76:J79 J85 J57:J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" priority="110" operator="equal">
      <formula>"Negatif"</formula>
    </cfRule>
    <cfRule type="colorScale" priority="111">
      <colorScale>
        <cfvo type="min"/>
        <cfvo type="max"/>
        <color rgb="FFFF7128"/>
        <color rgb="FFFFEF9C"/>
      </colorScale>
    </cfRule>
  </conditionalFormatting>
  <conditionalFormatting sqref="J66">
    <cfRule type="cellIs" dxfId="42" priority="104" operator="equal">
      <formula>"Positif"</formula>
    </cfRule>
    <cfRule type="cellIs" dxfId="41" priority="105" operator="equal">
      <formula>"Negatif"</formula>
    </cfRule>
  </conditionalFormatting>
  <conditionalFormatting sqref="J66">
    <cfRule type="cellIs" dxfId="40" priority="103" operator="equal">
      <formula>"négatif"</formula>
    </cfRule>
  </conditionalFormatting>
  <conditionalFormatting sqref="J6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" priority="107" operator="equal">
      <formula>"Negatif"</formula>
    </cfRule>
    <cfRule type="colorScale" priority="108">
      <colorScale>
        <cfvo type="min"/>
        <cfvo type="max"/>
        <color rgb="FFFF7128"/>
        <color rgb="FFFFEF9C"/>
      </colorScale>
    </cfRule>
  </conditionalFormatting>
  <conditionalFormatting sqref="J6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" priority="98" operator="equal">
      <formula>"Negatif"</formula>
    </cfRule>
    <cfRule type="colorScale" priority="99">
      <colorScale>
        <cfvo type="min"/>
        <cfvo type="max"/>
        <color rgb="FFFF7128"/>
        <color rgb="FFFFEF9C"/>
      </colorScale>
    </cfRule>
  </conditionalFormatting>
  <conditionalFormatting sqref="J6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" priority="101" operator="equal">
      <formula>"Negatif"</formula>
    </cfRule>
    <cfRule type="colorScale" priority="102">
      <colorScale>
        <cfvo type="min"/>
        <cfvo type="max"/>
        <color rgb="FFFF7128"/>
        <color rgb="FFFFEF9C"/>
      </colorScale>
    </cfRule>
  </conditionalFormatting>
  <conditionalFormatting sqref="J80">
    <cfRule type="cellIs" dxfId="36" priority="92" operator="equal">
      <formula>"Positif"</formula>
    </cfRule>
    <cfRule type="cellIs" dxfId="35" priority="93" operator="equal">
      <formula>"Negatif"</formula>
    </cfRule>
  </conditionalFormatting>
  <conditionalFormatting sqref="J80">
    <cfRule type="cellIs" dxfId="34" priority="91" operator="equal">
      <formula>"négatif"</formula>
    </cfRule>
  </conditionalFormatting>
  <conditionalFormatting sqref="J8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" priority="95" operator="equal">
      <formula>"Negatif"</formula>
    </cfRule>
    <cfRule type="colorScale" priority="96">
      <colorScale>
        <cfvo type="min"/>
        <cfvo type="max"/>
        <color rgb="FFFF7128"/>
        <color rgb="FFFFEF9C"/>
      </colorScale>
    </cfRule>
  </conditionalFormatting>
  <conditionalFormatting sqref="J8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86" operator="equal">
      <formula>"Negatif"</formula>
    </cfRule>
    <cfRule type="colorScale" priority="87">
      <colorScale>
        <cfvo type="min"/>
        <cfvo type="max"/>
        <color rgb="FFFF7128"/>
        <color rgb="FFFFEF9C"/>
      </colorScale>
    </cfRule>
  </conditionalFormatting>
  <conditionalFormatting sqref="J8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" priority="89" operator="equal">
      <formula>"Negatif"</formula>
    </cfRule>
    <cfRule type="colorScale" priority="90">
      <colorScale>
        <cfvo type="min"/>
        <cfvo type="max"/>
        <color rgb="FFFF7128"/>
        <color rgb="FFFFEF9C"/>
      </colorScale>
    </cfRule>
  </conditionalFormatting>
  <conditionalFormatting sqref="J142:J152 J13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" priority="83" operator="equal">
      <formula>"Negatif"</formula>
    </cfRule>
    <cfRule type="colorScale" priority="84">
      <colorScale>
        <cfvo type="min"/>
        <cfvo type="max"/>
        <color rgb="FFFF7128"/>
        <color rgb="FFFFEF9C"/>
      </colorScale>
    </cfRule>
  </conditionalFormatting>
  <conditionalFormatting sqref="J130:J131">
    <cfRule type="cellIs" dxfId="29" priority="74" operator="equal">
      <formula>"Positif"</formula>
    </cfRule>
    <cfRule type="cellIs" dxfId="28" priority="75" operator="equal">
      <formula>"Negatif"</formula>
    </cfRule>
  </conditionalFormatting>
  <conditionalFormatting sqref="J130:J131">
    <cfRule type="cellIs" dxfId="27" priority="73" operator="equal">
      <formula>"négatif"</formula>
    </cfRule>
  </conditionalFormatting>
  <conditionalFormatting sqref="J126:J129 J141 J108 J98:J10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" priority="71" operator="equal">
      <formula>"Negatif"</formula>
    </cfRule>
    <cfRule type="colorScale" priority="72">
      <colorScale>
        <cfvo type="min"/>
        <cfvo type="max"/>
        <color rgb="FFFF7128"/>
        <color rgb="FFFFEF9C"/>
      </colorScale>
    </cfRule>
  </conditionalFormatting>
  <conditionalFormatting sqref="J109">
    <cfRule type="cellIs" dxfId="25" priority="62" operator="equal">
      <formula>"Positif"</formula>
    </cfRule>
    <cfRule type="cellIs" dxfId="24" priority="63" operator="equal">
      <formula>"Negatif"</formula>
    </cfRule>
  </conditionalFormatting>
  <conditionalFormatting sqref="J109">
    <cfRule type="cellIs" dxfId="23" priority="61" operator="equal">
      <formula>"négatif"</formula>
    </cfRule>
  </conditionalFormatting>
  <conditionalFormatting sqref="J10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65" operator="equal">
      <formula>"Negatif"</formula>
    </cfRule>
    <cfRule type="colorScale" priority="66">
      <colorScale>
        <cfvo type="min"/>
        <cfvo type="max"/>
        <color rgb="FFFF7128"/>
        <color rgb="FFFFEF9C"/>
      </colorScale>
    </cfRule>
  </conditionalFormatting>
  <conditionalFormatting sqref="J112:J113">
    <cfRule type="cellIs" dxfId="21" priority="50" operator="equal">
      <formula>"Positif"</formula>
    </cfRule>
    <cfRule type="cellIs" dxfId="20" priority="51" operator="equal">
      <formula>"Negatif"</formula>
    </cfRule>
  </conditionalFormatting>
  <conditionalFormatting sqref="J112:J113">
    <cfRule type="cellIs" dxfId="19" priority="49" operator="equal">
      <formula>"négatif"</formula>
    </cfRule>
  </conditionalFormatting>
  <conditionalFormatting sqref="J112:J1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53" operator="equal">
      <formula>"Negatif"</formula>
    </cfRule>
    <cfRule type="colorScale" priority="54">
      <colorScale>
        <cfvo type="min"/>
        <cfvo type="max"/>
        <color rgb="FFFF7128"/>
        <color rgb="FFFFEF9C"/>
      </colorScale>
    </cfRule>
  </conditionalFormatting>
  <conditionalFormatting sqref="J90:J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35" operator="equal">
      <formula>"Negatif"</formula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J92">
    <cfRule type="cellIs" dxfId="16" priority="20" operator="equal">
      <formula>"Positif"</formula>
    </cfRule>
    <cfRule type="cellIs" dxfId="15" priority="21" operator="equal">
      <formula>"Negatif"</formula>
    </cfRule>
  </conditionalFormatting>
  <conditionalFormatting sqref="J92">
    <cfRule type="cellIs" dxfId="14" priority="19" operator="equal">
      <formula>"négatif"</formula>
    </cfRule>
  </conditionalFormatting>
  <conditionalFormatting sqref="J9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23" operator="equal">
      <formula>"Negatif"</formula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J134">
    <cfRule type="cellIs" dxfId="12" priority="2" operator="equal">
      <formula>"Positif"</formula>
    </cfRule>
    <cfRule type="cellIs" dxfId="11" priority="3" operator="equal">
      <formula>"Negatif"</formula>
    </cfRule>
  </conditionalFormatting>
  <conditionalFormatting sqref="J134">
    <cfRule type="cellIs" dxfId="10" priority="1" operator="equal">
      <formula>"négatif"</formula>
    </cfRule>
  </conditionalFormatting>
  <conditionalFormatting sqref="J1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5" operator="equal">
      <formula>"Negatif"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133 J86 J93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3647" operator="equal">
      <formula>"Negatif"</formula>
    </cfRule>
    <cfRule type="colorScale" priority="3648">
      <colorScale>
        <cfvo type="min"/>
        <cfvo type="max"/>
        <color rgb="FFFF7128"/>
        <color rgb="FFFFEF9C"/>
      </colorScale>
    </cfRule>
  </conditionalFormatting>
  <conditionalFormatting sqref="J14:J18 J27 J29:J34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3761" operator="equal">
      <formula>"Negatif"</formula>
    </cfRule>
    <cfRule type="colorScale" priority="3762">
      <colorScale>
        <cfvo type="min"/>
        <cfvo type="max"/>
        <color rgb="FFFF7128"/>
        <color rgb="FFFFEF9C"/>
      </colorScale>
    </cfRule>
  </conditionalFormatting>
  <conditionalFormatting sqref="J76:J79 J85 J14:J18 J27 J29:J34 J57:J60 J40">
    <cfRule type="colorScale" priority="385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3854" operator="equal">
      <formula>"Negatif"</formula>
    </cfRule>
    <cfRule type="colorScale" priority="3855">
      <colorScale>
        <cfvo type="min"/>
        <cfvo type="max"/>
        <color rgb="FFFF7128"/>
        <color rgb="FFFFEF9C"/>
      </colorScale>
    </cfRule>
  </conditionalFormatting>
  <conditionalFormatting sqref="J61:J65 J67">
    <cfRule type="colorScale" priority="39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3923" operator="equal">
      <formula>"Negatif"</formula>
    </cfRule>
    <cfRule type="colorScale" priority="3924">
      <colorScale>
        <cfvo type="min"/>
        <cfvo type="max"/>
        <color rgb="FFFF7128"/>
        <color rgb="FFFFEF9C"/>
      </colorScale>
    </cfRule>
  </conditionalFormatting>
  <conditionalFormatting sqref="J81:J84 J87 J71:J75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4055" operator="equal">
      <formula>"Negatif"</formula>
    </cfRule>
    <cfRule type="colorScale" priority="4056">
      <colorScale>
        <cfvo type="min"/>
        <cfvo type="max"/>
        <color rgb="FFFF7128"/>
        <color rgb="FFFFEF9C"/>
      </colorScale>
    </cfRule>
  </conditionalFormatting>
  <conditionalFormatting sqref="J110:J111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4106" operator="equal">
      <formula>"Negatif"</formula>
    </cfRule>
    <cfRule type="colorScale" priority="4107">
      <colorScale>
        <cfvo type="min"/>
        <cfvo type="max"/>
        <color rgb="FFFF7128"/>
        <color rgb="FFFFEF9C"/>
      </colorScale>
    </cfRule>
  </conditionalFormatting>
  <conditionalFormatting sqref="J114:J123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4139" operator="equal">
      <formula>"Negatif"</formula>
    </cfRule>
    <cfRule type="colorScale" priority="4140">
      <colorScale>
        <cfvo type="min"/>
        <cfvo type="max"/>
        <color rgb="FFFF7128"/>
        <color rgb="FFFFEF9C"/>
      </colorScale>
    </cfRule>
  </conditionalFormatting>
  <conditionalFormatting sqref="J138:J139 J94:J96 J88:J89 J124:J125 J103:J106">
    <cfRule type="colorScale" priority="418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181" operator="equal">
      <formula>"Negatif"</formula>
    </cfRule>
    <cfRule type="colorScale" priority="4182">
      <colorScale>
        <cfvo type="min"/>
        <cfvo type="max"/>
        <color rgb="FFFF7128"/>
        <color rgb="FFFFEF9C"/>
      </colorScale>
    </cfRule>
  </conditionalFormatting>
  <conditionalFormatting sqref="J135:J137 J140 J130:J131 J107 J97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4193" operator="equal">
      <formula>"Negatif"</formula>
    </cfRule>
    <cfRule type="colorScale" priority="4194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I14:I30 I33:I152" xr:uid="{00000000-0002-0000-0F00-000000000000}">
      <formula1>$E$190:$E$197</formula1>
    </dataValidation>
    <dataValidation type="list" allowBlank="1" showInputMessage="1" showErrorMessage="1" sqref="F11:F152" xr:uid="{00000000-0002-0000-0F00-000001000000}">
      <formula1>Type</formula1>
    </dataValidation>
    <dataValidation type="list" allowBlank="1" showInputMessage="1" showErrorMessage="1" sqref="M60:M61 H11:H152" xr:uid="{00000000-0002-0000-0F00-000002000000}">
      <formula1>INDIRECT(F11)</formula1>
    </dataValidation>
    <dataValidation type="list" allowBlank="1" showInputMessage="1" showErrorMessage="1" sqref="I11:I13" xr:uid="{00000000-0002-0000-0F00-000003000000}">
      <formula1>$E$203:$E$210</formula1>
    </dataValidation>
  </dataValidations>
  <hyperlinks>
    <hyperlink ref="S20" r:id="rId1" xr:uid="{00000000-0004-0000-0F00-000000000000}"/>
  </hyperlinks>
  <pageMargins left="0.69940476190476186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/>
  <dimension ref="A1:C36"/>
  <sheetViews>
    <sheetView workbookViewId="0">
      <selection activeCell="A19" sqref="A19"/>
    </sheetView>
  </sheetViews>
  <sheetFormatPr defaultColWidth="11" defaultRowHeight="15.75"/>
  <cols>
    <col min="1" max="1" width="21.25" bestFit="1" customWidth="1"/>
    <col min="3" max="3" width="21" customWidth="1"/>
  </cols>
  <sheetData>
    <row r="1" spans="1:3">
      <c r="A1" t="s">
        <v>1039</v>
      </c>
      <c r="B1" t="s">
        <v>1040</v>
      </c>
    </row>
    <row r="2" spans="1:3">
      <c r="A2" t="s">
        <v>1041</v>
      </c>
      <c r="B2">
        <v>40</v>
      </c>
    </row>
    <row r="3" spans="1:3">
      <c r="A3" t="s">
        <v>1042</v>
      </c>
      <c r="B3">
        <v>64</v>
      </c>
    </row>
    <row r="4" spans="1:3">
      <c r="A4" t="s">
        <v>1043</v>
      </c>
      <c r="B4">
        <v>65</v>
      </c>
    </row>
    <row r="5" spans="1:3">
      <c r="A5" s="684" t="s">
        <v>1044</v>
      </c>
      <c r="B5">
        <v>64</v>
      </c>
      <c r="C5" s="684"/>
    </row>
    <row r="6" spans="1:3">
      <c r="A6" s="684" t="s">
        <v>1045</v>
      </c>
      <c r="B6">
        <v>40</v>
      </c>
      <c r="C6" s="684"/>
    </row>
    <row r="7" spans="1:3">
      <c r="A7" s="684" t="s">
        <v>776</v>
      </c>
      <c r="B7">
        <v>64</v>
      </c>
      <c r="C7" s="684"/>
    </row>
    <row r="8" spans="1:3">
      <c r="A8" s="684" t="s">
        <v>1046</v>
      </c>
      <c r="B8">
        <v>65</v>
      </c>
      <c r="C8" s="684"/>
    </row>
    <row r="9" spans="1:3">
      <c r="A9" s="684" t="s">
        <v>331</v>
      </c>
      <c r="B9">
        <v>64</v>
      </c>
      <c r="C9" s="684"/>
    </row>
    <row r="10" spans="1:3">
      <c r="A10" s="684" t="s">
        <v>275</v>
      </c>
      <c r="B10">
        <v>40</v>
      </c>
      <c r="C10" s="684"/>
    </row>
    <row r="11" spans="1:3">
      <c r="A11" s="684" t="s">
        <v>261</v>
      </c>
      <c r="B11">
        <v>64</v>
      </c>
      <c r="C11" s="684"/>
    </row>
    <row r="12" spans="1:3">
      <c r="A12" s="684" t="s">
        <v>636</v>
      </c>
      <c r="B12">
        <v>40</v>
      </c>
      <c r="C12" s="684"/>
    </row>
    <row r="13" spans="1:3">
      <c r="A13" s="684" t="s">
        <v>1047</v>
      </c>
      <c r="B13">
        <v>64</v>
      </c>
      <c r="C13" s="684"/>
    </row>
    <row r="14" spans="1:3">
      <c r="A14" s="684" t="s">
        <v>1048</v>
      </c>
      <c r="B14">
        <v>40</v>
      </c>
      <c r="C14" s="684"/>
    </row>
    <row r="15" spans="1:3">
      <c r="A15" s="684" t="s">
        <v>1049</v>
      </c>
      <c r="B15">
        <v>64</v>
      </c>
      <c r="C15" s="684"/>
    </row>
    <row r="16" spans="1:3">
      <c r="A16" s="684" t="s">
        <v>1050</v>
      </c>
      <c r="B16">
        <v>65</v>
      </c>
      <c r="C16" s="684"/>
    </row>
    <row r="17" spans="1:3">
      <c r="A17" s="702" t="s">
        <v>1051</v>
      </c>
      <c r="B17">
        <v>64</v>
      </c>
      <c r="C17" s="702"/>
    </row>
    <row r="18" spans="1:3">
      <c r="A18" s="702" t="s">
        <v>1052</v>
      </c>
      <c r="B18">
        <v>64</v>
      </c>
      <c r="C18" s="702"/>
    </row>
    <row r="19" spans="1:3">
      <c r="A19" s="684" t="s">
        <v>807</v>
      </c>
      <c r="B19">
        <v>65</v>
      </c>
      <c r="C19" s="684"/>
    </row>
    <row r="20" spans="1:3">
      <c r="A20" s="684" t="s">
        <v>1053</v>
      </c>
      <c r="B20">
        <v>64</v>
      </c>
      <c r="C20" s="684"/>
    </row>
    <row r="21" spans="1:3">
      <c r="A21" s="684" t="s">
        <v>1054</v>
      </c>
      <c r="B21">
        <v>64</v>
      </c>
      <c r="C21" s="684"/>
    </row>
    <row r="22" spans="1:3">
      <c r="A22" s="684" t="s">
        <v>1055</v>
      </c>
      <c r="B22">
        <v>40</v>
      </c>
      <c r="C22" s="684"/>
    </row>
    <row r="23" spans="1:3">
      <c r="A23" s="684" t="s">
        <v>1056</v>
      </c>
      <c r="B23">
        <v>64</v>
      </c>
      <c r="C23" s="684"/>
    </row>
    <row r="24" spans="1:3">
      <c r="A24" s="684" t="s">
        <v>1057</v>
      </c>
      <c r="B24">
        <v>65</v>
      </c>
      <c r="C24" s="684"/>
    </row>
    <row r="25" spans="1:3">
      <c r="A25" s="684" t="s">
        <v>1058</v>
      </c>
      <c r="B25">
        <v>65</v>
      </c>
      <c r="C25" s="684"/>
    </row>
    <row r="26" spans="1:3">
      <c r="A26" s="684" t="s">
        <v>1059</v>
      </c>
      <c r="B26">
        <v>64</v>
      </c>
      <c r="C26" s="684"/>
    </row>
    <row r="27" spans="1:3">
      <c r="A27" s="684" t="s">
        <v>1060</v>
      </c>
      <c r="B27">
        <v>40</v>
      </c>
      <c r="C27" s="684"/>
    </row>
    <row r="28" spans="1:3">
      <c r="A28" s="684" t="s">
        <v>1061</v>
      </c>
      <c r="B28">
        <v>64</v>
      </c>
      <c r="C28" s="684"/>
    </row>
    <row r="29" spans="1:3">
      <c r="A29" s="684" t="s">
        <v>1062</v>
      </c>
      <c r="B29">
        <v>65</v>
      </c>
      <c r="C29" s="684"/>
    </row>
    <row r="30" spans="1:3">
      <c r="A30" s="684" t="s">
        <v>766</v>
      </c>
      <c r="B30">
        <v>40</v>
      </c>
      <c r="C30" s="684"/>
    </row>
    <row r="31" spans="1:3">
      <c r="A31" s="684" t="s">
        <v>1063</v>
      </c>
      <c r="B31">
        <v>64</v>
      </c>
      <c r="C31" s="684"/>
    </row>
    <row r="32" spans="1:3">
      <c r="A32" s="684" t="s">
        <v>1064</v>
      </c>
      <c r="B32">
        <v>65</v>
      </c>
      <c r="C32" s="684"/>
    </row>
    <row r="33" spans="1:3">
      <c r="A33" s="684" t="s">
        <v>1065</v>
      </c>
      <c r="B33">
        <v>64</v>
      </c>
      <c r="C33" s="684"/>
    </row>
    <row r="34" spans="1:3">
      <c r="A34" s="684" t="s">
        <v>797</v>
      </c>
      <c r="B34">
        <v>40</v>
      </c>
    </row>
    <row r="35" spans="1:3">
      <c r="A35" s="684" t="s">
        <v>798</v>
      </c>
      <c r="B35">
        <v>64</v>
      </c>
    </row>
    <row r="36" spans="1:3">
      <c r="A36" s="684" t="s">
        <v>799</v>
      </c>
      <c r="B36">
        <v>65</v>
      </c>
    </row>
  </sheetData>
  <autoFilter ref="A1:B36" xr:uid="{00000000-0009-0000-0000-000010000000}">
    <sortState xmlns:xlrd2="http://schemas.microsoft.com/office/spreadsheetml/2017/richdata2" ref="A2:B22">
      <sortCondition ref="A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A1:B20"/>
  <sheetViews>
    <sheetView workbookViewId="0">
      <selection activeCell="B15" sqref="B15"/>
    </sheetView>
  </sheetViews>
  <sheetFormatPr defaultColWidth="11" defaultRowHeight="15.75"/>
  <cols>
    <col min="1" max="1" width="32.25" bestFit="1" customWidth="1"/>
  </cols>
  <sheetData>
    <row r="1" spans="1:2">
      <c r="A1" t="s">
        <v>1039</v>
      </c>
      <c r="B1" t="s">
        <v>1040</v>
      </c>
    </row>
    <row r="2" spans="1:2">
      <c r="A2" s="684" t="s">
        <v>1066</v>
      </c>
      <c r="B2" s="2">
        <v>65</v>
      </c>
    </row>
    <row r="3" spans="1:2">
      <c r="A3" s="684" t="s">
        <v>311</v>
      </c>
      <c r="B3" s="2">
        <v>65</v>
      </c>
    </row>
    <row r="4" spans="1:2">
      <c r="A4" s="684" t="s">
        <v>1067</v>
      </c>
      <c r="B4" s="2">
        <v>65</v>
      </c>
    </row>
    <row r="5" spans="1:2">
      <c r="A5" s="684" t="s">
        <v>91</v>
      </c>
      <c r="B5" s="2">
        <v>65</v>
      </c>
    </row>
    <row r="6" spans="1:2">
      <c r="A6" s="684" t="s">
        <v>396</v>
      </c>
      <c r="B6" s="2">
        <v>64</v>
      </c>
    </row>
    <row r="7" spans="1:2">
      <c r="A7" s="684" t="s">
        <v>735</v>
      </c>
      <c r="B7" s="2">
        <v>65</v>
      </c>
    </row>
    <row r="8" spans="1:2">
      <c r="A8" s="684" t="s">
        <v>1068</v>
      </c>
      <c r="B8" s="2">
        <v>40</v>
      </c>
    </row>
    <row r="9" spans="1:2">
      <c r="A9" s="684" t="s">
        <v>1069</v>
      </c>
      <c r="B9" s="2">
        <v>64</v>
      </c>
    </row>
    <row r="10" spans="1:2">
      <c r="A10" s="684" t="s">
        <v>1070</v>
      </c>
      <c r="B10" s="2">
        <v>64</v>
      </c>
    </row>
    <row r="11" spans="1:2">
      <c r="A11" s="684" t="s">
        <v>1071</v>
      </c>
      <c r="B11" s="2">
        <v>64</v>
      </c>
    </row>
    <row r="12" spans="1:2">
      <c r="A12" s="684" t="s">
        <v>550</v>
      </c>
      <c r="B12" s="2">
        <v>65</v>
      </c>
    </row>
    <row r="13" spans="1:2">
      <c r="A13" s="684" t="s">
        <v>203</v>
      </c>
      <c r="B13" s="2">
        <v>64</v>
      </c>
    </row>
    <row r="14" spans="1:2">
      <c r="A14" s="684" t="s">
        <v>556</v>
      </c>
      <c r="B14" s="2">
        <v>64</v>
      </c>
    </row>
    <row r="15" spans="1:2">
      <c r="A15" s="684" t="s">
        <v>1072</v>
      </c>
      <c r="B15" s="2">
        <v>40</v>
      </c>
    </row>
    <row r="16" spans="1:2">
      <c r="A16" s="684" t="s">
        <v>914</v>
      </c>
      <c r="B16" s="2">
        <v>65</v>
      </c>
    </row>
    <row r="17" spans="1:2">
      <c r="A17" s="684" t="s">
        <v>755</v>
      </c>
      <c r="B17" s="2">
        <v>64</v>
      </c>
    </row>
    <row r="18" spans="1:2">
      <c r="A18" s="684" t="s">
        <v>85</v>
      </c>
      <c r="B18" s="2">
        <v>40</v>
      </c>
    </row>
    <row r="19" spans="1:2">
      <c r="A19" s="684" t="s">
        <v>611</v>
      </c>
      <c r="B19" s="2">
        <v>64</v>
      </c>
    </row>
    <row r="20" spans="1:2">
      <c r="A20" s="684" t="s">
        <v>684</v>
      </c>
      <c r="B20" s="2">
        <v>64</v>
      </c>
    </row>
  </sheetData>
  <autoFilter ref="A1:B1" xr:uid="{00000000-0009-0000-0000-000011000000}">
    <sortState xmlns:xlrd2="http://schemas.microsoft.com/office/spreadsheetml/2017/richdata2" ref="A2:B18">
      <sortCondition ref="A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9"/>
  <dimension ref="A1:B10"/>
  <sheetViews>
    <sheetView workbookViewId="0">
      <selection activeCell="A6" sqref="A6"/>
    </sheetView>
  </sheetViews>
  <sheetFormatPr defaultColWidth="11" defaultRowHeight="15.75"/>
  <sheetData>
    <row r="1" spans="1:2">
      <c r="A1" t="s">
        <v>1039</v>
      </c>
      <c r="B1" t="s">
        <v>1040</v>
      </c>
    </row>
    <row r="2" spans="1:2">
      <c r="A2" t="s">
        <v>923</v>
      </c>
      <c r="B2">
        <v>40</v>
      </c>
    </row>
    <row r="3" spans="1:2">
      <c r="A3" t="s">
        <v>785</v>
      </c>
      <c r="B3">
        <v>64</v>
      </c>
    </row>
    <row r="4" spans="1:2">
      <c r="A4" t="s">
        <v>1073</v>
      </c>
      <c r="B4">
        <v>65</v>
      </c>
    </row>
    <row r="5" spans="1:2">
      <c r="A5" t="s">
        <v>802</v>
      </c>
      <c r="B5">
        <v>40</v>
      </c>
    </row>
    <row r="6" spans="1:2">
      <c r="A6" t="s">
        <v>787</v>
      </c>
      <c r="B6">
        <v>64</v>
      </c>
    </row>
    <row r="7" spans="1:2">
      <c r="A7" t="s">
        <v>1074</v>
      </c>
      <c r="B7">
        <v>65</v>
      </c>
    </row>
    <row r="8" spans="1:2">
      <c r="A8" t="s">
        <v>1075</v>
      </c>
      <c r="B8">
        <v>40</v>
      </c>
    </row>
    <row r="9" spans="1:2">
      <c r="A9" t="s">
        <v>1076</v>
      </c>
      <c r="B9">
        <v>64</v>
      </c>
    </row>
    <row r="10" spans="1:2">
      <c r="A10" t="s">
        <v>1077</v>
      </c>
      <c r="B10">
        <v>40</v>
      </c>
    </row>
  </sheetData>
  <autoFilter ref="A1:B1" xr:uid="{00000000-0009-0000-0000-000012000000}">
    <sortState xmlns:xlrd2="http://schemas.microsoft.com/office/spreadsheetml/2017/richdata2" ref="A2:B5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AJ201"/>
  <sheetViews>
    <sheetView topLeftCell="A19" zoomScale="70" zoomScaleNormal="70" workbookViewId="0">
      <selection activeCell="F41" sqref="F41"/>
    </sheetView>
  </sheetViews>
  <sheetFormatPr defaultColWidth="11" defaultRowHeight="15.75"/>
  <cols>
    <col min="1" max="1" width="8.75" customWidth="1"/>
    <col min="2" max="2" width="6.625" customWidth="1"/>
    <col min="3" max="3" width="25.625" customWidth="1"/>
    <col min="4" max="5" width="12.625" customWidth="1"/>
    <col min="6" max="7" width="17.625" customWidth="1"/>
    <col min="8" max="11" width="12.625" customWidth="1"/>
    <col min="12" max="12" width="7.625" customWidth="1"/>
    <col min="13" max="13" width="7" customWidth="1"/>
    <col min="14" max="15" width="8.625" customWidth="1"/>
    <col min="16" max="16" width="7.25" customWidth="1"/>
    <col min="17" max="17" width="4.75" customWidth="1"/>
    <col min="18" max="18" width="7.25" customWidth="1"/>
  </cols>
  <sheetData>
    <row r="1" spans="1:27" ht="27" customHeight="1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  <c r="S1" s="23"/>
      <c r="T1" s="22"/>
      <c r="U1" s="22"/>
      <c r="V1" s="22"/>
      <c r="W1" s="22"/>
      <c r="X1" s="22"/>
      <c r="Y1" s="22"/>
      <c r="Z1" s="22"/>
      <c r="AA1" s="22"/>
    </row>
    <row r="2" spans="1:27" ht="27" customHeight="1">
      <c r="A2" s="22"/>
      <c r="B2" s="1538" t="s">
        <v>55</v>
      </c>
      <c r="C2" s="1539"/>
      <c r="D2" s="1539"/>
      <c r="E2" s="1539"/>
      <c r="F2" s="1539"/>
      <c r="G2" s="1539"/>
      <c r="H2" s="1539"/>
      <c r="I2" s="1539"/>
      <c r="J2" s="1539"/>
      <c r="K2" s="1539"/>
      <c r="L2" s="1539"/>
      <c r="M2" s="1539"/>
      <c r="N2" s="1540"/>
      <c r="O2" s="22"/>
      <c r="P2" s="22"/>
      <c r="Q2" s="22"/>
      <c r="R2" s="23"/>
      <c r="S2" s="23"/>
      <c r="T2" s="22"/>
      <c r="U2" s="22"/>
      <c r="V2" s="22"/>
      <c r="W2" s="22"/>
      <c r="X2" s="22"/>
      <c r="Y2" s="22"/>
      <c r="Z2" s="22"/>
      <c r="AA2" s="22"/>
    </row>
    <row r="3" spans="1:27" ht="27" customHeight="1">
      <c r="A3" s="22"/>
      <c r="B3" s="1541"/>
      <c r="C3" s="1542"/>
      <c r="D3" s="1542"/>
      <c r="E3" s="1542"/>
      <c r="F3" s="1542"/>
      <c r="G3" s="1542"/>
      <c r="H3" s="1542"/>
      <c r="I3" s="1542"/>
      <c r="J3" s="1542"/>
      <c r="K3" s="1542"/>
      <c r="L3" s="1542"/>
      <c r="M3" s="1542"/>
      <c r="N3" s="1543"/>
      <c r="O3" s="22"/>
      <c r="P3" s="22"/>
      <c r="Q3" s="22"/>
      <c r="R3" s="23"/>
      <c r="S3" s="23"/>
      <c r="T3" s="22"/>
      <c r="U3" s="22"/>
      <c r="V3" s="22"/>
      <c r="W3" s="22"/>
      <c r="X3" s="22"/>
      <c r="Y3" s="22"/>
      <c r="Z3" s="22"/>
      <c r="AA3" s="22"/>
    </row>
    <row r="4" spans="1:27" ht="27" customHeight="1" thickBot="1">
      <c r="A4" s="22"/>
      <c r="B4" s="1544"/>
      <c r="C4" s="1545"/>
      <c r="D4" s="1545"/>
      <c r="E4" s="1545"/>
      <c r="F4" s="1545"/>
      <c r="G4" s="1545"/>
      <c r="H4" s="1545"/>
      <c r="I4" s="1545"/>
      <c r="J4" s="1545"/>
      <c r="K4" s="1545"/>
      <c r="L4" s="1545"/>
      <c r="M4" s="1545"/>
      <c r="N4" s="1546"/>
      <c r="O4" s="22"/>
      <c r="P4" s="22"/>
      <c r="Q4" s="22"/>
      <c r="R4" s="23"/>
      <c r="S4" s="23"/>
      <c r="T4" s="22"/>
      <c r="U4" s="22"/>
      <c r="V4" s="22"/>
      <c r="W4" s="22"/>
      <c r="X4" s="22"/>
      <c r="Y4" s="22"/>
      <c r="Z4" s="22"/>
      <c r="AA4" s="22"/>
    </row>
    <row r="5" spans="1:27" ht="27" customHeight="1" thickBo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3"/>
      <c r="S5" s="23"/>
      <c r="T5" s="22"/>
      <c r="U5" s="22"/>
      <c r="V5" s="22"/>
      <c r="W5" s="22"/>
      <c r="X5" s="22"/>
      <c r="Y5" s="22"/>
      <c r="Z5" s="22"/>
      <c r="AA5" s="22"/>
    </row>
    <row r="6" spans="1:27" ht="36" customHeight="1" thickBot="1">
      <c r="A6" s="22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23"/>
      <c r="P6" s="23"/>
      <c r="Q6" s="23"/>
      <c r="R6" s="23"/>
      <c r="S6" s="23"/>
      <c r="T6" s="22"/>
      <c r="U6" s="22"/>
      <c r="V6" s="22"/>
      <c r="W6" s="22"/>
      <c r="X6" s="22"/>
      <c r="Y6" s="22"/>
      <c r="Z6" s="22"/>
      <c r="AA6" s="22"/>
    </row>
    <row r="7" spans="1:27" ht="21.75" customHeight="1">
      <c r="A7" s="22"/>
      <c r="B7" s="14"/>
      <c r="C7" s="150" t="s">
        <v>1</v>
      </c>
      <c r="D7" s="151" t="s">
        <v>2</v>
      </c>
      <c r="E7" s="151" t="s">
        <v>56</v>
      </c>
      <c r="F7" s="152" t="s">
        <v>4</v>
      </c>
      <c r="G7" s="522" t="s">
        <v>5</v>
      </c>
      <c r="H7" s="524" t="s">
        <v>6</v>
      </c>
      <c r="I7" s="153" t="s">
        <v>7</v>
      </c>
      <c r="J7" s="150" t="s">
        <v>8</v>
      </c>
      <c r="K7" s="151" t="s">
        <v>9</v>
      </c>
      <c r="L7" s="151" t="s">
        <v>10</v>
      </c>
      <c r="M7" s="158" t="s">
        <v>11</v>
      </c>
      <c r="N7" s="39"/>
      <c r="O7" s="40"/>
      <c r="P7" s="1523"/>
      <c r="Q7" s="1523"/>
      <c r="R7" s="23"/>
      <c r="S7" s="23"/>
      <c r="T7" s="22"/>
      <c r="U7" s="22"/>
      <c r="V7" s="22"/>
      <c r="W7" s="22"/>
      <c r="X7" s="22"/>
      <c r="Y7" s="22"/>
      <c r="Z7" s="22"/>
      <c r="AA7" s="22"/>
    </row>
    <row r="8" spans="1:27" ht="21.75" customHeight="1">
      <c r="A8" s="22"/>
      <c r="B8" s="14"/>
      <c r="C8" s="154" t="s">
        <v>12</v>
      </c>
      <c r="D8" s="55"/>
      <c r="E8" s="102">
        <f t="shared" ref="E8:F10" si="0">SUM(E2:E5)</f>
        <v>0</v>
      </c>
      <c r="F8" s="102">
        <f t="shared" si="0"/>
        <v>0</v>
      </c>
      <c r="G8" s="523">
        <v>46</v>
      </c>
      <c r="H8" s="275"/>
      <c r="I8" s="155"/>
      <c r="J8" s="275">
        <f t="shared" ref="J8:M10" si="1">SUM(J2:J5)</f>
        <v>0</v>
      </c>
      <c r="K8" s="102">
        <f t="shared" si="1"/>
        <v>0</v>
      </c>
      <c r="L8" s="102">
        <f t="shared" si="1"/>
        <v>0</v>
      </c>
      <c r="M8" s="155">
        <f t="shared" si="1"/>
        <v>0</v>
      </c>
      <c r="N8" s="39"/>
      <c r="O8" s="40"/>
      <c r="P8" s="1009"/>
      <c r="Q8" s="1009"/>
      <c r="R8" s="23"/>
      <c r="S8" s="23"/>
      <c r="T8" s="22"/>
      <c r="U8" s="22"/>
      <c r="V8" s="22"/>
      <c r="W8" s="22"/>
      <c r="X8" s="22"/>
      <c r="Y8" s="22"/>
      <c r="Z8" s="22"/>
      <c r="AA8" s="22"/>
    </row>
    <row r="9" spans="1:27" ht="21.75" customHeight="1">
      <c r="A9" s="22"/>
      <c r="B9" s="14"/>
      <c r="C9" s="154" t="s">
        <v>13</v>
      </c>
      <c r="D9" s="55"/>
      <c r="E9" s="102">
        <f t="shared" si="0"/>
        <v>0</v>
      </c>
      <c r="F9" s="102">
        <f t="shared" si="0"/>
        <v>0</v>
      </c>
      <c r="G9" s="523">
        <v>50</v>
      </c>
      <c r="H9" s="275"/>
      <c r="I9" s="155"/>
      <c r="J9" s="275">
        <f t="shared" si="1"/>
        <v>0</v>
      </c>
      <c r="K9" s="102">
        <f t="shared" si="1"/>
        <v>0</v>
      </c>
      <c r="L9" s="102">
        <f t="shared" si="1"/>
        <v>0</v>
      </c>
      <c r="M9" s="155">
        <f t="shared" si="1"/>
        <v>0</v>
      </c>
      <c r="N9" s="39"/>
      <c r="O9" s="40"/>
      <c r="P9" s="1009"/>
      <c r="Q9" s="1009"/>
      <c r="R9" s="23"/>
      <c r="S9" s="23"/>
      <c r="T9" s="22"/>
      <c r="U9" s="22"/>
      <c r="V9" s="22"/>
      <c r="W9" s="22"/>
      <c r="X9" s="22"/>
      <c r="Y9" s="22"/>
      <c r="Z9" s="22"/>
      <c r="AA9" s="22"/>
    </row>
    <row r="10" spans="1:27" ht="21.75" customHeight="1">
      <c r="A10" s="22"/>
      <c r="B10" s="14"/>
      <c r="C10" s="154" t="s">
        <v>14</v>
      </c>
      <c r="D10" s="55"/>
      <c r="E10" s="102">
        <f t="shared" si="0"/>
        <v>0</v>
      </c>
      <c r="F10" s="102">
        <f t="shared" si="0"/>
        <v>0</v>
      </c>
      <c r="G10" s="523">
        <v>77</v>
      </c>
      <c r="H10" s="275"/>
      <c r="I10" s="155"/>
      <c r="J10" s="275">
        <f t="shared" si="1"/>
        <v>0</v>
      </c>
      <c r="K10" s="102">
        <f t="shared" si="1"/>
        <v>0</v>
      </c>
      <c r="L10" s="102">
        <f t="shared" si="1"/>
        <v>0</v>
      </c>
      <c r="M10" s="155">
        <f t="shared" si="1"/>
        <v>0</v>
      </c>
      <c r="N10" s="39"/>
      <c r="O10" s="40"/>
      <c r="P10" s="1009"/>
      <c r="Q10" s="1009"/>
      <c r="R10" s="23"/>
      <c r="S10" s="23"/>
      <c r="T10" s="22"/>
      <c r="U10" s="22"/>
      <c r="V10" s="22"/>
      <c r="W10" s="22"/>
      <c r="X10" s="22"/>
      <c r="Y10" s="22"/>
      <c r="Z10" s="22"/>
      <c r="AA10" s="22"/>
    </row>
    <row r="11" spans="1:27" ht="21.75" customHeight="1" thickBot="1">
      <c r="A11" s="22"/>
      <c r="B11" s="14"/>
      <c r="C11" s="135" t="s">
        <v>15</v>
      </c>
      <c r="D11" s="136"/>
      <c r="E11" s="156">
        <f>SUM(E5:E10)</f>
        <v>0</v>
      </c>
      <c r="F11" s="156">
        <f>SUM(F5:F10)</f>
        <v>0</v>
      </c>
      <c r="G11" s="289">
        <v>54</v>
      </c>
      <c r="H11" s="276"/>
      <c r="I11" s="157"/>
      <c r="J11" s="276">
        <f t="shared" ref="J11:M11" si="2">SUM(J5:J10)</f>
        <v>0</v>
      </c>
      <c r="K11" s="156">
        <f t="shared" si="2"/>
        <v>0</v>
      </c>
      <c r="L11" s="156">
        <f t="shared" si="2"/>
        <v>0</v>
      </c>
      <c r="M11" s="157">
        <f t="shared" si="2"/>
        <v>0</v>
      </c>
      <c r="N11" s="39"/>
      <c r="O11" s="40"/>
      <c r="P11" s="1009"/>
      <c r="Q11" s="1009"/>
      <c r="R11" s="23"/>
      <c r="S11" s="23"/>
      <c r="T11" s="22"/>
      <c r="U11" s="22"/>
      <c r="V11" s="22"/>
      <c r="W11" s="22"/>
      <c r="X11" s="22"/>
      <c r="Y11" s="22"/>
      <c r="Z11" s="22"/>
      <c r="AA11" s="22"/>
    </row>
    <row r="12" spans="1:27" ht="21.75" customHeight="1" thickBot="1">
      <c r="A12" s="22"/>
      <c r="B12" s="14"/>
      <c r="C12" s="126"/>
      <c r="D12" s="51"/>
      <c r="E12" s="128"/>
      <c r="F12" s="128"/>
      <c r="G12" s="127"/>
      <c r="H12" s="128"/>
      <c r="I12" s="128"/>
      <c r="J12" s="128"/>
      <c r="K12" s="128"/>
      <c r="L12" s="128"/>
      <c r="M12" s="128"/>
      <c r="N12" s="39"/>
      <c r="O12" s="40"/>
      <c r="P12" s="1009"/>
      <c r="Q12" s="1009"/>
      <c r="R12" s="23"/>
      <c r="S12" s="23"/>
      <c r="T12" s="22"/>
      <c r="U12" s="22"/>
      <c r="V12" s="22"/>
      <c r="W12" s="22"/>
      <c r="X12" s="22"/>
      <c r="Y12" s="22"/>
      <c r="Z12" s="22"/>
      <c r="AA12" s="22"/>
    </row>
    <row r="13" spans="1:27" ht="19.149999999999999" customHeight="1">
      <c r="A13" s="22"/>
      <c r="B13" s="14"/>
      <c r="C13" s="1547">
        <v>2016</v>
      </c>
      <c r="D13" s="138" t="s">
        <v>16</v>
      </c>
      <c r="E13" s="159"/>
      <c r="F13" s="159"/>
      <c r="G13" s="173">
        <f>9+10+2</f>
        <v>21</v>
      </c>
      <c r="H13" s="507"/>
      <c r="I13" s="140"/>
      <c r="J13" s="160">
        <f>9+7+2</f>
        <v>18</v>
      </c>
      <c r="K13" s="161">
        <v>0</v>
      </c>
      <c r="L13" s="160">
        <v>1</v>
      </c>
      <c r="M13" s="162">
        <v>2</v>
      </c>
      <c r="N13" s="39"/>
      <c r="O13" s="40"/>
      <c r="P13" s="1009"/>
      <c r="Q13" s="1009"/>
      <c r="R13" s="23"/>
      <c r="S13" s="23"/>
      <c r="T13" s="22"/>
      <c r="U13" s="22"/>
      <c r="V13" s="22"/>
      <c r="W13" s="22"/>
      <c r="X13" s="22"/>
      <c r="Y13" s="22"/>
      <c r="Z13" s="22"/>
      <c r="AA13" s="22"/>
    </row>
    <row r="14" spans="1:27" ht="19.149999999999999" customHeight="1">
      <c r="A14" s="22"/>
      <c r="B14" s="14"/>
      <c r="C14" s="1548"/>
      <c r="D14" s="44" t="s">
        <v>17</v>
      </c>
      <c r="E14" s="63"/>
      <c r="F14" s="63"/>
      <c r="G14" s="506">
        <f>7+6+1</f>
        <v>14</v>
      </c>
      <c r="H14" s="508"/>
      <c r="I14" s="141"/>
      <c r="J14" s="84">
        <f>7+6+1</f>
        <v>14</v>
      </c>
      <c r="K14" s="99">
        <v>0</v>
      </c>
      <c r="L14" s="99">
        <v>0</v>
      </c>
      <c r="M14" s="163">
        <v>0</v>
      </c>
      <c r="N14" s="39"/>
      <c r="O14" s="40"/>
      <c r="P14" s="1009"/>
      <c r="Q14" s="1009"/>
      <c r="R14" s="23"/>
      <c r="S14" s="23"/>
      <c r="T14" s="22"/>
      <c r="U14" s="22"/>
      <c r="V14" s="22"/>
      <c r="W14" s="22"/>
      <c r="X14" s="22"/>
      <c r="Y14" s="22"/>
      <c r="Z14" s="22"/>
      <c r="AA14" s="22"/>
    </row>
    <row r="15" spans="1:27" ht="19.149999999999999" customHeight="1">
      <c r="A15" s="22"/>
      <c r="B15" s="14"/>
      <c r="C15" s="1548"/>
      <c r="D15" s="44" t="s">
        <v>18</v>
      </c>
      <c r="E15" s="84">
        <f>0+0+4</f>
        <v>4</v>
      </c>
      <c r="F15" s="63"/>
      <c r="G15" s="506">
        <f>5+0+5</f>
        <v>10</v>
      </c>
      <c r="H15" s="508"/>
      <c r="I15" s="141"/>
      <c r="J15" s="84">
        <f>5+0+5</f>
        <v>10</v>
      </c>
      <c r="K15" s="99">
        <v>0</v>
      </c>
      <c r="L15" s="99">
        <v>0</v>
      </c>
      <c r="M15" s="163">
        <v>0</v>
      </c>
      <c r="N15" s="39"/>
      <c r="O15" s="40"/>
      <c r="P15" s="1009"/>
      <c r="Q15" s="1009"/>
      <c r="R15" s="23"/>
      <c r="S15" s="23"/>
      <c r="T15" s="22"/>
      <c r="U15" s="22"/>
      <c r="V15" s="22"/>
      <c r="W15" s="22"/>
      <c r="X15" s="22"/>
      <c r="Y15" s="22"/>
      <c r="Z15" s="22"/>
      <c r="AA15" s="22"/>
    </row>
    <row r="16" spans="1:27" ht="19.149999999999999" customHeight="1">
      <c r="A16" s="22"/>
      <c r="B16" s="14"/>
      <c r="C16" s="1549"/>
      <c r="D16" s="44" t="s">
        <v>19</v>
      </c>
      <c r="E16" s="84">
        <f>0+5+3</f>
        <v>8</v>
      </c>
      <c r="F16" s="63"/>
      <c r="G16" s="506">
        <f>2+5+5</f>
        <v>12</v>
      </c>
      <c r="H16" s="508"/>
      <c r="I16" s="141"/>
      <c r="J16" s="84">
        <f>5+5+2</f>
        <v>12</v>
      </c>
      <c r="K16" s="99">
        <v>0</v>
      </c>
      <c r="L16" s="84">
        <v>1</v>
      </c>
      <c r="M16" s="163">
        <v>0</v>
      </c>
      <c r="N16" s="39"/>
      <c r="O16" s="40"/>
      <c r="P16" s="1009"/>
      <c r="Q16" s="1009"/>
      <c r="R16" s="23"/>
      <c r="S16" s="23"/>
      <c r="T16" s="22"/>
      <c r="U16" s="22"/>
      <c r="V16" s="22"/>
      <c r="W16" s="22"/>
      <c r="X16" s="22"/>
      <c r="Y16" s="22"/>
      <c r="Z16" s="22"/>
      <c r="AA16" s="22"/>
    </row>
    <row r="17" spans="1:27" ht="19.149999999999999" customHeight="1" thickBot="1">
      <c r="A17" s="22"/>
      <c r="B17" s="14"/>
      <c r="C17" s="135" t="s">
        <v>20</v>
      </c>
      <c r="D17" s="136"/>
      <c r="E17" s="164">
        <f t="shared" ref="E17:M17" si="3">SUM(E13:E16)</f>
        <v>12</v>
      </c>
      <c r="F17" s="165">
        <f t="shared" si="3"/>
        <v>0</v>
      </c>
      <c r="G17" s="520">
        <f t="shared" si="3"/>
        <v>57</v>
      </c>
      <c r="H17" s="281"/>
      <c r="I17" s="131"/>
      <c r="J17" s="164">
        <f t="shared" si="3"/>
        <v>54</v>
      </c>
      <c r="K17" s="137">
        <f t="shared" si="3"/>
        <v>0</v>
      </c>
      <c r="L17" s="130">
        <f t="shared" si="3"/>
        <v>2</v>
      </c>
      <c r="M17" s="131">
        <f t="shared" si="3"/>
        <v>2</v>
      </c>
      <c r="N17" s="39"/>
      <c r="O17" s="40"/>
      <c r="P17" s="1009"/>
      <c r="Q17" s="1009"/>
      <c r="R17" s="23"/>
      <c r="S17" s="23"/>
      <c r="T17" s="22"/>
      <c r="U17" s="22"/>
      <c r="V17" s="22"/>
      <c r="W17" s="22"/>
      <c r="X17" s="22"/>
      <c r="Y17" s="22"/>
      <c r="Z17" s="22"/>
      <c r="AA17" s="22"/>
    </row>
    <row r="18" spans="1:27" ht="19.149999999999999" customHeight="1" thickBot="1">
      <c r="A18" s="22"/>
      <c r="B18" s="14"/>
      <c r="C18" s="126"/>
      <c r="D18" s="51"/>
      <c r="E18" s="128"/>
      <c r="F18" s="128"/>
      <c r="G18" s="127"/>
      <c r="H18" s="127"/>
      <c r="I18" s="127"/>
      <c r="J18" s="128"/>
      <c r="K18" s="128"/>
      <c r="L18" s="128"/>
      <c r="M18" s="128"/>
      <c r="N18" s="39"/>
      <c r="O18" s="40"/>
      <c r="P18" s="1009"/>
      <c r="Q18" s="1009"/>
      <c r="R18" s="23"/>
      <c r="S18" s="23"/>
      <c r="T18" s="22"/>
      <c r="U18" s="22"/>
      <c r="V18" s="22"/>
      <c r="W18" s="22"/>
      <c r="X18" s="22"/>
      <c r="Y18" s="22"/>
      <c r="Z18" s="22"/>
      <c r="AA18" s="22"/>
    </row>
    <row r="19" spans="1:27" ht="19.149999999999999" customHeight="1">
      <c r="A19" s="22"/>
      <c r="B19" s="14"/>
      <c r="C19" s="1547">
        <v>2017</v>
      </c>
      <c r="D19" s="132" t="s">
        <v>16</v>
      </c>
      <c r="E19" s="139">
        <v>7</v>
      </c>
      <c r="F19" s="159"/>
      <c r="G19" s="509">
        <f>4+13+2</f>
        <v>19</v>
      </c>
      <c r="H19" s="511"/>
      <c r="I19" s="133"/>
      <c r="J19" s="139">
        <v>19</v>
      </c>
      <c r="K19" s="166">
        <v>0</v>
      </c>
      <c r="L19" s="139">
        <v>11</v>
      </c>
      <c r="M19" s="167">
        <v>0</v>
      </c>
      <c r="N19" s="38"/>
      <c r="O19" s="36"/>
      <c r="P19" s="36"/>
      <c r="Q19" s="36"/>
      <c r="R19" s="23"/>
      <c r="S19" s="23"/>
      <c r="T19" s="22"/>
      <c r="U19" s="22"/>
      <c r="V19" s="22"/>
      <c r="W19" s="22"/>
      <c r="X19" s="22"/>
      <c r="Y19" s="22"/>
      <c r="Z19" s="22"/>
      <c r="AA19" s="22"/>
    </row>
    <row r="20" spans="1:27" ht="19.149999999999999" customHeight="1">
      <c r="A20" s="22"/>
      <c r="B20" s="14"/>
      <c r="C20" s="1548"/>
      <c r="D20" s="20" t="s">
        <v>17</v>
      </c>
      <c r="E20" s="58">
        <v>10</v>
      </c>
      <c r="F20" s="63"/>
      <c r="G20" s="510">
        <f>11+11+9</f>
        <v>31</v>
      </c>
      <c r="H20" s="512"/>
      <c r="I20" s="134"/>
      <c r="J20" s="58">
        <v>23</v>
      </c>
      <c r="K20" s="101">
        <v>0</v>
      </c>
      <c r="L20" s="58">
        <v>2</v>
      </c>
      <c r="M20" s="168">
        <v>1</v>
      </c>
      <c r="N20" s="38"/>
      <c r="O20" s="36"/>
      <c r="P20" s="36"/>
      <c r="Q20" s="36"/>
      <c r="R20" s="23"/>
      <c r="S20" s="23"/>
      <c r="T20" s="22"/>
      <c r="U20" s="22"/>
      <c r="V20" s="22"/>
      <c r="W20" s="22"/>
      <c r="X20" s="22"/>
      <c r="Y20" s="22"/>
      <c r="Z20" s="22"/>
      <c r="AA20" s="22"/>
    </row>
    <row r="21" spans="1:27" ht="19.149999999999999" customHeight="1">
      <c r="A21" s="22"/>
      <c r="B21" s="14"/>
      <c r="C21" s="1548"/>
      <c r="D21" s="20" t="s">
        <v>18</v>
      </c>
      <c r="E21" s="58">
        <v>3</v>
      </c>
      <c r="F21" s="63"/>
      <c r="G21" s="510">
        <f>5+8+2</f>
        <v>15</v>
      </c>
      <c r="H21" s="512"/>
      <c r="I21" s="134"/>
      <c r="J21" s="58">
        <v>14</v>
      </c>
      <c r="K21" s="58">
        <v>1</v>
      </c>
      <c r="L21" s="101">
        <v>0</v>
      </c>
      <c r="M21" s="169">
        <v>0</v>
      </c>
      <c r="N21" s="38"/>
      <c r="O21" s="36"/>
      <c r="P21" s="36"/>
      <c r="Q21" s="36"/>
      <c r="R21" s="23"/>
      <c r="S21" s="23"/>
      <c r="T21" s="22"/>
      <c r="U21" s="22"/>
      <c r="V21" s="22"/>
      <c r="W21" s="22"/>
      <c r="X21" s="22"/>
      <c r="Y21" s="22"/>
      <c r="Z21" s="22"/>
      <c r="AA21" s="22"/>
    </row>
    <row r="22" spans="1:27" ht="19.149999999999999" customHeight="1">
      <c r="A22" s="22"/>
      <c r="B22" s="14"/>
      <c r="C22" s="1549"/>
      <c r="D22" s="20" t="s">
        <v>19</v>
      </c>
      <c r="E22" s="58">
        <v>8</v>
      </c>
      <c r="F22" s="63"/>
      <c r="G22" s="510">
        <f>5+13+20</f>
        <v>38</v>
      </c>
      <c r="H22" s="512"/>
      <c r="I22" s="134"/>
      <c r="J22" s="58">
        <v>28</v>
      </c>
      <c r="K22" s="58">
        <v>8</v>
      </c>
      <c r="L22" s="58">
        <v>3</v>
      </c>
      <c r="M22" s="169">
        <v>0</v>
      </c>
      <c r="N22" s="38"/>
      <c r="O22" s="36"/>
      <c r="P22" s="36"/>
      <c r="Q22" s="36"/>
      <c r="R22" s="23"/>
      <c r="S22" s="23"/>
      <c r="T22" s="22"/>
      <c r="U22" s="22"/>
      <c r="V22" s="22"/>
      <c r="W22" s="22"/>
      <c r="X22" s="22"/>
      <c r="Y22" s="22"/>
      <c r="Z22" s="22"/>
      <c r="AA22" s="22"/>
    </row>
    <row r="23" spans="1:27" ht="19.149999999999999" customHeight="1" thickBot="1">
      <c r="A23" s="22"/>
      <c r="B23" s="14"/>
      <c r="C23" s="135" t="s">
        <v>22</v>
      </c>
      <c r="D23" s="136"/>
      <c r="E23" s="164">
        <f t="shared" ref="E23:M23" si="4">SUM(E19:E22)</f>
        <v>28</v>
      </c>
      <c r="F23" s="165">
        <f t="shared" si="4"/>
        <v>0</v>
      </c>
      <c r="G23" s="520">
        <f t="shared" si="4"/>
        <v>103</v>
      </c>
      <c r="H23" s="281"/>
      <c r="I23" s="131"/>
      <c r="J23" s="164">
        <f t="shared" si="4"/>
        <v>84</v>
      </c>
      <c r="K23" s="130">
        <f t="shared" si="4"/>
        <v>9</v>
      </c>
      <c r="L23" s="130">
        <f t="shared" si="4"/>
        <v>16</v>
      </c>
      <c r="M23" s="131">
        <f t="shared" si="4"/>
        <v>1</v>
      </c>
      <c r="N23" s="38"/>
      <c r="O23" s="36"/>
      <c r="P23" s="36"/>
      <c r="Q23" s="36"/>
      <c r="R23" s="23"/>
      <c r="S23" s="23"/>
      <c r="T23" s="22"/>
      <c r="U23" s="22"/>
      <c r="V23" s="22"/>
      <c r="W23" s="22"/>
      <c r="X23" s="22"/>
      <c r="Y23" s="22"/>
      <c r="Z23" s="22"/>
      <c r="AA23" s="22"/>
    </row>
    <row r="24" spans="1:27" ht="19.149999999999999" customHeight="1" thickBot="1">
      <c r="A24" s="22"/>
      <c r="B24" s="14"/>
      <c r="C24" s="126"/>
      <c r="D24" s="51"/>
      <c r="E24" s="128"/>
      <c r="F24" s="128"/>
      <c r="G24" s="127"/>
      <c r="H24" s="127"/>
      <c r="I24" s="127"/>
      <c r="J24" s="128"/>
      <c r="K24" s="128"/>
      <c r="L24" s="128"/>
      <c r="M24" s="128"/>
      <c r="N24" s="38"/>
      <c r="O24" s="36"/>
      <c r="P24" s="36"/>
      <c r="Q24" s="36"/>
      <c r="R24" s="23"/>
      <c r="S24" s="23"/>
      <c r="T24" s="22"/>
      <c r="U24" s="22"/>
      <c r="V24" s="22"/>
      <c r="W24" s="22"/>
      <c r="X24" s="22"/>
      <c r="Y24" s="22"/>
      <c r="Z24" s="22"/>
      <c r="AA24" s="22"/>
    </row>
    <row r="25" spans="1:27" ht="19.149999999999999" customHeight="1">
      <c r="A25" s="22"/>
      <c r="B25" s="14"/>
      <c r="C25" s="1519">
        <v>2018</v>
      </c>
      <c r="D25" s="170" t="s">
        <v>16</v>
      </c>
      <c r="E25" s="505">
        <f>[1]BILAN_LANDES!$E$25</f>
        <v>7</v>
      </c>
      <c r="F25" s="505">
        <f>[1]BILAN_LANDES!$F$25</f>
        <v>15</v>
      </c>
      <c r="G25" s="503">
        <f>[1]BILAN_LANDES!$G$25</f>
        <v>34</v>
      </c>
      <c r="H25" s="514">
        <f>[1]BILAN_LANDES!$H$25</f>
        <v>29</v>
      </c>
      <c r="I25" s="146">
        <f>[1]BILAN_LANDES!$I$25</f>
        <v>4</v>
      </c>
      <c r="J25" s="286">
        <f>[1]BILAN_LANDES!$J$25</f>
        <v>20</v>
      </c>
      <c r="K25" s="264">
        <f>[1]BILAN_LANDES!$K$25</f>
        <v>10</v>
      </c>
      <c r="L25" s="264">
        <f>[1]BILAN_LANDES!$L$25</f>
        <v>3</v>
      </c>
      <c r="M25" s="265">
        <f>[1]BILAN_LANDES!$M$25</f>
        <v>0</v>
      </c>
      <c r="N25" s="16"/>
      <c r="O25" s="1013"/>
      <c r="P25" s="1013"/>
      <c r="Q25" s="1013"/>
      <c r="R25" s="23"/>
      <c r="S25" s="23"/>
      <c r="T25" s="22"/>
      <c r="U25" s="22"/>
      <c r="V25" s="22"/>
      <c r="W25" s="22"/>
      <c r="X25" s="22"/>
      <c r="Y25" s="22"/>
      <c r="Z25" s="22"/>
      <c r="AA25" s="22"/>
    </row>
    <row r="26" spans="1:27" ht="19.149999999999999" customHeight="1">
      <c r="A26" s="22"/>
      <c r="B26" s="14"/>
      <c r="C26" s="1520"/>
      <c r="D26" s="10" t="s">
        <v>17</v>
      </c>
      <c r="E26" s="504">
        <f>[1]BILAN_LANDES!$E$26</f>
        <v>9</v>
      </c>
      <c r="F26" s="504">
        <f>[1]BILAN_LANDES!$F$26</f>
        <v>22</v>
      </c>
      <c r="G26" s="513">
        <f>[1]BILAN_LANDES!$G$26</f>
        <v>53</v>
      </c>
      <c r="H26" s="515">
        <f>[1]BILAN_LANDES!$H$26</f>
        <v>43</v>
      </c>
      <c r="I26" s="516">
        <f>[1]BILAN_LANDES!$I$26</f>
        <v>7</v>
      </c>
      <c r="J26" s="287">
        <f>[1]BILAN_LANDES!$J$26</f>
        <v>32</v>
      </c>
      <c r="K26" s="266">
        <f>[1]BILAN_LANDES!$K$26</f>
        <v>13</v>
      </c>
      <c r="L26" s="266">
        <f>[1]BILAN_LANDES!$L$26</f>
        <v>6</v>
      </c>
      <c r="M26" s="263">
        <f>[1]BILAN_LANDES!$M$26</f>
        <v>2</v>
      </c>
      <c r="N26" s="16"/>
      <c r="O26" s="1013"/>
      <c r="P26" s="1013"/>
      <c r="Q26" s="37"/>
      <c r="R26" s="23"/>
      <c r="S26" s="23"/>
      <c r="T26" s="22"/>
      <c r="U26" s="22"/>
      <c r="V26" s="22"/>
      <c r="W26" s="22"/>
      <c r="X26" s="22"/>
      <c r="Y26" s="22"/>
      <c r="Z26" s="22"/>
      <c r="AA26" s="22"/>
    </row>
    <row r="27" spans="1:27" ht="19.149999999999999" customHeight="1">
      <c r="A27" s="22"/>
      <c r="B27" s="14"/>
      <c r="C27" s="1520"/>
      <c r="D27" s="10" t="s">
        <v>18</v>
      </c>
      <c r="E27" s="504">
        <f>[1]BILAN_LANDES!$E$27</f>
        <v>6</v>
      </c>
      <c r="F27" s="504">
        <f>[1]BILAN_LANDES!$F$27</f>
        <v>13</v>
      </c>
      <c r="G27" s="513">
        <f>[1]BILAN_LANDES!$G$27</f>
        <v>21</v>
      </c>
      <c r="H27" s="515">
        <f>[1]BILAN_LANDES!$H$27</f>
        <v>19</v>
      </c>
      <c r="I27" s="516">
        <f>[1]BILAN_LANDES!$I$27</f>
        <v>0</v>
      </c>
      <c r="J27" s="287">
        <f>[1]BILAN_LANDES!$J$27</f>
        <v>8</v>
      </c>
      <c r="K27" s="266">
        <f>[1]BILAN_LANDES!$K$27</f>
        <v>13</v>
      </c>
      <c r="L27" s="266">
        <f>[1]BILAN_LANDES!$L$27</f>
        <v>0</v>
      </c>
      <c r="M27" s="267">
        <f>[1]BILAN_LANDES!$M$27</f>
        <v>0</v>
      </c>
      <c r="N27" s="42"/>
      <c r="O27" s="1013"/>
      <c r="P27" s="1013"/>
      <c r="Q27" s="37"/>
      <c r="R27" s="23"/>
      <c r="S27" s="23"/>
      <c r="T27" s="22"/>
      <c r="U27" s="22"/>
      <c r="V27" s="22"/>
      <c r="W27" s="22"/>
      <c r="X27" s="22"/>
      <c r="Y27" s="22"/>
      <c r="Z27" s="22"/>
      <c r="AA27" s="22"/>
    </row>
    <row r="28" spans="1:27" ht="19.149999999999999" customHeight="1">
      <c r="A28" s="22"/>
      <c r="B28" s="14"/>
      <c r="C28" s="1520"/>
      <c r="D28" s="10" t="s">
        <v>19</v>
      </c>
      <c r="E28" s="504">
        <f>[1]BILAN_LANDES!$E$28</f>
        <v>10</v>
      </c>
      <c r="F28" s="504">
        <f>[1]BILAN_LANDES!$F$28</f>
        <v>21</v>
      </c>
      <c r="G28" s="513">
        <f>[1]BILAN_LANDES!$G$28</f>
        <v>22</v>
      </c>
      <c r="H28" s="515">
        <f>[1]BILAN_LANDES!$H$28</f>
        <v>22</v>
      </c>
      <c r="I28" s="516">
        <f>[1]BILAN_LANDES!$I$28</f>
        <v>0</v>
      </c>
      <c r="J28" s="288">
        <f>[1]BILAN_LANDES!$J$28</f>
        <v>9</v>
      </c>
      <c r="K28" s="56">
        <f>[1]BILAN_LANDES!$K$28</f>
        <v>13</v>
      </c>
      <c r="L28" s="56">
        <f>[1]BILAN_LANDES!$L$28</f>
        <v>0</v>
      </c>
      <c r="M28" s="272">
        <f>[1]BILAN_LANDES!$M$28</f>
        <v>0</v>
      </c>
      <c r="N28" s="16"/>
      <c r="O28" s="1013"/>
      <c r="P28" s="1013"/>
      <c r="Q28" s="1013"/>
      <c r="R28" s="23"/>
      <c r="S28" s="23"/>
      <c r="T28" s="22"/>
      <c r="U28" s="22"/>
      <c r="V28" s="22"/>
      <c r="W28" s="22"/>
      <c r="X28" s="22"/>
      <c r="Y28" s="22"/>
      <c r="Z28" s="22"/>
      <c r="AA28" s="22"/>
    </row>
    <row r="29" spans="1:27" ht="19.149999999999999" customHeight="1" thickBot="1">
      <c r="A29" s="22"/>
      <c r="B29" s="14"/>
      <c r="C29" s="135" t="s">
        <v>29</v>
      </c>
      <c r="D29" s="136"/>
      <c r="E29" s="164">
        <f t="shared" ref="E29:M29" si="5">SUM(E25:E28)</f>
        <v>32</v>
      </c>
      <c r="F29" s="164">
        <f t="shared" si="5"/>
        <v>71</v>
      </c>
      <c r="G29" s="520">
        <f t="shared" si="5"/>
        <v>130</v>
      </c>
      <c r="H29" s="281">
        <f>SUM(H25:H28)</f>
        <v>113</v>
      </c>
      <c r="I29" s="131">
        <f>SUM(I25:I28)</f>
        <v>11</v>
      </c>
      <c r="J29" s="521">
        <f t="shared" si="5"/>
        <v>69</v>
      </c>
      <c r="K29" s="130">
        <f t="shared" si="5"/>
        <v>49</v>
      </c>
      <c r="L29" s="130">
        <f t="shared" si="5"/>
        <v>9</v>
      </c>
      <c r="M29" s="131">
        <f t="shared" si="5"/>
        <v>2</v>
      </c>
      <c r="N29" s="16"/>
      <c r="O29" s="1013"/>
      <c r="P29" s="1013"/>
      <c r="Q29" s="1013"/>
      <c r="R29" s="23"/>
      <c r="S29" s="23"/>
      <c r="T29" s="22"/>
      <c r="U29" s="22"/>
      <c r="V29" s="22"/>
      <c r="W29" s="22"/>
      <c r="X29" s="22"/>
      <c r="Y29" s="22"/>
      <c r="Z29" s="22"/>
      <c r="AA29" s="22"/>
    </row>
    <row r="30" spans="1:27" ht="19.149999999999999" customHeight="1" thickBot="1">
      <c r="A30" s="22"/>
      <c r="B30" s="14"/>
      <c r="C30" s="50"/>
      <c r="D30" s="51"/>
      <c r="E30" s="1025"/>
      <c r="F30" s="1025"/>
      <c r="G30" s="1025"/>
      <c r="H30" s="1025"/>
      <c r="I30" s="1025"/>
      <c r="J30" s="1025"/>
      <c r="K30" s="1025"/>
      <c r="L30" s="1025"/>
      <c r="M30" s="1025"/>
      <c r="N30" s="16"/>
      <c r="O30" s="1013"/>
      <c r="P30" s="1013"/>
      <c r="Q30" s="1013"/>
      <c r="R30" s="23"/>
      <c r="S30" s="23"/>
      <c r="T30" s="22"/>
      <c r="U30" s="22"/>
      <c r="V30" s="22"/>
      <c r="W30" s="22"/>
      <c r="X30" s="22"/>
      <c r="Y30" s="22"/>
      <c r="Z30" s="22"/>
      <c r="AA30" s="22"/>
    </row>
    <row r="31" spans="1:27" ht="19.149999999999999" customHeight="1">
      <c r="A31" s="22"/>
      <c r="B31" s="14"/>
      <c r="C31" s="1519">
        <v>2019</v>
      </c>
      <c r="D31" s="170" t="s">
        <v>16</v>
      </c>
      <c r="E31" s="505">
        <v>10</v>
      </c>
      <c r="F31" s="505">
        <v>39</v>
      </c>
      <c r="G31" s="503">
        <v>49</v>
      </c>
      <c r="H31" s="514">
        <v>49</v>
      </c>
      <c r="I31" s="146">
        <v>0</v>
      </c>
      <c r="J31" s="286">
        <v>13</v>
      </c>
      <c r="K31" s="264">
        <v>26</v>
      </c>
      <c r="L31" s="264">
        <v>5</v>
      </c>
      <c r="M31" s="265">
        <v>4</v>
      </c>
      <c r="N31" s="16"/>
      <c r="O31" s="1013"/>
      <c r="P31" s="1013"/>
      <c r="Q31" s="1013"/>
      <c r="R31" s="23"/>
      <c r="S31" s="23"/>
      <c r="T31" s="22"/>
      <c r="U31" s="22"/>
      <c r="V31" s="22"/>
      <c r="W31" s="22"/>
      <c r="X31" s="22"/>
      <c r="Y31" s="22"/>
      <c r="Z31" s="22"/>
      <c r="AA31" s="22"/>
    </row>
    <row r="32" spans="1:27" ht="19.149999999999999" customHeight="1">
      <c r="A32" s="22"/>
      <c r="B32" s="14"/>
      <c r="C32" s="1520"/>
      <c r="D32" s="10" t="s">
        <v>17</v>
      </c>
      <c r="E32" s="504">
        <v>13</v>
      </c>
      <c r="F32" s="504">
        <v>22</v>
      </c>
      <c r="G32" s="513">
        <v>27</v>
      </c>
      <c r="H32" s="515">
        <v>25</v>
      </c>
      <c r="I32" s="516">
        <v>1</v>
      </c>
      <c r="J32" s="287">
        <v>9</v>
      </c>
      <c r="K32" s="266">
        <v>16</v>
      </c>
      <c r="L32" s="266">
        <v>1</v>
      </c>
      <c r="M32" s="263">
        <v>1</v>
      </c>
      <c r="N32" s="16"/>
      <c r="O32" s="1013"/>
      <c r="P32" s="1013"/>
      <c r="Q32" s="1013"/>
      <c r="R32" s="23"/>
      <c r="S32" s="23"/>
      <c r="T32" s="22"/>
      <c r="U32" s="22"/>
      <c r="V32" s="22"/>
      <c r="W32" s="22"/>
      <c r="X32" s="22"/>
      <c r="Y32" s="22"/>
      <c r="Z32" s="22"/>
      <c r="AA32" s="22"/>
    </row>
    <row r="33" spans="1:27" ht="19.149999999999999" customHeight="1">
      <c r="A33" s="22"/>
      <c r="B33" s="14"/>
      <c r="C33" s="1520"/>
      <c r="D33" s="10" t="s">
        <v>18</v>
      </c>
      <c r="E33" s="504">
        <v>19</v>
      </c>
      <c r="F33" s="504">
        <v>35</v>
      </c>
      <c r="G33" s="513">
        <v>46</v>
      </c>
      <c r="H33" s="515">
        <v>38</v>
      </c>
      <c r="I33" s="516">
        <v>4</v>
      </c>
      <c r="J33" s="287">
        <v>15</v>
      </c>
      <c r="K33" s="266">
        <v>22</v>
      </c>
      <c r="L33" s="266">
        <v>7</v>
      </c>
      <c r="M33" s="267">
        <v>0</v>
      </c>
      <c r="N33" s="16"/>
      <c r="O33" s="1013"/>
      <c r="P33" s="1013" t="s">
        <v>57</v>
      </c>
      <c r="Q33" s="1013"/>
      <c r="R33" s="23"/>
      <c r="S33" s="23"/>
      <c r="T33" s="22"/>
      <c r="U33" s="22"/>
      <c r="V33" s="22"/>
      <c r="W33" s="22"/>
      <c r="X33" s="22"/>
      <c r="Y33" s="22"/>
      <c r="Z33" s="22"/>
      <c r="AA33" s="22"/>
    </row>
    <row r="34" spans="1:27" ht="19.149999999999999" customHeight="1">
      <c r="A34" s="22"/>
      <c r="B34" s="14"/>
      <c r="C34" s="1520"/>
      <c r="D34" s="10" t="s">
        <v>19</v>
      </c>
      <c r="E34" s="504">
        <v>18</v>
      </c>
      <c r="F34" s="504">
        <v>75</v>
      </c>
      <c r="G34" s="513">
        <v>89</v>
      </c>
      <c r="H34" s="515">
        <v>88</v>
      </c>
      <c r="I34" s="516">
        <v>1</v>
      </c>
      <c r="J34" s="288">
        <v>32</v>
      </c>
      <c r="K34" s="56">
        <v>31</v>
      </c>
      <c r="L34" s="56">
        <v>21</v>
      </c>
      <c r="M34" s="272">
        <v>5</v>
      </c>
      <c r="N34" s="16"/>
      <c r="O34" s="1013"/>
      <c r="P34" s="1013"/>
      <c r="Q34" s="1013"/>
      <c r="R34" s="23"/>
      <c r="S34" s="23"/>
      <c r="T34" s="22"/>
      <c r="U34" s="22"/>
      <c r="V34" s="22"/>
      <c r="W34" s="22"/>
      <c r="X34" s="22"/>
      <c r="Y34" s="22"/>
      <c r="Z34" s="22"/>
      <c r="AA34" s="22"/>
    </row>
    <row r="35" spans="1:27" ht="19.149999999999999" customHeight="1" thickBot="1">
      <c r="A35" s="22"/>
      <c r="B35" s="14"/>
      <c r="C35" s="135" t="s">
        <v>31</v>
      </c>
      <c r="D35" s="136"/>
      <c r="E35" s="164">
        <f t="shared" ref="E35:G35" si="6">SUM(E31:E34)</f>
        <v>60</v>
      </c>
      <c r="F35" s="164">
        <f t="shared" si="6"/>
        <v>171</v>
      </c>
      <c r="G35" s="520">
        <f t="shared" si="6"/>
        <v>211</v>
      </c>
      <c r="H35" s="281">
        <f>SUM(H31:H34)</f>
        <v>200</v>
      </c>
      <c r="I35" s="131">
        <f>SUM(I31:I34)</f>
        <v>6</v>
      </c>
      <c r="J35" s="521">
        <f t="shared" ref="J35:M35" si="7">SUM(J31:J34)</f>
        <v>69</v>
      </c>
      <c r="K35" s="130">
        <f t="shared" si="7"/>
        <v>95</v>
      </c>
      <c r="L35" s="130">
        <f t="shared" si="7"/>
        <v>34</v>
      </c>
      <c r="M35" s="131">
        <f t="shared" si="7"/>
        <v>10</v>
      </c>
      <c r="N35" s="16"/>
      <c r="O35" s="1013"/>
      <c r="P35" s="1013"/>
      <c r="Q35" s="1013"/>
      <c r="R35" s="23"/>
      <c r="S35" s="23"/>
      <c r="T35" s="22"/>
      <c r="U35" s="22"/>
      <c r="V35" s="22"/>
      <c r="W35" s="22"/>
      <c r="X35" s="22"/>
      <c r="Y35" s="22"/>
      <c r="Z35" s="22"/>
      <c r="AA35" s="22"/>
    </row>
    <row r="36" spans="1:27" ht="19.149999999999999" customHeight="1" thickBot="1">
      <c r="A36" s="22"/>
      <c r="B36" s="14"/>
      <c r="C36" s="50"/>
      <c r="D36" s="51"/>
      <c r="E36" s="1025"/>
      <c r="F36" s="1025"/>
      <c r="G36" s="48"/>
      <c r="H36" s="48"/>
      <c r="I36" s="48"/>
      <c r="J36" s="1025"/>
      <c r="K36" s="1025"/>
      <c r="L36" s="1025"/>
      <c r="M36" s="1025"/>
      <c r="N36" s="16"/>
      <c r="O36" s="1013"/>
      <c r="P36" s="1013"/>
      <c r="Q36" s="1013"/>
      <c r="R36" s="23"/>
      <c r="S36" s="23"/>
      <c r="T36" s="22"/>
      <c r="U36" s="22"/>
      <c r="V36" s="22"/>
      <c r="W36" s="22"/>
      <c r="X36" s="22"/>
      <c r="Y36" s="22"/>
      <c r="Z36" s="22"/>
      <c r="AA36" s="22"/>
    </row>
    <row r="37" spans="1:27" ht="19.149999999999999" customHeight="1">
      <c r="A37" s="22"/>
      <c r="B37" s="14"/>
      <c r="C37" s="1547">
        <v>2020</v>
      </c>
      <c r="D37" s="170" t="s">
        <v>16</v>
      </c>
      <c r="E37" s="303">
        <f>SUM(Janv!F146+Fev!F137+Mars!F141)</f>
        <v>9</v>
      </c>
      <c r="F37" s="303">
        <f>SUM(Janv!I146+Fev!I137+Mars!I141)</f>
        <v>32</v>
      </c>
      <c r="G37" s="303">
        <f>Janv!N35+Fev!N29+Mars!N27</f>
        <v>44</v>
      </c>
      <c r="H37" s="518">
        <f>D135</f>
        <v>44</v>
      </c>
      <c r="I37" s="146">
        <f>E130</f>
        <v>0</v>
      </c>
      <c r="J37" s="304">
        <f>SUM(Janv!J135+Fev!J126+Mars!J130)</f>
        <v>25</v>
      </c>
      <c r="K37" s="305">
        <f>SUM(Janv!J136+Fev!J127+Mars!J131)</f>
        <v>17</v>
      </c>
      <c r="L37" s="305">
        <f>SUM(Janv!J137+Fev!J128+Mars!J132)</f>
        <v>2</v>
      </c>
      <c r="M37" s="306">
        <f>SUM(Janv!J138+Fev!J129+Mars!J133)</f>
        <v>0</v>
      </c>
      <c r="N37" s="16"/>
      <c r="O37" s="1013"/>
      <c r="P37" s="1013"/>
      <c r="Q37" s="1013"/>
      <c r="R37" s="23"/>
      <c r="S37" s="23"/>
      <c r="T37" s="22"/>
      <c r="U37" s="22"/>
      <c r="V37" s="22"/>
      <c r="W37" s="22"/>
      <c r="X37" s="22"/>
      <c r="Y37" s="22"/>
      <c r="Z37" s="22"/>
      <c r="AA37" s="22"/>
    </row>
    <row r="38" spans="1:27" ht="19.149999999999999" customHeight="1">
      <c r="A38" s="22"/>
      <c r="B38" s="14"/>
      <c r="C38" s="1548"/>
      <c r="D38" s="10" t="s">
        <v>17</v>
      </c>
      <c r="E38" s="534">
        <f>SUM(Avr!F138+Mai!F148+Juin!F156)</f>
        <v>13</v>
      </c>
      <c r="F38" s="534">
        <f>SUM(Avr!I138+Mai!I148+Juin!I156)</f>
        <v>44</v>
      </c>
      <c r="G38" s="525">
        <f>SUM(Avr!N31+Mai!N30+Juin!N34)</f>
        <v>54</v>
      </c>
      <c r="H38" s="515">
        <f>G135</f>
        <v>53</v>
      </c>
      <c r="I38" s="147">
        <f>H130</f>
        <v>0</v>
      </c>
      <c r="J38" s="535">
        <f>SUM(Avr!J127+Mai!J137+Juin!J145)</f>
        <v>12</v>
      </c>
      <c r="K38" s="536">
        <f>SUM(Avr!J128+Mai!J138+Juin!J146)</f>
        <v>32</v>
      </c>
      <c r="L38" s="536">
        <f>SUM(Avr!J129+Mai!J139+Juin!J147)</f>
        <v>9</v>
      </c>
      <c r="M38" s="537">
        <f>SUM(Avr!J130+Mai!J140+Juin!J148)</f>
        <v>1</v>
      </c>
      <c r="N38" s="16"/>
      <c r="O38" s="1013"/>
      <c r="P38" s="1013"/>
      <c r="Q38" s="1013"/>
      <c r="R38" s="23"/>
      <c r="S38" s="23"/>
      <c r="T38" s="22"/>
      <c r="U38" s="22"/>
      <c r="V38" s="22"/>
      <c r="W38" s="22"/>
      <c r="X38" s="22"/>
      <c r="Y38" s="22"/>
      <c r="Z38" s="22"/>
      <c r="AA38" s="22"/>
    </row>
    <row r="39" spans="1:27" ht="19.149999999999999" customHeight="1">
      <c r="A39" s="22"/>
      <c r="B39" s="14"/>
      <c r="C39" s="1548"/>
      <c r="D39" s="10" t="s">
        <v>18</v>
      </c>
      <c r="E39" s="307">
        <f>SUM(Juill!F169+Aout!F142+Sept!F150)</f>
        <v>11</v>
      </c>
      <c r="F39" s="307">
        <f>SUM(Juill!I169+Aout!I142+Sept!I150)</f>
        <v>37</v>
      </c>
      <c r="G39" s="517">
        <f>SUM(Juill!N44+Aout!N28+Sept!N44)</f>
        <v>38</v>
      </c>
      <c r="H39" s="515">
        <f>J135</f>
        <v>38</v>
      </c>
      <c r="I39" s="519">
        <f>K135</f>
        <v>0</v>
      </c>
      <c r="J39" s="309">
        <f>SUM(Juill!J158+Aout!J131+Sept!J139)</f>
        <v>10</v>
      </c>
      <c r="K39" s="310">
        <f>SUM(Juill!J159+Aout!J132+Sept!J140)</f>
        <v>13</v>
      </c>
      <c r="L39" s="310">
        <f>SUM(Juill!J160+Aout!J133+Sept!J141)</f>
        <v>15</v>
      </c>
      <c r="M39" s="311">
        <f>SUM(Juill!J161+Aout!J134+Sept!J142)</f>
        <v>0</v>
      </c>
      <c r="N39" s="16"/>
      <c r="O39" s="1013"/>
      <c r="P39" s="1013"/>
      <c r="Q39" s="1013"/>
      <c r="R39" s="23"/>
      <c r="S39" s="23"/>
      <c r="T39" s="22"/>
      <c r="U39" s="22"/>
      <c r="V39" s="22"/>
      <c r="W39" s="22"/>
      <c r="X39" s="22"/>
      <c r="Y39" s="22"/>
      <c r="Z39" s="22"/>
      <c r="AA39" s="22"/>
    </row>
    <row r="40" spans="1:27" ht="19.149999999999999" customHeight="1">
      <c r="A40" s="22"/>
      <c r="B40" s="14"/>
      <c r="C40" s="1549"/>
      <c r="D40" s="268" t="s">
        <v>19</v>
      </c>
      <c r="E40" s="312">
        <f>SUM(Oct!F230+Nov!F158+Dec!F182)</f>
        <v>18</v>
      </c>
      <c r="F40" s="307">
        <f>SUM(Oct!I230+Nov!I158+Dec!I182)</f>
        <v>60</v>
      </c>
      <c r="G40" s="517">
        <f>SUM(Oct!N35+Nov!N42+Dec!N44)</f>
        <v>82</v>
      </c>
      <c r="H40" s="515">
        <f>M135</f>
        <v>76</v>
      </c>
      <c r="I40" s="320">
        <f>N130</f>
        <v>0</v>
      </c>
      <c r="J40" s="313">
        <f>SUM(Oct!J219+Nov!J147+Dec!J171)</f>
        <v>23</v>
      </c>
      <c r="K40" s="314">
        <f>SUM(Oct!J220+Nov!J148+Dec!J172)</f>
        <v>33</v>
      </c>
      <c r="L40" s="314">
        <f>SUM(Oct!J221+Nov!J149+Dec!J173)</f>
        <v>23</v>
      </c>
      <c r="M40" s="315">
        <f>SUM(Oct!J222+Nov!J150+Dec!J174)</f>
        <v>3</v>
      </c>
      <c r="N40" s="16"/>
      <c r="O40" s="1013"/>
      <c r="P40" s="1013"/>
      <c r="Q40" s="1013"/>
      <c r="R40" s="23"/>
      <c r="S40" s="23"/>
      <c r="T40" s="22"/>
      <c r="U40" s="22"/>
      <c r="V40" s="22"/>
      <c r="W40" s="22"/>
      <c r="X40" s="22"/>
      <c r="Y40" s="22"/>
      <c r="Z40" s="22"/>
      <c r="AA40" s="22"/>
    </row>
    <row r="41" spans="1:27" ht="19.149999999999999" customHeight="1" thickBot="1">
      <c r="A41" s="22"/>
      <c r="B41" s="14"/>
      <c r="C41" s="135" t="s">
        <v>32</v>
      </c>
      <c r="D41" s="136"/>
      <c r="E41" s="164">
        <f t="shared" ref="E41:F41" si="8">SUM(E37:E40)</f>
        <v>51</v>
      </c>
      <c r="F41" s="130">
        <f t="shared" si="8"/>
        <v>173</v>
      </c>
      <c r="G41" s="289">
        <f>SUM(G37:G40)</f>
        <v>218</v>
      </c>
      <c r="H41" s="281">
        <f>SUM(H37:H40)</f>
        <v>211</v>
      </c>
      <c r="I41" s="131">
        <f>SUM(I37:I40)</f>
        <v>0</v>
      </c>
      <c r="J41" s="281">
        <f t="shared" ref="J41:M41" si="9">SUM(J37:J40)</f>
        <v>70</v>
      </c>
      <c r="K41" s="130">
        <f t="shared" si="9"/>
        <v>95</v>
      </c>
      <c r="L41" s="130">
        <f t="shared" si="9"/>
        <v>49</v>
      </c>
      <c r="M41" s="131">
        <f t="shared" si="9"/>
        <v>4</v>
      </c>
      <c r="N41" s="16"/>
      <c r="O41" s="1013"/>
      <c r="P41" s="1013"/>
      <c r="Q41" s="1013"/>
      <c r="R41" s="23"/>
      <c r="S41" s="23"/>
      <c r="T41" s="22"/>
      <c r="U41" s="22"/>
      <c r="V41" s="22"/>
      <c r="W41" s="22"/>
      <c r="X41" s="22"/>
      <c r="Y41" s="22"/>
      <c r="Z41" s="22"/>
      <c r="AA41" s="22"/>
    </row>
    <row r="42" spans="1:27" ht="19.149999999999999" customHeight="1">
      <c r="A42" s="22"/>
      <c r="B42" s="14"/>
      <c r="C42" s="50"/>
      <c r="D42" s="51"/>
      <c r="E42" s="1025"/>
      <c r="F42" s="1025"/>
      <c r="G42" s="48"/>
      <c r="H42" s="48"/>
      <c r="I42" s="48"/>
      <c r="J42" s="1025"/>
      <c r="K42" s="1025"/>
      <c r="L42" s="1025"/>
      <c r="M42" s="1025"/>
      <c r="N42" s="16"/>
      <c r="O42" s="1013"/>
      <c r="P42" s="1013"/>
      <c r="Q42" s="1013"/>
      <c r="R42" s="23"/>
      <c r="S42" s="23"/>
      <c r="T42" s="22"/>
      <c r="U42" s="22"/>
      <c r="V42" s="22"/>
      <c r="W42" s="22"/>
      <c r="X42" s="22"/>
      <c r="Y42" s="22"/>
      <c r="Z42" s="22"/>
      <c r="AA42" s="22"/>
    </row>
    <row r="43" spans="1:27">
      <c r="A43" s="23"/>
      <c r="B43" s="14"/>
      <c r="C43" s="89"/>
      <c r="D43" s="1025"/>
      <c r="E43" s="1025"/>
      <c r="F43" s="1025"/>
      <c r="G43" s="1025"/>
      <c r="H43" s="1025"/>
      <c r="I43" s="1025"/>
      <c r="J43" s="1025"/>
      <c r="K43" s="1025"/>
      <c r="L43" s="1025"/>
      <c r="M43" s="1025"/>
      <c r="N43" s="16"/>
      <c r="O43" s="1013"/>
      <c r="P43" s="1013"/>
      <c r="Q43" s="1013"/>
      <c r="R43" s="23"/>
      <c r="S43" s="23"/>
      <c r="T43" s="22"/>
      <c r="U43" s="22"/>
      <c r="V43" s="22"/>
      <c r="W43" s="22"/>
      <c r="X43" s="22"/>
      <c r="Y43" s="22"/>
      <c r="Z43" s="22"/>
      <c r="AA43" s="22"/>
    </row>
    <row r="44" spans="1:27" ht="39.75" customHeight="1">
      <c r="A44" s="23"/>
      <c r="B44" s="14"/>
      <c r="C44" s="1531" t="s">
        <v>58</v>
      </c>
      <c r="D44" s="1531"/>
      <c r="E44" s="1531"/>
      <c r="F44" s="1531"/>
      <c r="G44" s="1531"/>
      <c r="H44" s="1531"/>
      <c r="I44" s="1531"/>
      <c r="J44" s="1531"/>
      <c r="K44" s="1531"/>
      <c r="L44" s="1531"/>
      <c r="M44" s="1531"/>
      <c r="N44" s="52"/>
      <c r="O44" s="23"/>
      <c r="P44" s="87"/>
      <c r="Q44" s="23"/>
      <c r="R44" s="23"/>
      <c r="S44" s="23"/>
      <c r="T44" s="22"/>
      <c r="U44" s="22"/>
      <c r="V44" s="22"/>
      <c r="W44" s="22"/>
      <c r="X44" s="22"/>
      <c r="Y44" s="22"/>
      <c r="Z44" s="22"/>
      <c r="AA44" s="22"/>
    </row>
    <row r="45" spans="1:27">
      <c r="A45" s="23"/>
      <c r="B45" s="14"/>
      <c r="C45" s="91"/>
      <c r="D45" s="1025"/>
      <c r="E45" s="1025"/>
      <c r="F45" s="1025"/>
      <c r="G45" s="1025"/>
      <c r="H45" s="1025"/>
      <c r="I45" s="1025"/>
      <c r="J45" s="1025"/>
      <c r="K45" s="1025"/>
      <c r="L45" s="1025"/>
      <c r="M45" s="1025"/>
      <c r="N45" s="15"/>
      <c r="O45" s="26"/>
      <c r="P45" s="87"/>
      <c r="Q45" s="26"/>
      <c r="R45" s="23"/>
      <c r="S45" s="23"/>
      <c r="T45" s="22"/>
      <c r="U45" s="22"/>
      <c r="V45" s="22"/>
      <c r="W45" s="22"/>
      <c r="X45" s="22"/>
      <c r="Y45" s="22"/>
      <c r="Z45" s="22"/>
      <c r="AA45" s="22"/>
    </row>
    <row r="46" spans="1:27">
      <c r="A46" s="23"/>
      <c r="B46" s="14"/>
      <c r="C46" s="91"/>
      <c r="D46" s="1025"/>
      <c r="E46" s="1025"/>
      <c r="F46" s="1025"/>
      <c r="G46" s="1025"/>
      <c r="H46" s="1025"/>
      <c r="I46" s="1025"/>
      <c r="J46" s="1025"/>
      <c r="K46" s="1025"/>
      <c r="L46" s="1025"/>
      <c r="M46" s="1025"/>
      <c r="N46" s="15"/>
      <c r="O46" s="26"/>
      <c r="P46" s="87"/>
      <c r="Q46" s="26"/>
      <c r="R46" s="23"/>
      <c r="S46" s="23"/>
      <c r="T46" s="22"/>
      <c r="U46" s="22"/>
      <c r="V46" s="22"/>
      <c r="W46" s="22"/>
      <c r="X46" s="22"/>
      <c r="Y46" s="22"/>
      <c r="Z46" s="22"/>
      <c r="AA46" s="22"/>
    </row>
    <row r="47" spans="1:27">
      <c r="A47" s="23"/>
      <c r="B47" s="14"/>
      <c r="C47" s="91"/>
      <c r="D47" s="1025"/>
      <c r="E47" s="1025"/>
      <c r="F47" s="1025"/>
      <c r="G47" s="1025"/>
      <c r="H47" s="1025"/>
      <c r="I47" s="1025"/>
      <c r="J47" s="1025"/>
      <c r="K47" s="1025"/>
      <c r="L47" s="1025"/>
      <c r="M47" s="1025"/>
      <c r="N47" s="15"/>
      <c r="O47" s="26"/>
      <c r="P47" s="87"/>
      <c r="Q47" s="26"/>
      <c r="R47" s="23"/>
      <c r="S47" s="23"/>
      <c r="T47" s="22"/>
      <c r="U47" s="22"/>
      <c r="V47" s="22"/>
      <c r="W47" s="22"/>
      <c r="X47" s="22"/>
      <c r="Y47" s="22"/>
      <c r="Z47" s="22"/>
      <c r="AA47" s="22"/>
    </row>
    <row r="48" spans="1:27">
      <c r="A48" s="23"/>
      <c r="B48" s="14"/>
      <c r="C48" s="91"/>
      <c r="D48" s="1025"/>
      <c r="E48" s="1025"/>
      <c r="F48" s="1025"/>
      <c r="G48" s="1025"/>
      <c r="H48" s="1025"/>
      <c r="I48" s="1025"/>
      <c r="J48" s="1025"/>
      <c r="K48" s="1025"/>
      <c r="L48" s="1025"/>
      <c r="M48" s="1025"/>
      <c r="N48" s="95"/>
      <c r="O48" s="30"/>
      <c r="P48" s="87"/>
      <c r="Q48" s="30"/>
      <c r="R48" s="23"/>
      <c r="S48" s="23"/>
      <c r="T48" s="22"/>
      <c r="U48" s="22"/>
      <c r="V48" s="22"/>
      <c r="W48" s="22"/>
      <c r="X48" s="22"/>
      <c r="Y48" s="22"/>
      <c r="Z48" s="22"/>
      <c r="AA48" s="22"/>
    </row>
    <row r="49" spans="1:27">
      <c r="A49" s="23"/>
      <c r="B49" s="14"/>
      <c r="C49" s="91"/>
      <c r="D49" s="1025"/>
      <c r="E49" s="1025"/>
      <c r="F49" s="1025"/>
      <c r="G49" s="1025"/>
      <c r="H49" s="1025"/>
      <c r="I49" s="1025"/>
      <c r="J49" s="1025"/>
      <c r="K49" s="1025"/>
      <c r="L49" s="1025"/>
      <c r="M49" s="1025"/>
      <c r="N49" s="96"/>
      <c r="O49" s="31"/>
      <c r="P49" s="87"/>
      <c r="Q49" s="31"/>
      <c r="R49" s="23"/>
      <c r="S49" s="23"/>
      <c r="T49" s="22"/>
      <c r="U49" s="22"/>
      <c r="V49" s="22"/>
      <c r="W49" s="22"/>
      <c r="X49" s="22"/>
      <c r="Y49" s="22"/>
      <c r="Z49" s="22"/>
      <c r="AA49" s="22"/>
    </row>
    <row r="50" spans="1:27">
      <c r="A50" s="23"/>
      <c r="B50" s="14"/>
      <c r="C50" s="91"/>
      <c r="D50" s="1025"/>
      <c r="E50" s="1025"/>
      <c r="F50" s="1025"/>
      <c r="G50" s="1025"/>
      <c r="H50" s="1025"/>
      <c r="I50" s="1025"/>
      <c r="J50" s="1025"/>
      <c r="K50" s="1025"/>
      <c r="L50" s="1025"/>
      <c r="M50" s="1025"/>
      <c r="N50" s="96"/>
      <c r="O50" s="31"/>
      <c r="P50" s="87"/>
      <c r="Q50" s="31"/>
      <c r="R50" s="23"/>
      <c r="S50" s="23"/>
      <c r="T50" s="22"/>
      <c r="U50" s="22"/>
      <c r="V50" s="22"/>
      <c r="W50" s="22"/>
      <c r="X50" s="22"/>
      <c r="Y50" s="22"/>
      <c r="Z50" s="22"/>
      <c r="AA50" s="22"/>
    </row>
    <row r="51" spans="1:27">
      <c r="A51" s="23"/>
      <c r="B51" s="14"/>
      <c r="C51" s="91"/>
      <c r="D51" s="1025"/>
      <c r="E51" s="1025"/>
      <c r="F51" s="1025"/>
      <c r="G51" s="1025"/>
      <c r="H51" s="1025"/>
      <c r="I51" s="1025"/>
      <c r="J51" s="1025"/>
      <c r="K51" s="1025"/>
      <c r="L51" s="1025"/>
      <c r="M51" s="1025"/>
      <c r="N51" s="96"/>
      <c r="O51" s="31"/>
      <c r="P51" s="87"/>
      <c r="Q51" s="31"/>
      <c r="R51" s="23"/>
      <c r="S51" s="23"/>
      <c r="T51" s="22"/>
      <c r="U51" s="22"/>
      <c r="V51" s="22"/>
      <c r="W51" s="22"/>
      <c r="X51" s="22"/>
      <c r="Y51" s="22"/>
      <c r="Z51" s="22"/>
      <c r="AA51" s="22"/>
    </row>
    <row r="52" spans="1:27">
      <c r="A52" s="23"/>
      <c r="B52" s="14"/>
      <c r="C52" s="91"/>
      <c r="D52" s="1025"/>
      <c r="E52" s="1025"/>
      <c r="F52" s="1025"/>
      <c r="G52" s="1025"/>
      <c r="H52" s="1025"/>
      <c r="I52" s="1025"/>
      <c r="J52" s="1025"/>
      <c r="K52" s="1025"/>
      <c r="L52" s="1025"/>
      <c r="M52" s="1025"/>
      <c r="N52" s="96"/>
      <c r="O52" s="31"/>
      <c r="P52" s="87"/>
      <c r="Q52" s="31"/>
      <c r="R52" s="23"/>
      <c r="S52" s="23"/>
      <c r="T52" s="22"/>
      <c r="U52" s="22"/>
      <c r="V52" s="22"/>
      <c r="W52" s="22"/>
      <c r="X52" s="22"/>
      <c r="Y52" s="22"/>
      <c r="Z52" s="22"/>
      <c r="AA52" s="22"/>
    </row>
    <row r="53" spans="1:27">
      <c r="A53" s="23"/>
      <c r="B53" s="14"/>
      <c r="C53" s="91"/>
      <c r="D53" s="1025"/>
      <c r="E53" s="1025"/>
      <c r="F53" s="1025"/>
      <c r="G53" s="1025"/>
      <c r="H53" s="1025"/>
      <c r="I53" s="1025"/>
      <c r="J53" s="1025"/>
      <c r="K53" s="1025"/>
      <c r="L53" s="1025"/>
      <c r="M53" s="1025"/>
      <c r="N53" s="96"/>
      <c r="O53" s="31"/>
      <c r="P53" s="87"/>
      <c r="Q53" s="31"/>
      <c r="R53" s="23"/>
      <c r="S53" s="23"/>
      <c r="T53" s="22"/>
      <c r="U53" s="22"/>
      <c r="V53" s="22"/>
      <c r="W53" s="22"/>
      <c r="X53" s="22"/>
      <c r="Y53" s="22"/>
      <c r="Z53" s="22"/>
      <c r="AA53" s="22"/>
    </row>
    <row r="54" spans="1:27">
      <c r="A54" s="23"/>
      <c r="B54" s="14"/>
      <c r="C54" s="91"/>
      <c r="D54" s="1025"/>
      <c r="E54" s="1025"/>
      <c r="F54" s="1025"/>
      <c r="G54" s="1025"/>
      <c r="H54" s="1025"/>
      <c r="I54" s="1025"/>
      <c r="J54" s="1025"/>
      <c r="K54" s="1025"/>
      <c r="L54" s="1025"/>
      <c r="M54" s="1025"/>
      <c r="N54" s="96"/>
      <c r="O54" s="31"/>
      <c r="P54" s="87"/>
      <c r="Q54" s="31"/>
      <c r="R54" s="23"/>
      <c r="S54" s="23"/>
      <c r="T54" s="22"/>
      <c r="U54" s="22"/>
      <c r="V54" s="22"/>
      <c r="W54" s="22"/>
      <c r="X54" s="22"/>
      <c r="Y54" s="22"/>
      <c r="Z54" s="22"/>
      <c r="AA54" s="22"/>
    </row>
    <row r="55" spans="1:27">
      <c r="A55" s="23"/>
      <c r="B55" s="14"/>
      <c r="C55" s="91"/>
      <c r="D55" s="1025"/>
      <c r="E55" s="1025"/>
      <c r="F55" s="1025"/>
      <c r="G55" s="1025"/>
      <c r="H55" s="1025"/>
      <c r="I55" s="1025"/>
      <c r="J55" s="1025"/>
      <c r="K55" s="1025"/>
      <c r="L55" s="1025"/>
      <c r="M55" s="1025"/>
      <c r="N55" s="96"/>
      <c r="O55" s="31"/>
      <c r="P55" s="87"/>
      <c r="Q55" s="31"/>
      <c r="R55" s="23"/>
      <c r="S55" s="23"/>
      <c r="T55" s="22"/>
      <c r="U55" s="22"/>
      <c r="V55" s="22"/>
      <c r="W55" s="22"/>
      <c r="X55" s="22"/>
      <c r="Y55" s="22"/>
      <c r="Z55" s="22"/>
      <c r="AA55" s="22"/>
    </row>
    <row r="56" spans="1:27">
      <c r="A56" s="23"/>
      <c r="B56" s="14"/>
      <c r="C56" s="91"/>
      <c r="D56" s="1025"/>
      <c r="E56" s="1025"/>
      <c r="F56" s="1025"/>
      <c r="G56" s="1025"/>
      <c r="H56" s="1025"/>
      <c r="I56" s="1025"/>
      <c r="J56" s="1025"/>
      <c r="K56" s="1025"/>
      <c r="L56" s="1025"/>
      <c r="M56" s="1025"/>
      <c r="N56" s="96"/>
      <c r="O56" s="31"/>
      <c r="P56" s="87"/>
      <c r="Q56" s="31"/>
      <c r="R56" s="23"/>
      <c r="S56" s="23"/>
      <c r="T56" s="22"/>
      <c r="U56" s="22"/>
      <c r="V56" s="22"/>
      <c r="W56" s="22"/>
      <c r="X56" s="22"/>
      <c r="Y56" s="22"/>
      <c r="Z56" s="22"/>
      <c r="AA56" s="22"/>
    </row>
    <row r="57" spans="1:27">
      <c r="A57" s="23"/>
      <c r="B57" s="14"/>
      <c r="C57" s="91"/>
      <c r="D57" s="1025"/>
      <c r="E57" s="1025"/>
      <c r="F57" s="1025"/>
      <c r="G57" s="1025"/>
      <c r="H57" s="1025"/>
      <c r="I57" s="1025"/>
      <c r="J57" s="1025"/>
      <c r="K57" s="1025"/>
      <c r="L57" s="1025"/>
      <c r="M57" s="1025"/>
      <c r="N57" s="96"/>
      <c r="O57" s="31"/>
      <c r="P57" s="87"/>
      <c r="Q57" s="31"/>
      <c r="R57" s="23"/>
      <c r="S57" s="23"/>
      <c r="T57" s="22"/>
      <c r="U57" s="22"/>
      <c r="V57" s="22"/>
      <c r="W57" s="22"/>
      <c r="X57" s="22"/>
      <c r="Y57" s="22"/>
      <c r="Z57" s="22"/>
      <c r="AA57" s="22"/>
    </row>
    <row r="58" spans="1:27">
      <c r="A58" s="23"/>
      <c r="B58" s="14"/>
      <c r="C58" s="91"/>
      <c r="D58" s="1025"/>
      <c r="E58" s="1025"/>
      <c r="F58" s="1025"/>
      <c r="G58" s="1025"/>
      <c r="H58" s="1025"/>
      <c r="I58" s="1025"/>
      <c r="J58" s="1025"/>
      <c r="K58" s="1025"/>
      <c r="L58" s="1025"/>
      <c r="M58" s="1025"/>
      <c r="N58" s="96"/>
      <c r="O58" s="31"/>
      <c r="P58" s="87"/>
      <c r="Q58" s="31"/>
      <c r="R58" s="23"/>
      <c r="S58" s="23"/>
      <c r="T58" s="22"/>
      <c r="U58" s="22"/>
      <c r="V58" s="22"/>
      <c r="W58" s="22"/>
      <c r="X58" s="22"/>
      <c r="Y58" s="22"/>
      <c r="Z58" s="22"/>
      <c r="AA58" s="22"/>
    </row>
    <row r="59" spans="1:27">
      <c r="A59" s="23"/>
      <c r="B59" s="14"/>
      <c r="C59" s="91"/>
      <c r="D59" s="1025"/>
      <c r="E59" s="1025"/>
      <c r="F59" s="1025"/>
      <c r="G59" s="1025"/>
      <c r="H59" s="1025"/>
      <c r="I59" s="1025"/>
      <c r="J59" s="1025"/>
      <c r="K59" s="1025"/>
      <c r="L59" s="1025"/>
      <c r="M59" s="1025"/>
      <c r="N59" s="96"/>
      <c r="O59" s="31"/>
      <c r="P59" s="87"/>
      <c r="Q59" s="31"/>
      <c r="R59" s="23"/>
      <c r="S59" s="23"/>
      <c r="T59" s="22"/>
      <c r="U59" s="22"/>
      <c r="V59" s="22"/>
      <c r="W59" s="22"/>
      <c r="X59" s="22"/>
      <c r="Y59" s="22"/>
      <c r="Z59" s="22"/>
      <c r="AA59" s="22"/>
    </row>
    <row r="60" spans="1:27">
      <c r="A60" s="23"/>
      <c r="B60" s="14"/>
      <c r="C60" s="91"/>
      <c r="D60" s="1025"/>
      <c r="E60" s="1025"/>
      <c r="F60" s="1025"/>
      <c r="G60" s="1025"/>
      <c r="H60" s="1025"/>
      <c r="I60" s="1025"/>
      <c r="J60" s="1025"/>
      <c r="K60" s="1025"/>
      <c r="L60" s="1025"/>
      <c r="M60" s="1025"/>
      <c r="N60" s="96"/>
      <c r="O60" s="31"/>
      <c r="P60" s="87"/>
      <c r="Q60" s="31"/>
      <c r="R60" s="23"/>
      <c r="S60" s="23"/>
      <c r="T60" s="22"/>
      <c r="U60" s="22"/>
      <c r="V60" s="22"/>
      <c r="W60" s="22"/>
      <c r="X60" s="22"/>
      <c r="Y60" s="22"/>
      <c r="Z60" s="22"/>
      <c r="AA60" s="22"/>
    </row>
    <row r="61" spans="1:27">
      <c r="A61" s="23"/>
      <c r="B61" s="14"/>
      <c r="C61" s="91"/>
      <c r="D61" s="1025"/>
      <c r="E61" s="1025"/>
      <c r="F61" s="1025"/>
      <c r="G61" s="1025"/>
      <c r="H61" s="1025"/>
      <c r="I61" s="1025"/>
      <c r="J61" s="1025"/>
      <c r="K61" s="1025"/>
      <c r="L61" s="1025"/>
      <c r="M61" s="1025"/>
      <c r="N61" s="96"/>
      <c r="O61" s="31"/>
      <c r="P61" s="87"/>
      <c r="Q61" s="31"/>
      <c r="R61" s="23"/>
      <c r="S61" s="23"/>
      <c r="T61" s="22"/>
      <c r="U61" s="22"/>
      <c r="V61" s="22"/>
      <c r="W61" s="22"/>
      <c r="X61" s="22"/>
      <c r="Y61" s="22"/>
      <c r="Z61" s="22"/>
      <c r="AA61" s="22"/>
    </row>
    <row r="62" spans="1:27">
      <c r="A62" s="23"/>
      <c r="B62" s="14"/>
      <c r="C62" s="91"/>
      <c r="D62" s="1025"/>
      <c r="E62" s="1025"/>
      <c r="F62" s="1025"/>
      <c r="G62" s="1025"/>
      <c r="H62" s="1025"/>
      <c r="I62" s="1025"/>
      <c r="J62" s="1025"/>
      <c r="K62" s="1025"/>
      <c r="L62" s="1025"/>
      <c r="M62" s="1025"/>
      <c r="N62" s="96"/>
      <c r="O62" s="31"/>
      <c r="P62" s="87"/>
      <c r="Q62" s="31"/>
      <c r="R62" s="23"/>
      <c r="S62" s="23"/>
      <c r="T62" s="22"/>
      <c r="U62" s="22"/>
      <c r="V62" s="22"/>
      <c r="W62" s="22"/>
      <c r="X62" s="22"/>
      <c r="Y62" s="22"/>
      <c r="Z62" s="22"/>
      <c r="AA62" s="22"/>
    </row>
    <row r="63" spans="1:27" ht="18.75">
      <c r="A63" s="23"/>
      <c r="B63" s="14"/>
      <c r="C63" s="1531" t="s">
        <v>59</v>
      </c>
      <c r="D63" s="1531"/>
      <c r="E63" s="1531"/>
      <c r="F63" s="1531"/>
      <c r="G63" s="1531"/>
      <c r="H63" s="1531"/>
      <c r="I63" s="1531"/>
      <c r="J63" s="1531"/>
      <c r="K63" s="1531"/>
      <c r="L63" s="1531"/>
      <c r="M63" s="1531"/>
      <c r="N63" s="96"/>
      <c r="O63" s="31"/>
      <c r="P63" s="87"/>
      <c r="Q63" s="31"/>
      <c r="R63" s="23"/>
      <c r="S63" s="23"/>
      <c r="T63" s="22"/>
      <c r="U63" s="22"/>
      <c r="V63" s="22"/>
      <c r="W63" s="22"/>
      <c r="X63" s="22"/>
      <c r="Y63" s="22"/>
      <c r="Z63" s="22"/>
      <c r="AA63" s="22"/>
    </row>
    <row r="64" spans="1:27">
      <c r="A64" s="23"/>
      <c r="B64" s="14"/>
      <c r="C64" s="91"/>
      <c r="D64" s="1025"/>
      <c r="E64" s="1025"/>
      <c r="F64" s="1025"/>
      <c r="G64" s="1025"/>
      <c r="H64" s="1025"/>
      <c r="I64" s="1025"/>
      <c r="J64" s="1025"/>
      <c r="K64" s="1025"/>
      <c r="L64" s="1025"/>
      <c r="M64" s="1025"/>
      <c r="N64" s="96"/>
      <c r="O64" s="31"/>
      <c r="P64" s="87"/>
      <c r="Q64" s="31"/>
      <c r="R64" s="23"/>
      <c r="S64" s="23"/>
      <c r="T64" s="22"/>
      <c r="U64" s="22"/>
      <c r="V64" s="22"/>
      <c r="W64" s="22"/>
      <c r="X64" s="22"/>
      <c r="Y64" s="22"/>
      <c r="Z64" s="22"/>
      <c r="AA64" s="22"/>
    </row>
    <row r="65" spans="1:27">
      <c r="A65" s="23"/>
      <c r="B65" s="14"/>
      <c r="C65" s="91"/>
      <c r="D65" s="1025"/>
      <c r="E65" s="1025"/>
      <c r="F65" s="1025"/>
      <c r="G65" s="1025"/>
      <c r="H65" s="1025"/>
      <c r="I65" s="1025"/>
      <c r="J65" s="1025"/>
      <c r="K65" s="1025"/>
      <c r="L65" s="1025"/>
      <c r="M65" s="1025"/>
      <c r="N65" s="96"/>
      <c r="O65" s="31"/>
      <c r="P65" s="87"/>
      <c r="Q65" s="31"/>
      <c r="R65" s="23"/>
      <c r="S65" s="23"/>
      <c r="T65" s="22"/>
      <c r="U65" s="22"/>
      <c r="V65" s="22"/>
      <c r="W65" s="22"/>
      <c r="X65" s="22"/>
      <c r="Y65" s="22"/>
      <c r="Z65" s="22"/>
      <c r="AA65" s="22"/>
    </row>
    <row r="66" spans="1:27">
      <c r="A66" s="23"/>
      <c r="B66" s="14"/>
      <c r="C66" s="91"/>
      <c r="D66" s="1025"/>
      <c r="E66" s="1025"/>
      <c r="F66" s="1025"/>
      <c r="G66" s="1025"/>
      <c r="H66" s="1025"/>
      <c r="I66" s="1025"/>
      <c r="J66" s="1025"/>
      <c r="K66" s="1025"/>
      <c r="L66" s="1025"/>
      <c r="M66" s="1025"/>
      <c r="N66" s="96"/>
      <c r="O66" s="31"/>
      <c r="P66" s="87"/>
      <c r="Q66" s="31"/>
      <c r="R66" s="23"/>
      <c r="S66" s="23"/>
      <c r="T66" s="22"/>
      <c r="U66" s="22"/>
      <c r="V66" s="22"/>
      <c r="W66" s="22"/>
      <c r="X66" s="22"/>
      <c r="Y66" s="22"/>
      <c r="Z66" s="22"/>
      <c r="AA66" s="22"/>
    </row>
    <row r="67" spans="1:27" ht="42" customHeight="1">
      <c r="A67" s="23"/>
      <c r="B67" s="14"/>
      <c r="C67" s="91"/>
      <c r="D67" s="1025"/>
      <c r="E67" s="1025"/>
      <c r="F67" s="1025"/>
      <c r="G67" s="1025"/>
      <c r="H67" s="1025"/>
      <c r="I67" s="1025"/>
      <c r="J67" s="1025"/>
      <c r="K67" s="1025"/>
      <c r="L67" s="1025"/>
      <c r="M67" s="1025"/>
      <c r="N67" s="96"/>
      <c r="O67" s="31"/>
      <c r="P67" s="87"/>
      <c r="Q67" s="31"/>
      <c r="R67" s="23"/>
      <c r="S67" s="23"/>
      <c r="T67" s="22"/>
      <c r="U67" s="22"/>
      <c r="V67" s="22"/>
      <c r="W67" s="22"/>
      <c r="X67" s="22"/>
      <c r="Y67" s="22"/>
      <c r="Z67" s="22"/>
      <c r="AA67" s="22"/>
    </row>
    <row r="68" spans="1:27">
      <c r="A68" s="23"/>
      <c r="B68" s="14"/>
      <c r="C68" s="91"/>
      <c r="D68" s="1025"/>
      <c r="E68" s="1025"/>
      <c r="F68" s="1025"/>
      <c r="G68" s="1025"/>
      <c r="H68" s="1025"/>
      <c r="I68" s="1025"/>
      <c r="J68" s="1025"/>
      <c r="K68" s="1025"/>
      <c r="L68" s="1025"/>
      <c r="M68" s="1025"/>
      <c r="N68" s="96"/>
      <c r="O68" s="31"/>
      <c r="P68" s="87"/>
      <c r="Q68" s="31"/>
      <c r="R68" s="23"/>
      <c r="S68" s="23"/>
      <c r="T68" s="22"/>
      <c r="U68" s="22"/>
      <c r="V68" s="22"/>
      <c r="W68" s="22"/>
      <c r="X68" s="22"/>
      <c r="Y68" s="22"/>
      <c r="Z68" s="22"/>
      <c r="AA68" s="22"/>
    </row>
    <row r="69" spans="1:27">
      <c r="A69" s="23"/>
      <c r="B69" s="14"/>
      <c r="C69" s="91"/>
      <c r="D69" s="1025"/>
      <c r="E69" s="1025"/>
      <c r="F69" s="1025"/>
      <c r="G69" s="1025"/>
      <c r="H69" s="1025"/>
      <c r="I69" s="1025"/>
      <c r="J69" s="1025"/>
      <c r="K69" s="1025"/>
      <c r="L69" s="1025"/>
      <c r="M69" s="1025"/>
      <c r="N69" s="96"/>
      <c r="O69" s="31"/>
      <c r="P69" s="87"/>
      <c r="Q69" s="31"/>
      <c r="R69" s="23"/>
      <c r="S69" s="23"/>
      <c r="T69" s="22"/>
      <c r="U69" s="22"/>
      <c r="V69" s="22"/>
      <c r="W69" s="22"/>
      <c r="X69" s="22"/>
      <c r="Y69" s="22"/>
      <c r="Z69" s="22"/>
      <c r="AA69" s="22"/>
    </row>
    <row r="70" spans="1:27">
      <c r="A70" s="23"/>
      <c r="B70" s="14"/>
      <c r="C70" s="91"/>
      <c r="D70" s="1025"/>
      <c r="E70" s="1025"/>
      <c r="F70" s="1025"/>
      <c r="G70" s="1025"/>
      <c r="H70" s="1025"/>
      <c r="I70" s="1025"/>
      <c r="J70" s="1025"/>
      <c r="K70" s="1025"/>
      <c r="L70" s="1025"/>
      <c r="M70" s="1025"/>
      <c r="N70" s="96"/>
      <c r="O70" s="31"/>
      <c r="P70" s="87"/>
      <c r="Q70" s="31"/>
      <c r="R70" s="23"/>
      <c r="S70" s="23"/>
      <c r="T70" s="22"/>
      <c r="U70" s="22"/>
      <c r="V70" s="22"/>
      <c r="W70" s="22"/>
      <c r="X70" s="22"/>
      <c r="Y70" s="22"/>
      <c r="Z70" s="22"/>
      <c r="AA70" s="22"/>
    </row>
    <row r="71" spans="1:27">
      <c r="A71" s="23"/>
      <c r="B71" s="14"/>
      <c r="C71" s="91"/>
      <c r="D71" s="1025"/>
      <c r="E71" s="1025"/>
      <c r="F71" s="1025"/>
      <c r="G71" s="1025"/>
      <c r="H71" s="1025"/>
      <c r="I71" s="1025"/>
      <c r="J71" s="1025"/>
      <c r="K71" s="1025"/>
      <c r="L71" s="1025"/>
      <c r="M71" s="1025"/>
      <c r="N71" s="96"/>
      <c r="O71" s="31"/>
      <c r="P71" s="87"/>
      <c r="Q71" s="31"/>
      <c r="R71" s="23"/>
      <c r="S71" s="23"/>
      <c r="T71" s="22"/>
      <c r="U71" s="22"/>
      <c r="V71" s="22"/>
      <c r="W71" s="22"/>
      <c r="X71" s="22"/>
      <c r="Y71" s="22"/>
      <c r="Z71" s="22"/>
      <c r="AA71" s="22"/>
    </row>
    <row r="72" spans="1:27">
      <c r="A72" s="23"/>
      <c r="B72" s="14"/>
      <c r="C72" s="91"/>
      <c r="D72" s="1025"/>
      <c r="E72" s="1025"/>
      <c r="F72" s="1025"/>
      <c r="G72" s="1025"/>
      <c r="H72" s="1025"/>
      <c r="I72" s="1025"/>
      <c r="J72" s="1025"/>
      <c r="K72" s="1025"/>
      <c r="L72" s="1025"/>
      <c r="M72" s="1025"/>
      <c r="N72" s="96"/>
      <c r="O72" s="31"/>
      <c r="P72" s="87"/>
      <c r="Q72" s="31"/>
      <c r="R72" s="23"/>
      <c r="S72" s="23"/>
      <c r="T72" s="22"/>
      <c r="U72" s="22"/>
      <c r="V72" s="22"/>
      <c r="W72" s="22"/>
      <c r="X72" s="22"/>
      <c r="Y72" s="22"/>
      <c r="Z72" s="22"/>
      <c r="AA72" s="22"/>
    </row>
    <row r="73" spans="1:27">
      <c r="A73" s="23"/>
      <c r="B73" s="14"/>
      <c r="C73" s="91"/>
      <c r="D73" s="1025"/>
      <c r="E73" s="1025"/>
      <c r="F73" s="1025"/>
      <c r="G73" s="1025"/>
      <c r="H73" s="1025"/>
      <c r="I73" s="1025"/>
      <c r="J73" s="1025"/>
      <c r="K73" s="1025"/>
      <c r="L73" s="1025"/>
      <c r="M73" s="1025"/>
      <c r="N73" s="96"/>
      <c r="O73" s="31"/>
      <c r="P73" s="87"/>
      <c r="Q73" s="31"/>
      <c r="R73" s="23"/>
      <c r="S73" s="23"/>
      <c r="T73" s="22"/>
      <c r="U73" s="22"/>
      <c r="V73" s="22"/>
      <c r="W73" s="22"/>
      <c r="X73" s="22"/>
      <c r="Y73" s="22"/>
      <c r="Z73" s="22"/>
      <c r="AA73" s="22"/>
    </row>
    <row r="74" spans="1:27">
      <c r="A74" s="23"/>
      <c r="B74" s="14"/>
      <c r="C74" s="91"/>
      <c r="D74" s="1025"/>
      <c r="E74" s="1025"/>
      <c r="F74" s="1025"/>
      <c r="G74" s="1025"/>
      <c r="H74" s="1025"/>
      <c r="I74" s="1025"/>
      <c r="J74" s="1025"/>
      <c r="K74" s="1025"/>
      <c r="L74" s="1025"/>
      <c r="M74" s="1025"/>
      <c r="N74" s="96"/>
      <c r="O74" s="31"/>
      <c r="P74" s="87"/>
      <c r="Q74" s="31"/>
      <c r="R74" s="23"/>
      <c r="S74" s="23"/>
      <c r="T74" s="22"/>
      <c r="U74" s="22"/>
      <c r="V74" s="22"/>
      <c r="W74" s="22"/>
      <c r="X74" s="22"/>
      <c r="Y74" s="22"/>
      <c r="Z74" s="22"/>
      <c r="AA74" s="22"/>
    </row>
    <row r="75" spans="1:27">
      <c r="A75" s="23"/>
      <c r="B75" s="14"/>
      <c r="C75" s="91"/>
      <c r="D75" s="1025"/>
      <c r="E75" s="1025"/>
      <c r="F75" s="1025"/>
      <c r="G75" s="1025"/>
      <c r="H75" s="1025"/>
      <c r="I75" s="1025"/>
      <c r="J75" s="1025"/>
      <c r="K75" s="1025"/>
      <c r="L75" s="1025"/>
      <c r="M75" s="1025"/>
      <c r="N75" s="96"/>
      <c r="O75" s="31"/>
      <c r="P75" s="87"/>
      <c r="Q75" s="31"/>
      <c r="R75" s="23"/>
      <c r="S75" s="23"/>
      <c r="T75" s="22"/>
      <c r="U75" s="22"/>
      <c r="V75" s="22"/>
      <c r="W75" s="22"/>
      <c r="X75" s="22"/>
      <c r="Y75" s="22"/>
      <c r="Z75" s="22"/>
      <c r="AA75" s="22"/>
    </row>
    <row r="76" spans="1:27">
      <c r="A76" s="23"/>
      <c r="B76" s="14"/>
      <c r="C76" s="91"/>
      <c r="D76" s="1025"/>
      <c r="E76" s="1025"/>
      <c r="F76" s="1025"/>
      <c r="G76" s="1025"/>
      <c r="H76" s="1025"/>
      <c r="I76" s="1025"/>
      <c r="J76" s="1025"/>
      <c r="K76" s="1025"/>
      <c r="L76" s="1025"/>
      <c r="M76" s="1025"/>
      <c r="N76" s="96"/>
      <c r="O76" s="31"/>
      <c r="P76" s="87"/>
      <c r="Q76" s="31"/>
      <c r="R76" s="23"/>
      <c r="S76" s="23"/>
      <c r="T76" s="22"/>
      <c r="U76" s="22"/>
      <c r="V76" s="22"/>
      <c r="W76" s="22"/>
      <c r="X76" s="22"/>
      <c r="Y76" s="22"/>
      <c r="Z76" s="22"/>
      <c r="AA76" s="22"/>
    </row>
    <row r="77" spans="1:27">
      <c r="A77" s="23"/>
      <c r="B77" s="14"/>
      <c r="C77" s="91"/>
      <c r="D77" s="1025"/>
      <c r="E77" s="1025"/>
      <c r="F77" s="1025"/>
      <c r="G77" s="1025"/>
      <c r="H77" s="1025"/>
      <c r="I77" s="1025"/>
      <c r="J77" s="1025"/>
      <c r="K77" s="1025"/>
      <c r="L77" s="1025"/>
      <c r="M77" s="1025"/>
      <c r="N77" s="96"/>
      <c r="O77" s="31"/>
      <c r="P77" s="87"/>
      <c r="Q77" s="31"/>
      <c r="R77" s="23"/>
      <c r="S77" s="23"/>
      <c r="T77" s="22"/>
      <c r="U77" s="22"/>
      <c r="V77" s="22"/>
      <c r="W77" s="22"/>
      <c r="X77" s="22"/>
      <c r="Y77" s="22"/>
      <c r="Z77" s="22"/>
      <c r="AA77" s="22"/>
    </row>
    <row r="78" spans="1:27">
      <c r="A78" s="23"/>
      <c r="B78" s="14"/>
      <c r="C78" s="91"/>
      <c r="D78" s="1025"/>
      <c r="E78" s="1025"/>
      <c r="F78" s="1025"/>
      <c r="G78" s="1025"/>
      <c r="H78" s="1025"/>
      <c r="I78" s="1025"/>
      <c r="J78" s="1025"/>
      <c r="K78" s="1025"/>
      <c r="L78" s="1025"/>
      <c r="M78" s="1025"/>
      <c r="N78" s="96"/>
      <c r="O78" s="31"/>
      <c r="P78" s="87"/>
      <c r="Q78" s="31"/>
      <c r="R78" s="23"/>
      <c r="S78" s="23"/>
      <c r="T78" s="22"/>
      <c r="U78" s="22"/>
      <c r="V78" s="22"/>
      <c r="W78" s="22"/>
      <c r="X78" s="22"/>
      <c r="Y78" s="22"/>
      <c r="Z78" s="22"/>
      <c r="AA78" s="22"/>
    </row>
    <row r="79" spans="1:27">
      <c r="A79" s="23"/>
      <c r="B79" s="14"/>
      <c r="C79" s="91"/>
      <c r="D79" s="1025"/>
      <c r="E79" s="1025"/>
      <c r="F79" s="1025"/>
      <c r="G79" s="1025"/>
      <c r="H79" s="1025"/>
      <c r="I79" s="1025"/>
      <c r="J79" s="1025"/>
      <c r="K79" s="1025"/>
      <c r="L79" s="1025"/>
      <c r="M79" s="1025"/>
      <c r="N79" s="96"/>
      <c r="O79" s="31"/>
      <c r="P79" s="87"/>
      <c r="Q79" s="31"/>
      <c r="R79" s="23"/>
      <c r="S79" s="23"/>
      <c r="T79" s="22"/>
      <c r="U79" s="22"/>
      <c r="V79" s="22"/>
      <c r="W79" s="22"/>
      <c r="X79" s="22"/>
      <c r="Y79" s="22"/>
      <c r="Z79" s="22"/>
      <c r="AA79" s="22"/>
    </row>
    <row r="80" spans="1:27">
      <c r="A80" s="23"/>
      <c r="B80" s="14"/>
      <c r="C80" s="91"/>
      <c r="D80" s="1025"/>
      <c r="E80" s="1025"/>
      <c r="F80" s="1025"/>
      <c r="G80" s="1025"/>
      <c r="H80" s="1025"/>
      <c r="I80" s="1025"/>
      <c r="J80" s="1025"/>
      <c r="K80" s="1025"/>
      <c r="L80" s="1025"/>
      <c r="M80" s="1025"/>
      <c r="N80" s="96"/>
      <c r="O80" s="31"/>
      <c r="P80" s="87"/>
      <c r="Q80" s="31"/>
      <c r="R80" s="23"/>
      <c r="S80" s="23"/>
      <c r="T80" s="22"/>
      <c r="U80" s="22"/>
      <c r="V80" s="22"/>
      <c r="W80" s="22"/>
      <c r="X80" s="22"/>
      <c r="Y80" s="22"/>
      <c r="Z80" s="22"/>
      <c r="AA80" s="22"/>
    </row>
    <row r="81" spans="1:27">
      <c r="A81" s="23"/>
      <c r="B81" s="14"/>
      <c r="C81" s="91"/>
      <c r="D81" s="1025"/>
      <c r="E81" s="1025"/>
      <c r="F81" s="1025"/>
      <c r="G81" s="1025"/>
      <c r="H81" s="1025"/>
      <c r="I81" s="1025"/>
      <c r="J81" s="1025"/>
      <c r="K81" s="1025"/>
      <c r="L81" s="1025"/>
      <c r="M81" s="1025"/>
      <c r="N81" s="96"/>
      <c r="O81" s="31"/>
      <c r="P81" s="87"/>
      <c r="Q81" s="31"/>
      <c r="R81" s="23"/>
      <c r="S81" s="23"/>
      <c r="T81" s="22"/>
      <c r="U81" s="22"/>
      <c r="V81" s="22"/>
      <c r="W81" s="22"/>
      <c r="X81" s="22"/>
      <c r="Y81" s="22"/>
      <c r="Z81" s="22"/>
      <c r="AA81" s="22"/>
    </row>
    <row r="82" spans="1:27">
      <c r="A82" s="23"/>
      <c r="B82" s="14"/>
      <c r="C82" s="91"/>
      <c r="D82" s="1025"/>
      <c r="E82" s="1025"/>
      <c r="F82" s="1025"/>
      <c r="G82" s="1025"/>
      <c r="H82" s="1025"/>
      <c r="I82" s="1025"/>
      <c r="J82" s="1025"/>
      <c r="K82" s="1025"/>
      <c r="L82" s="1025"/>
      <c r="M82" s="1025"/>
      <c r="N82" s="96"/>
      <c r="O82" s="31"/>
      <c r="P82" s="87"/>
      <c r="Q82" s="31"/>
      <c r="R82" s="23"/>
      <c r="S82" s="23"/>
      <c r="T82" s="22"/>
      <c r="U82" s="22"/>
      <c r="V82" s="22"/>
      <c r="W82" s="22"/>
      <c r="X82" s="22"/>
      <c r="Y82" s="22"/>
      <c r="Z82" s="22"/>
      <c r="AA82" s="22"/>
    </row>
    <row r="83" spans="1:27">
      <c r="A83" s="23"/>
      <c r="B83" s="14"/>
      <c r="C83" s="91"/>
      <c r="D83" s="1025"/>
      <c r="E83" s="1025"/>
      <c r="F83" s="1025"/>
      <c r="G83" s="1025"/>
      <c r="H83" s="1025"/>
      <c r="I83" s="1025"/>
      <c r="J83" s="1025"/>
      <c r="K83" s="1025"/>
      <c r="L83" s="1025"/>
      <c r="M83" s="1025"/>
      <c r="N83" s="96"/>
      <c r="O83" s="31"/>
      <c r="P83" s="87"/>
      <c r="Q83" s="31"/>
      <c r="R83" s="23"/>
      <c r="S83" s="23"/>
      <c r="T83" s="22"/>
      <c r="U83" s="22"/>
      <c r="V83" s="22"/>
      <c r="W83" s="22"/>
      <c r="X83" s="22"/>
      <c r="Y83" s="22"/>
      <c r="Z83" s="22"/>
      <c r="AA83" s="22"/>
    </row>
    <row r="84" spans="1:27">
      <c r="A84" s="23"/>
      <c r="B84" s="14"/>
      <c r="C84" s="91"/>
      <c r="D84" s="1025"/>
      <c r="E84" s="1025"/>
      <c r="F84" s="1025"/>
      <c r="G84" s="1025"/>
      <c r="H84" s="1025"/>
      <c r="I84" s="1025"/>
      <c r="J84" s="1025"/>
      <c r="K84" s="1025"/>
      <c r="L84" s="1025"/>
      <c r="M84" s="1025"/>
      <c r="N84" s="96"/>
      <c r="O84" s="31"/>
      <c r="P84" s="87"/>
      <c r="Q84" s="31"/>
      <c r="R84" s="23"/>
      <c r="S84" s="23"/>
      <c r="T84" s="22"/>
      <c r="U84" s="22"/>
      <c r="V84" s="22"/>
      <c r="W84" s="22"/>
      <c r="X84" s="22"/>
      <c r="Y84" s="22"/>
      <c r="Z84" s="22"/>
      <c r="AA84" s="22"/>
    </row>
    <row r="85" spans="1:27">
      <c r="A85" s="23"/>
      <c r="B85" s="14"/>
      <c r="C85" s="91"/>
      <c r="D85" s="1025"/>
      <c r="E85" s="1025"/>
      <c r="F85" s="1025"/>
      <c r="G85" s="1025"/>
      <c r="H85" s="1025"/>
      <c r="I85" s="1025"/>
      <c r="J85" s="1025"/>
      <c r="K85" s="1025"/>
      <c r="L85" s="1025"/>
      <c r="M85" s="1025"/>
      <c r="N85" s="96"/>
      <c r="O85" s="31"/>
      <c r="P85" s="87"/>
      <c r="Q85" s="31"/>
      <c r="R85" s="23"/>
      <c r="S85" s="23"/>
      <c r="T85" s="22"/>
      <c r="U85" s="22"/>
      <c r="V85" s="22"/>
      <c r="W85" s="22"/>
      <c r="X85" s="22"/>
      <c r="Y85" s="22"/>
      <c r="Z85" s="22"/>
      <c r="AA85" s="22"/>
    </row>
    <row r="86" spans="1:27">
      <c r="A86" s="23"/>
      <c r="B86" s="14"/>
      <c r="C86" s="91"/>
      <c r="D86" s="1025"/>
      <c r="E86" s="1025"/>
      <c r="F86" s="1025"/>
      <c r="G86" s="1025"/>
      <c r="H86" s="1025"/>
      <c r="I86" s="1025"/>
      <c r="J86" s="1025"/>
      <c r="K86" s="1025"/>
      <c r="L86" s="1025"/>
      <c r="M86" s="1025"/>
      <c r="N86" s="96"/>
      <c r="O86" s="31"/>
      <c r="P86" s="87"/>
      <c r="Q86" s="31"/>
      <c r="R86" s="23"/>
      <c r="S86" s="23"/>
      <c r="T86" s="22"/>
      <c r="U86" s="22"/>
      <c r="V86" s="22"/>
      <c r="W86" s="22"/>
      <c r="X86" s="22"/>
      <c r="Y86" s="22"/>
      <c r="Z86" s="22"/>
      <c r="AA86" s="22"/>
    </row>
    <row r="87" spans="1:27">
      <c r="A87" s="23"/>
      <c r="B87" s="14"/>
      <c r="C87" s="91"/>
      <c r="D87" s="1025"/>
      <c r="E87" s="1025"/>
      <c r="F87" s="1025"/>
      <c r="G87" s="1025"/>
      <c r="H87" s="1025"/>
      <c r="I87" s="1025"/>
      <c r="J87" s="1025"/>
      <c r="K87" s="1025"/>
      <c r="L87" s="1025"/>
      <c r="M87" s="1025"/>
      <c r="N87" s="96"/>
      <c r="O87" s="31"/>
      <c r="P87" s="87"/>
      <c r="Q87" s="31"/>
      <c r="R87" s="23"/>
      <c r="S87" s="23"/>
      <c r="T87" s="22"/>
      <c r="U87" s="22"/>
      <c r="V87" s="22"/>
      <c r="W87" s="22"/>
      <c r="X87" s="22"/>
      <c r="Y87" s="22"/>
      <c r="Z87" s="22"/>
      <c r="AA87" s="22"/>
    </row>
    <row r="88" spans="1:27">
      <c r="A88" s="23"/>
      <c r="B88" s="14"/>
      <c r="C88" s="91"/>
      <c r="D88" s="1025"/>
      <c r="E88" s="1025"/>
      <c r="F88" s="1025"/>
      <c r="G88" s="1025"/>
      <c r="H88" s="1025"/>
      <c r="I88" s="1025"/>
      <c r="J88" s="1025"/>
      <c r="K88" s="1025"/>
      <c r="L88" s="1025"/>
      <c r="M88" s="1025"/>
      <c r="N88" s="96"/>
      <c r="O88" s="31"/>
      <c r="P88" s="87"/>
      <c r="Q88" s="31"/>
      <c r="R88" s="23"/>
      <c r="S88" s="23"/>
      <c r="T88" s="22"/>
      <c r="U88" s="22"/>
      <c r="V88" s="22"/>
      <c r="W88" s="22"/>
      <c r="X88" s="22"/>
      <c r="Y88" s="22"/>
      <c r="Z88" s="22"/>
      <c r="AA88" s="22"/>
    </row>
    <row r="89" spans="1:27">
      <c r="A89" s="23"/>
      <c r="B89" s="14"/>
      <c r="C89" s="91"/>
      <c r="D89" s="1025"/>
      <c r="E89" s="1025"/>
      <c r="F89" s="1025"/>
      <c r="G89" s="1025"/>
      <c r="H89" s="1025"/>
      <c r="I89" s="1025"/>
      <c r="J89" s="1025"/>
      <c r="K89" s="1025"/>
      <c r="L89" s="1025"/>
      <c r="M89" s="1025"/>
      <c r="N89" s="96"/>
      <c r="O89" s="31"/>
      <c r="P89" s="87"/>
      <c r="Q89" s="31"/>
      <c r="R89" s="23"/>
      <c r="S89" s="23"/>
      <c r="T89" s="22"/>
      <c r="U89" s="22"/>
      <c r="V89" s="22"/>
      <c r="W89" s="22"/>
      <c r="X89" s="22"/>
      <c r="Y89" s="22"/>
      <c r="Z89" s="22"/>
      <c r="AA89" s="22"/>
    </row>
    <row r="90" spans="1:27">
      <c r="A90" s="23"/>
      <c r="B90" s="14"/>
      <c r="C90" s="91"/>
      <c r="D90" s="1025"/>
      <c r="E90" s="1025"/>
      <c r="F90" s="1025"/>
      <c r="G90" s="1025"/>
      <c r="H90" s="1025"/>
      <c r="I90" s="1025"/>
      <c r="J90" s="1025"/>
      <c r="K90" s="1025"/>
      <c r="L90" s="1025"/>
      <c r="M90" s="1025"/>
      <c r="N90" s="96"/>
      <c r="O90" s="31"/>
      <c r="P90" s="87"/>
      <c r="Q90" s="31"/>
      <c r="R90" s="23"/>
      <c r="S90" s="23"/>
      <c r="T90" s="22"/>
      <c r="U90" s="22"/>
      <c r="V90" s="22"/>
      <c r="W90" s="22"/>
      <c r="X90" s="22"/>
      <c r="Y90" s="22"/>
      <c r="Z90" s="22"/>
      <c r="AA90" s="22"/>
    </row>
    <row r="91" spans="1:27">
      <c r="A91" s="23"/>
      <c r="B91" s="14"/>
      <c r="C91" s="91"/>
      <c r="D91" s="1025"/>
      <c r="E91" s="1025"/>
      <c r="F91" s="1025"/>
      <c r="G91" s="1025"/>
      <c r="H91" s="1025"/>
      <c r="I91" s="1025"/>
      <c r="J91" s="1025"/>
      <c r="K91" s="1025"/>
      <c r="L91" s="1025"/>
      <c r="M91" s="1025"/>
      <c r="N91" s="96"/>
      <c r="O91" s="31"/>
      <c r="P91" s="87"/>
      <c r="Q91" s="31"/>
      <c r="R91" s="23"/>
      <c r="S91" s="23"/>
      <c r="T91" s="22"/>
      <c r="U91" s="22"/>
      <c r="V91" s="22"/>
      <c r="W91" s="22"/>
      <c r="X91" s="22"/>
      <c r="Y91" s="22"/>
      <c r="Z91" s="22"/>
      <c r="AA91" s="22"/>
    </row>
    <row r="92" spans="1:27">
      <c r="A92" s="23"/>
      <c r="B92" s="14"/>
      <c r="C92" s="91"/>
      <c r="D92" s="1025"/>
      <c r="E92" s="1025"/>
      <c r="F92" s="1025"/>
      <c r="G92" s="1025"/>
      <c r="H92" s="1025"/>
      <c r="I92" s="1025"/>
      <c r="J92" s="1025"/>
      <c r="K92" s="1025"/>
      <c r="L92" s="1025"/>
      <c r="M92" s="1025"/>
      <c r="N92" s="96"/>
      <c r="O92" s="31"/>
      <c r="P92" s="87"/>
      <c r="Q92" s="31"/>
      <c r="R92" s="23"/>
      <c r="S92" s="23"/>
      <c r="T92" s="22"/>
      <c r="U92" s="22"/>
      <c r="V92" s="22"/>
      <c r="W92" s="22"/>
      <c r="X92" s="22"/>
      <c r="Y92" s="22"/>
      <c r="Z92" s="22"/>
      <c r="AA92" s="22"/>
    </row>
    <row r="93" spans="1:27">
      <c r="A93" s="23"/>
      <c r="B93" s="14"/>
      <c r="C93" s="91"/>
      <c r="D93" s="1025"/>
      <c r="E93" s="1025"/>
      <c r="F93" s="1025"/>
      <c r="G93" s="1025"/>
      <c r="H93" s="1025"/>
      <c r="I93" s="1025"/>
      <c r="J93" s="1025"/>
      <c r="K93" s="1025"/>
      <c r="L93" s="1025"/>
      <c r="M93" s="1025"/>
      <c r="N93" s="96"/>
      <c r="O93" s="31"/>
      <c r="P93" s="87"/>
      <c r="Q93" s="31"/>
      <c r="R93" s="23"/>
      <c r="S93" s="23"/>
      <c r="T93" s="22"/>
      <c r="U93" s="22"/>
      <c r="V93" s="22"/>
      <c r="W93" s="22"/>
      <c r="X93" s="22"/>
      <c r="Y93" s="22"/>
      <c r="Z93" s="22"/>
      <c r="AA93" s="22"/>
    </row>
    <row r="94" spans="1:27">
      <c r="A94" s="23"/>
      <c r="B94" s="14"/>
      <c r="C94" s="91"/>
      <c r="D94" s="1025"/>
      <c r="E94" s="1025"/>
      <c r="F94" s="1025"/>
      <c r="G94" s="1025"/>
      <c r="H94" s="1025"/>
      <c r="I94" s="1025"/>
      <c r="J94" s="1025"/>
      <c r="K94" s="1025"/>
      <c r="L94" s="1025"/>
      <c r="M94" s="1025"/>
      <c r="N94" s="96"/>
      <c r="O94" s="31"/>
      <c r="P94" s="87"/>
      <c r="Q94" s="31"/>
      <c r="R94" s="23"/>
      <c r="S94" s="23"/>
      <c r="T94" s="22"/>
      <c r="U94" s="22"/>
      <c r="V94" s="22"/>
      <c r="W94" s="22"/>
      <c r="X94" s="22"/>
      <c r="Y94" s="22"/>
      <c r="Z94" s="22"/>
      <c r="AA94" s="22"/>
    </row>
    <row r="95" spans="1:27">
      <c r="A95" s="23"/>
      <c r="B95" s="14"/>
      <c r="C95" s="91"/>
      <c r="D95" s="1025"/>
      <c r="E95" s="1025"/>
      <c r="F95" s="1025"/>
      <c r="G95" s="1025"/>
      <c r="H95" s="1025"/>
      <c r="I95" s="1025"/>
      <c r="J95" s="1025"/>
      <c r="K95" s="1025"/>
      <c r="L95" s="1025"/>
      <c r="M95" s="1025"/>
      <c r="N95" s="96"/>
      <c r="O95" s="31"/>
      <c r="P95" s="87"/>
      <c r="Q95" s="31"/>
      <c r="R95" s="23"/>
      <c r="S95" s="23"/>
      <c r="T95" s="22"/>
      <c r="U95" s="22"/>
      <c r="V95" s="22"/>
      <c r="W95" s="22"/>
      <c r="X95" s="22"/>
      <c r="Y95" s="22"/>
      <c r="Z95" s="22"/>
      <c r="AA95" s="22"/>
    </row>
    <row r="96" spans="1:27">
      <c r="A96" s="23"/>
      <c r="B96" s="14"/>
      <c r="C96" s="91"/>
      <c r="D96" s="1025"/>
      <c r="E96" s="1025"/>
      <c r="F96" s="1025"/>
      <c r="G96" s="1025"/>
      <c r="H96" s="1025"/>
      <c r="I96" s="1025"/>
      <c r="J96" s="1025"/>
      <c r="K96" s="1025"/>
      <c r="L96" s="1025"/>
      <c r="M96" s="1025"/>
      <c r="N96" s="96"/>
      <c r="O96" s="31"/>
      <c r="P96" s="87"/>
      <c r="Q96" s="31"/>
      <c r="R96" s="23"/>
      <c r="S96" s="23"/>
      <c r="T96" s="22"/>
      <c r="U96" s="22"/>
      <c r="V96" s="22"/>
      <c r="W96" s="22"/>
      <c r="X96" s="22"/>
      <c r="Y96" s="22"/>
      <c r="Z96" s="22"/>
      <c r="AA96" s="22"/>
    </row>
    <row r="97" spans="1:27">
      <c r="A97" s="23"/>
      <c r="B97" s="14"/>
      <c r="C97" s="91"/>
      <c r="D97" s="1025"/>
      <c r="E97" s="1025"/>
      <c r="F97" s="1025"/>
      <c r="G97" s="1025"/>
      <c r="H97" s="1025"/>
      <c r="I97" s="1025"/>
      <c r="J97" s="1025"/>
      <c r="K97" s="1025"/>
      <c r="L97" s="1025"/>
      <c r="M97" s="1025"/>
      <c r="N97" s="96"/>
      <c r="O97" s="31"/>
      <c r="P97" s="87"/>
      <c r="Q97" s="31"/>
      <c r="R97" s="23"/>
      <c r="S97" s="23"/>
      <c r="T97" s="22"/>
      <c r="U97" s="22"/>
      <c r="V97" s="22"/>
      <c r="W97" s="22"/>
      <c r="X97" s="22"/>
      <c r="Y97" s="22"/>
      <c r="Z97" s="22"/>
      <c r="AA97" s="22"/>
    </row>
    <row r="98" spans="1:27">
      <c r="A98" s="23"/>
      <c r="B98" s="14"/>
      <c r="C98" s="91"/>
      <c r="D98" s="1025"/>
      <c r="E98" s="1025"/>
      <c r="F98" s="1025"/>
      <c r="G98" s="1025"/>
      <c r="H98" s="1025"/>
      <c r="I98" s="1025"/>
      <c r="J98" s="1025"/>
      <c r="K98" s="1025"/>
      <c r="L98" s="1025"/>
      <c r="M98" s="1025"/>
      <c r="N98" s="96"/>
      <c r="O98" s="31"/>
      <c r="P98" s="87"/>
      <c r="Q98" s="31"/>
      <c r="R98" s="23"/>
      <c r="S98" s="23"/>
      <c r="T98" s="22"/>
      <c r="U98" s="22"/>
      <c r="V98" s="22"/>
      <c r="W98" s="22"/>
      <c r="X98" s="22"/>
      <c r="Y98" s="22"/>
      <c r="Z98" s="22"/>
      <c r="AA98" s="22"/>
    </row>
    <row r="99" spans="1:27">
      <c r="A99" s="23"/>
      <c r="B99" s="14"/>
      <c r="C99" s="91"/>
      <c r="D99" s="1025"/>
      <c r="E99" s="1025"/>
      <c r="F99" s="1025"/>
      <c r="G99" s="1025"/>
      <c r="H99" s="1025"/>
      <c r="I99" s="1025"/>
      <c r="J99" s="1025"/>
      <c r="K99" s="1025"/>
      <c r="L99" s="1025"/>
      <c r="M99" s="1025"/>
      <c r="N99" s="96"/>
      <c r="O99" s="31"/>
      <c r="P99" s="87"/>
      <c r="Q99" s="31"/>
      <c r="R99" s="23"/>
      <c r="S99" s="23"/>
      <c r="T99" s="22"/>
      <c r="U99" s="22"/>
      <c r="V99" s="22"/>
      <c r="W99" s="22"/>
      <c r="X99" s="22"/>
      <c r="Y99" s="22"/>
      <c r="Z99" s="22"/>
      <c r="AA99" s="22"/>
    </row>
    <row r="100" spans="1:27">
      <c r="A100" s="23"/>
      <c r="B100" s="14"/>
      <c r="C100" s="91"/>
      <c r="D100" s="1025"/>
      <c r="E100" s="1025"/>
      <c r="F100" s="1025"/>
      <c r="G100" s="1025"/>
      <c r="H100" s="1025"/>
      <c r="I100" s="1025"/>
      <c r="J100" s="1025"/>
      <c r="K100" s="1025"/>
      <c r="L100" s="1025"/>
      <c r="M100" s="1025"/>
      <c r="N100" s="96"/>
      <c r="O100" s="31"/>
      <c r="P100" s="87"/>
      <c r="Q100" s="31"/>
      <c r="R100" s="23"/>
      <c r="S100" s="23"/>
      <c r="T100" s="22"/>
      <c r="U100" s="22"/>
      <c r="V100" s="22"/>
      <c r="W100" s="22"/>
      <c r="X100" s="22"/>
      <c r="Y100" s="22"/>
      <c r="Z100" s="22"/>
      <c r="AA100" s="22"/>
    </row>
    <row r="101" spans="1:27">
      <c r="A101" s="23"/>
      <c r="B101" s="14"/>
      <c r="C101" s="91"/>
      <c r="D101" s="1025"/>
      <c r="E101" s="1025"/>
      <c r="F101" s="1025"/>
      <c r="G101" s="1025"/>
      <c r="H101" s="1025"/>
      <c r="I101" s="1025"/>
      <c r="J101" s="1025"/>
      <c r="K101" s="1025"/>
      <c r="L101" s="1025"/>
      <c r="M101" s="1025"/>
      <c r="N101" s="96"/>
      <c r="O101" s="31"/>
      <c r="P101" s="87"/>
      <c r="Q101" s="31"/>
      <c r="R101" s="23"/>
      <c r="S101" s="23"/>
      <c r="T101" s="22"/>
      <c r="U101" s="22"/>
      <c r="V101" s="22"/>
      <c r="W101" s="22"/>
      <c r="X101" s="22"/>
      <c r="Y101" s="22"/>
      <c r="Z101" s="22"/>
      <c r="AA101" s="22"/>
    </row>
    <row r="102" spans="1:27">
      <c r="A102" s="23"/>
      <c r="B102" s="14"/>
      <c r="C102" s="94"/>
      <c r="D102" s="1025"/>
      <c r="E102" s="1025"/>
      <c r="F102" s="1025"/>
      <c r="G102" s="1025"/>
      <c r="H102" s="1025"/>
      <c r="I102" s="1025"/>
      <c r="J102" s="1025"/>
      <c r="K102" s="88"/>
      <c r="L102" s="90"/>
      <c r="M102" s="1025"/>
      <c r="N102" s="96"/>
      <c r="O102" s="31"/>
      <c r="P102" s="87"/>
      <c r="Q102" s="31"/>
      <c r="R102" s="23"/>
      <c r="S102" s="23"/>
      <c r="T102" s="22"/>
      <c r="U102" s="22"/>
      <c r="V102" s="22"/>
      <c r="W102" s="22"/>
      <c r="X102" s="22"/>
      <c r="Y102" s="22"/>
      <c r="Z102" s="22"/>
      <c r="AA102" s="22"/>
    </row>
    <row r="103" spans="1:27">
      <c r="A103" s="23"/>
      <c r="B103" s="14"/>
      <c r="C103" s="94"/>
      <c r="D103" s="1025"/>
      <c r="E103" s="1025"/>
      <c r="F103" s="1025"/>
      <c r="G103" s="1025"/>
      <c r="H103" s="1025"/>
      <c r="I103" s="1025"/>
      <c r="J103" s="1025"/>
      <c r="K103" s="88"/>
      <c r="L103" s="90"/>
      <c r="M103" s="1025"/>
      <c r="N103" s="96"/>
      <c r="O103" s="31"/>
      <c r="P103" s="87"/>
      <c r="Q103" s="31"/>
      <c r="R103" s="23"/>
      <c r="S103" s="23"/>
      <c r="T103" s="22"/>
      <c r="U103" s="22"/>
      <c r="V103" s="22"/>
      <c r="W103" s="22"/>
      <c r="X103" s="22"/>
      <c r="Y103" s="22"/>
      <c r="Z103" s="22"/>
      <c r="AA103" s="22"/>
    </row>
    <row r="104" spans="1:27">
      <c r="A104" s="23"/>
      <c r="B104" s="14"/>
      <c r="C104" s="94"/>
      <c r="D104" s="1025"/>
      <c r="E104" s="1025"/>
      <c r="F104" s="1025"/>
      <c r="G104" s="1025"/>
      <c r="H104" s="1025"/>
      <c r="I104" s="1025"/>
      <c r="J104" s="1025"/>
      <c r="K104" s="88"/>
      <c r="L104" s="90"/>
      <c r="M104" s="1025"/>
      <c r="N104" s="96"/>
      <c r="O104" s="31"/>
      <c r="P104" s="87"/>
      <c r="Q104" s="31"/>
      <c r="R104" s="23"/>
      <c r="S104" s="23"/>
      <c r="T104" s="22"/>
      <c r="U104" s="22"/>
      <c r="V104" s="22"/>
      <c r="W104" s="22"/>
      <c r="X104" s="22"/>
      <c r="Y104" s="22"/>
      <c r="Z104" s="22"/>
      <c r="AA104" s="22"/>
    </row>
    <row r="105" spans="1:27">
      <c r="A105" s="23"/>
      <c r="B105" s="14"/>
      <c r="C105" s="94"/>
      <c r="D105" s="1025"/>
      <c r="E105" s="1025"/>
      <c r="F105" s="1536"/>
      <c r="G105" s="1536"/>
      <c r="H105" s="1025"/>
      <c r="I105" s="1025"/>
      <c r="J105" s="1025"/>
      <c r="K105" s="1025"/>
      <c r="L105" s="1025"/>
      <c r="M105" s="1025"/>
      <c r="N105" s="96"/>
      <c r="O105" s="31"/>
      <c r="P105" s="87"/>
      <c r="Q105" s="31"/>
      <c r="R105" s="23"/>
      <c r="S105" s="23"/>
      <c r="T105" s="22"/>
      <c r="U105" s="22"/>
      <c r="V105" s="22"/>
      <c r="W105" s="22"/>
      <c r="X105" s="22"/>
      <c r="Y105" s="22"/>
      <c r="Z105" s="22"/>
      <c r="AA105" s="22"/>
    </row>
    <row r="106" spans="1:27" ht="16.5" thickBot="1">
      <c r="A106" s="23"/>
      <c r="B106" s="17"/>
      <c r="C106" s="97"/>
      <c r="D106" s="1026"/>
      <c r="E106" s="1026"/>
      <c r="F106" s="1537"/>
      <c r="G106" s="1537"/>
      <c r="H106" s="1026"/>
      <c r="I106" s="1026"/>
      <c r="J106" s="1026"/>
      <c r="K106" s="1026"/>
      <c r="L106" s="1026"/>
      <c r="M106" s="1026"/>
      <c r="N106" s="98"/>
      <c r="O106" s="31"/>
      <c r="P106" s="87"/>
      <c r="Q106" s="31"/>
      <c r="R106" s="23"/>
      <c r="S106" s="23"/>
      <c r="T106" s="22"/>
      <c r="U106" s="22"/>
      <c r="V106" s="22"/>
      <c r="W106" s="22"/>
      <c r="X106" s="22"/>
      <c r="Y106" s="22"/>
      <c r="Z106" s="22"/>
      <c r="AA106" s="22"/>
    </row>
    <row r="107" spans="1:27">
      <c r="A107" s="23"/>
      <c r="B107" s="23"/>
      <c r="C107" s="46"/>
      <c r="D107" s="1013"/>
      <c r="E107" s="1013"/>
      <c r="F107" s="1501"/>
      <c r="G107" s="1501"/>
      <c r="H107" s="1013"/>
      <c r="I107" s="1013"/>
      <c r="J107" s="1013"/>
      <c r="K107" s="1013"/>
      <c r="L107" s="1013"/>
      <c r="M107" s="1013"/>
      <c r="N107" s="31"/>
      <c r="O107" s="31"/>
      <c r="P107" s="87"/>
      <c r="Q107" s="31"/>
      <c r="R107" s="23"/>
      <c r="S107" s="23"/>
      <c r="T107" s="22"/>
      <c r="U107" s="22"/>
      <c r="V107" s="22"/>
      <c r="W107" s="22"/>
      <c r="X107" s="22"/>
      <c r="Y107" s="22"/>
      <c r="Z107" s="22"/>
      <c r="AA107" s="22"/>
    </row>
    <row r="108" spans="1:27">
      <c r="A108" s="23"/>
      <c r="B108" s="23"/>
      <c r="C108" s="33"/>
      <c r="D108" s="1013"/>
      <c r="E108" s="1013"/>
      <c r="F108" s="1501"/>
      <c r="G108" s="1501"/>
      <c r="H108" s="1013"/>
      <c r="I108" s="1013"/>
      <c r="J108" s="1013"/>
      <c r="K108" s="1013"/>
      <c r="L108" s="1013"/>
      <c r="M108" s="1013"/>
      <c r="N108" s="31"/>
      <c r="O108" s="31"/>
      <c r="P108" s="87"/>
      <c r="Q108" s="31"/>
      <c r="R108" s="23"/>
      <c r="S108" s="23"/>
      <c r="T108" s="22"/>
      <c r="U108" s="22"/>
      <c r="V108" s="22"/>
      <c r="W108" s="22"/>
      <c r="X108" s="22"/>
      <c r="Y108" s="22"/>
      <c r="Z108" s="22"/>
      <c r="AA108" s="22"/>
    </row>
    <row r="109" spans="1:27">
      <c r="A109" s="23"/>
      <c r="B109" s="23"/>
      <c r="C109" s="33"/>
      <c r="D109" s="1013"/>
      <c r="E109" s="1013"/>
      <c r="F109" s="1013"/>
      <c r="G109" s="1013"/>
      <c r="H109" s="1013"/>
      <c r="I109" s="1013"/>
      <c r="J109" s="1013"/>
      <c r="K109" s="1013"/>
      <c r="L109" s="1013"/>
      <c r="M109" s="1013"/>
      <c r="N109" s="31"/>
      <c r="O109" s="31"/>
      <c r="P109" s="87"/>
      <c r="Q109" s="31"/>
      <c r="R109" s="23"/>
      <c r="S109" s="23"/>
      <c r="T109" s="22"/>
      <c r="U109" s="22"/>
      <c r="V109" s="22"/>
      <c r="W109" s="22"/>
      <c r="X109" s="22"/>
      <c r="Y109" s="22"/>
      <c r="Z109" s="22"/>
      <c r="AA109" s="22"/>
    </row>
    <row r="110" spans="1:27">
      <c r="A110" s="23"/>
      <c r="B110" s="23"/>
      <c r="C110" s="33"/>
      <c r="D110" s="1013"/>
      <c r="E110" s="1013"/>
      <c r="F110" s="1013"/>
      <c r="G110" s="1013"/>
      <c r="H110" s="1013"/>
      <c r="I110" s="1013"/>
      <c r="J110" s="1013"/>
      <c r="K110" s="1013"/>
      <c r="L110" s="1013"/>
      <c r="M110" s="1013"/>
      <c r="N110" s="31"/>
      <c r="O110" s="31"/>
      <c r="P110" s="87"/>
      <c r="Q110" s="31"/>
      <c r="R110" s="23"/>
      <c r="S110" s="23"/>
      <c r="T110" s="22"/>
      <c r="U110" s="22"/>
      <c r="V110" s="22"/>
      <c r="W110" s="22"/>
      <c r="X110" s="22"/>
      <c r="Y110" s="22"/>
      <c r="Z110" s="22"/>
      <c r="AA110" s="22"/>
    </row>
    <row r="111" spans="1:27">
      <c r="A111" s="23"/>
      <c r="B111" s="23"/>
      <c r="C111" s="33"/>
      <c r="D111" s="1013"/>
      <c r="E111" s="1013"/>
      <c r="F111" s="1013"/>
      <c r="G111" s="1013"/>
      <c r="H111" s="1013"/>
      <c r="I111" s="1013"/>
      <c r="J111" s="1013"/>
      <c r="K111" s="1013"/>
      <c r="L111" s="1013"/>
      <c r="M111" s="1013"/>
      <c r="N111" s="31"/>
      <c r="O111" s="31"/>
      <c r="P111" s="87"/>
      <c r="Q111" s="31"/>
      <c r="R111" s="23"/>
      <c r="S111" s="23"/>
      <c r="T111" s="22"/>
      <c r="U111" s="22"/>
      <c r="V111" s="22"/>
      <c r="W111" s="22"/>
      <c r="X111" s="22"/>
      <c r="Y111" s="22"/>
      <c r="Z111" s="22"/>
      <c r="AA111" s="22"/>
    </row>
    <row r="112" spans="1:27">
      <c r="A112" s="23"/>
      <c r="B112" s="23"/>
      <c r="C112" s="33"/>
      <c r="D112" s="1013"/>
      <c r="E112" s="1013"/>
      <c r="F112" s="1013"/>
      <c r="G112" s="1013"/>
      <c r="H112" s="1013"/>
      <c r="I112" s="1013"/>
      <c r="J112" s="1013"/>
      <c r="K112" s="1013"/>
      <c r="L112" s="1013"/>
      <c r="M112" s="1013"/>
      <c r="N112" s="31"/>
      <c r="O112" s="31"/>
      <c r="P112" s="87"/>
      <c r="Q112" s="31"/>
      <c r="R112" s="23"/>
      <c r="S112" s="23"/>
      <c r="T112" s="22"/>
      <c r="U112" s="22"/>
      <c r="V112" s="22"/>
      <c r="W112" s="22"/>
      <c r="X112" s="22"/>
      <c r="Y112" s="22"/>
      <c r="Z112" s="22"/>
      <c r="AA112" s="22"/>
    </row>
    <row r="113" spans="1:27">
      <c r="A113" s="23"/>
      <c r="B113" s="23"/>
      <c r="C113" s="33"/>
      <c r="D113" s="1013"/>
      <c r="E113" s="1013"/>
      <c r="F113" s="1013"/>
      <c r="G113" s="1013"/>
      <c r="H113" s="1013"/>
      <c r="I113" s="1013"/>
      <c r="J113" s="1013"/>
      <c r="K113" s="1013"/>
      <c r="L113" s="1013"/>
      <c r="M113" s="1013"/>
      <c r="N113" s="31"/>
      <c r="O113" s="31"/>
      <c r="P113" s="87"/>
      <c r="Q113" s="31"/>
      <c r="R113" s="23"/>
      <c r="S113" s="23"/>
      <c r="T113" s="22"/>
      <c r="U113" s="22"/>
      <c r="V113" s="22"/>
      <c r="W113" s="22"/>
      <c r="X113" s="22"/>
      <c r="Y113" s="22"/>
      <c r="Z113" s="22"/>
      <c r="AA113" s="22"/>
    </row>
    <row r="114" spans="1:27">
      <c r="A114" s="23"/>
      <c r="B114" s="23"/>
      <c r="C114" s="33"/>
      <c r="D114" s="1013"/>
      <c r="E114" s="1013"/>
      <c r="F114" s="1013"/>
      <c r="G114" s="1013"/>
      <c r="H114" s="1013"/>
      <c r="I114" s="1013"/>
      <c r="J114" s="1013"/>
      <c r="K114" s="1013"/>
      <c r="L114" s="1013"/>
      <c r="M114" s="1013"/>
      <c r="N114" s="31"/>
      <c r="O114" s="31"/>
      <c r="P114" s="87"/>
      <c r="Q114" s="31"/>
      <c r="R114" s="23"/>
      <c r="S114" s="23"/>
      <c r="T114" s="22"/>
      <c r="U114" s="22"/>
      <c r="V114" s="22"/>
      <c r="W114" s="22"/>
      <c r="X114" s="22"/>
      <c r="Y114" s="22"/>
      <c r="Z114" s="22"/>
      <c r="AA114" s="22"/>
    </row>
    <row r="115" spans="1:27">
      <c r="A115" s="23"/>
      <c r="B115" s="23"/>
      <c r="C115" s="33"/>
      <c r="D115" s="1013"/>
      <c r="E115" s="1013"/>
      <c r="F115" s="1013"/>
      <c r="G115" s="1013"/>
      <c r="H115" s="1013"/>
      <c r="I115" s="1013"/>
      <c r="J115" s="1013"/>
      <c r="K115" s="1013"/>
      <c r="L115" s="1013"/>
      <c r="M115" s="1013"/>
      <c r="N115" s="31"/>
      <c r="O115" s="31"/>
      <c r="P115" s="87"/>
      <c r="Q115" s="31"/>
      <c r="R115" s="23"/>
      <c r="S115" s="23"/>
      <c r="T115" s="22"/>
      <c r="U115" s="22"/>
      <c r="V115" s="22"/>
      <c r="W115" s="22"/>
      <c r="X115" s="22"/>
      <c r="Y115" s="22"/>
      <c r="Z115" s="22"/>
      <c r="AA115" s="22"/>
    </row>
    <row r="116" spans="1:27">
      <c r="A116" s="23"/>
      <c r="B116" s="23"/>
      <c r="C116" s="33"/>
      <c r="D116" s="1013"/>
      <c r="E116" s="1013"/>
      <c r="F116" s="1013"/>
      <c r="G116" s="1013"/>
      <c r="H116" s="1013"/>
      <c r="I116" s="1013"/>
      <c r="J116" s="1013"/>
      <c r="K116" s="1013"/>
      <c r="L116" s="1013"/>
      <c r="M116" s="1013"/>
      <c r="N116" s="31"/>
      <c r="O116" s="31"/>
      <c r="P116" s="87"/>
      <c r="Q116" s="31"/>
      <c r="R116" s="23"/>
      <c r="S116" s="23"/>
      <c r="T116" s="22"/>
      <c r="U116" s="22"/>
      <c r="V116" s="22"/>
      <c r="W116" s="22"/>
      <c r="X116" s="22"/>
      <c r="Y116" s="22"/>
      <c r="Z116" s="22"/>
      <c r="AA116" s="22"/>
    </row>
    <row r="117" spans="1:27">
      <c r="A117" s="23"/>
      <c r="B117" s="23"/>
      <c r="C117" s="33"/>
      <c r="D117" s="1013"/>
      <c r="E117" s="1013"/>
      <c r="F117" s="1013"/>
      <c r="G117" s="1013"/>
      <c r="H117" s="1013"/>
      <c r="I117" s="1013"/>
      <c r="J117" s="1013"/>
      <c r="K117" s="1013"/>
      <c r="L117" s="1013"/>
      <c r="M117" s="1013"/>
      <c r="N117" s="31"/>
      <c r="O117" s="31"/>
      <c r="P117" s="87"/>
      <c r="Q117" s="31"/>
      <c r="R117" s="23"/>
      <c r="S117" s="23"/>
      <c r="T117" s="22"/>
      <c r="U117" s="22"/>
      <c r="V117" s="22"/>
      <c r="W117" s="22"/>
      <c r="X117" s="22"/>
      <c r="Y117" s="22"/>
      <c r="Z117" s="22"/>
      <c r="AA117" s="22"/>
    </row>
    <row r="118" spans="1:27">
      <c r="A118" s="23"/>
      <c r="B118" s="23"/>
      <c r="C118" s="33"/>
      <c r="D118" s="1013"/>
      <c r="E118" s="1013"/>
      <c r="F118" s="1013"/>
      <c r="G118" s="1013"/>
      <c r="H118" s="1013"/>
      <c r="I118" s="1013"/>
      <c r="J118" s="1013"/>
      <c r="K118" s="1013"/>
      <c r="L118" s="1013"/>
      <c r="M118" s="1013"/>
      <c r="N118" s="1013"/>
      <c r="O118" s="1013"/>
      <c r="P118" s="31"/>
      <c r="Q118" s="31"/>
      <c r="R118" s="87"/>
      <c r="S118" s="31"/>
      <c r="T118" s="23"/>
      <c r="U118" s="22"/>
      <c r="V118" s="22"/>
      <c r="W118" s="22"/>
      <c r="X118" s="22"/>
      <c r="Y118" s="22"/>
      <c r="Z118" s="22"/>
      <c r="AA118" s="22"/>
    </row>
    <row r="119" spans="1:27">
      <c r="A119" s="23"/>
      <c r="B119" s="23"/>
      <c r="C119" s="33"/>
      <c r="D119" s="1013"/>
      <c r="E119" s="1013"/>
      <c r="F119" s="1013"/>
      <c r="G119" s="1013"/>
      <c r="H119" s="1013"/>
      <c r="I119" s="1013"/>
      <c r="J119" s="1013"/>
      <c r="K119" s="1013"/>
      <c r="L119" s="1013"/>
      <c r="M119" s="1013"/>
      <c r="N119" s="1013"/>
      <c r="O119" s="1013"/>
      <c r="P119" s="31"/>
      <c r="Q119" s="31"/>
      <c r="R119" s="87"/>
      <c r="S119" s="31"/>
      <c r="T119" s="23"/>
      <c r="U119" s="22"/>
      <c r="V119" s="22"/>
      <c r="W119" s="22"/>
      <c r="X119" s="22"/>
      <c r="Y119" s="22"/>
      <c r="Z119" s="22"/>
      <c r="AA119" s="22"/>
    </row>
    <row r="120" spans="1:27">
      <c r="A120" s="23"/>
      <c r="B120" s="23"/>
      <c r="C120" s="33"/>
      <c r="D120" s="1013"/>
      <c r="E120" s="1013"/>
      <c r="F120" s="1013"/>
      <c r="G120" s="1013"/>
      <c r="H120" s="1013"/>
      <c r="I120" s="1013"/>
      <c r="J120" s="1013"/>
      <c r="K120" s="1013"/>
      <c r="L120" s="1013"/>
      <c r="M120" s="1013"/>
      <c r="N120" s="31"/>
      <c r="O120" s="31"/>
      <c r="P120" s="87"/>
      <c r="Q120" s="31"/>
      <c r="R120" s="23"/>
      <c r="S120" s="23"/>
      <c r="T120" s="22"/>
      <c r="U120" s="22"/>
      <c r="V120" s="22"/>
      <c r="W120" s="22"/>
      <c r="X120" s="22"/>
      <c r="Y120" s="22"/>
      <c r="Z120" s="22"/>
      <c r="AA120" s="22"/>
    </row>
    <row r="121" spans="1:27">
      <c r="A121" s="23"/>
      <c r="B121" s="23"/>
      <c r="C121" s="33"/>
      <c r="D121" s="1013"/>
      <c r="E121" s="1013"/>
      <c r="F121" s="1013"/>
      <c r="G121" s="1013"/>
      <c r="H121" s="1013"/>
      <c r="I121" s="1013"/>
      <c r="J121" s="1013"/>
      <c r="K121" s="1013"/>
      <c r="L121" s="1013"/>
      <c r="M121" s="1013"/>
      <c r="N121" s="31"/>
      <c r="O121" s="31"/>
      <c r="P121" s="87"/>
      <c r="Q121" s="31"/>
      <c r="R121" s="23"/>
      <c r="S121" s="23"/>
      <c r="T121" s="22"/>
      <c r="U121" s="22"/>
      <c r="V121" s="22"/>
      <c r="W121" s="22"/>
      <c r="X121" s="22"/>
      <c r="Y121" s="22"/>
      <c r="Z121" s="22"/>
      <c r="AA121" s="22"/>
    </row>
    <row r="122" spans="1:27">
      <c r="A122" s="23"/>
      <c r="B122" s="23"/>
      <c r="C122" s="33"/>
      <c r="D122" s="1013"/>
      <c r="E122" s="1013"/>
      <c r="F122" s="1013"/>
      <c r="G122" s="1013"/>
      <c r="H122" s="1013"/>
      <c r="I122" s="1013"/>
      <c r="J122" s="1013"/>
      <c r="K122" s="1013"/>
      <c r="L122" s="1013"/>
      <c r="M122" s="1013"/>
      <c r="N122" s="31"/>
      <c r="O122" s="31"/>
      <c r="P122" s="87"/>
      <c r="Q122" s="31"/>
      <c r="R122" s="23"/>
      <c r="S122" s="23"/>
      <c r="T122" s="22"/>
      <c r="U122" s="22"/>
      <c r="V122" s="22"/>
      <c r="W122" s="22"/>
      <c r="X122" s="22"/>
      <c r="Y122" s="22"/>
      <c r="Z122" s="22"/>
      <c r="AA122" s="22"/>
    </row>
    <row r="123" spans="1:27" ht="16.5" thickBot="1">
      <c r="A123" s="23"/>
      <c r="B123" s="23"/>
      <c r="C123" s="33"/>
      <c r="D123" s="1013"/>
      <c r="E123" s="1013"/>
      <c r="F123" s="1013"/>
      <c r="G123" s="1013"/>
      <c r="H123" s="1013"/>
      <c r="I123" s="1013"/>
      <c r="J123" s="1013"/>
      <c r="K123" s="1013"/>
      <c r="L123" s="1013"/>
      <c r="M123" s="1013"/>
      <c r="N123" s="31"/>
      <c r="O123" s="31"/>
      <c r="P123" s="87"/>
      <c r="Q123" s="31"/>
      <c r="R123" s="23"/>
      <c r="S123" s="23"/>
      <c r="T123" s="22"/>
      <c r="U123" s="22"/>
      <c r="V123" s="22"/>
      <c r="W123" s="22"/>
      <c r="X123" s="22"/>
      <c r="Y123" s="22"/>
      <c r="Z123" s="22"/>
      <c r="AA123" s="22"/>
    </row>
    <row r="124" spans="1:27">
      <c r="A124" s="23"/>
      <c r="B124" s="23"/>
      <c r="C124" s="1014" t="s">
        <v>60</v>
      </c>
      <c r="D124" s="1015"/>
      <c r="E124" s="1015"/>
      <c r="F124" s="1015"/>
      <c r="G124" s="1015"/>
      <c r="H124" s="1015"/>
      <c r="I124" s="1015"/>
      <c r="J124" s="1015"/>
      <c r="K124" s="1015"/>
      <c r="L124" s="1015"/>
      <c r="M124" s="1015"/>
      <c r="N124" s="1015"/>
      <c r="O124" s="1015"/>
      <c r="P124" s="1015"/>
      <c r="Q124" s="1015"/>
      <c r="R124" s="1016"/>
      <c r="S124" s="23"/>
      <c r="T124" s="22"/>
      <c r="U124" s="22"/>
      <c r="V124" s="22"/>
      <c r="W124" s="22"/>
      <c r="X124" s="22"/>
      <c r="Y124" s="22"/>
      <c r="Z124" s="22"/>
      <c r="AA124" s="22"/>
    </row>
    <row r="125" spans="1:27" ht="16.5" thickBot="1">
      <c r="A125" s="23"/>
      <c r="B125" s="23"/>
      <c r="C125" s="1017"/>
      <c r="D125" s="1018"/>
      <c r="E125" s="1018"/>
      <c r="F125" s="1018"/>
      <c r="G125" s="1018"/>
      <c r="H125" s="1018"/>
      <c r="I125" s="1018"/>
      <c r="J125" s="1018"/>
      <c r="K125" s="1018"/>
      <c r="L125" s="1018"/>
      <c r="M125" s="1018"/>
      <c r="N125" s="1018"/>
      <c r="O125" s="1018"/>
      <c r="P125" s="1018"/>
      <c r="Q125" s="1018"/>
      <c r="R125" s="1019"/>
      <c r="S125" s="23"/>
      <c r="T125" s="22"/>
      <c r="U125" s="22"/>
      <c r="V125" s="22"/>
      <c r="W125" s="22"/>
      <c r="X125" s="22"/>
      <c r="Y125" s="22"/>
      <c r="Z125" s="22"/>
      <c r="AA125" s="22"/>
    </row>
    <row r="126" spans="1:27">
      <c r="A126" s="23"/>
      <c r="B126" s="23"/>
      <c r="C126" s="251"/>
      <c r="D126" s="248" t="s">
        <v>38</v>
      </c>
      <c r="E126" s="249"/>
      <c r="F126" s="252"/>
      <c r="G126" s="248" t="s">
        <v>40</v>
      </c>
      <c r="H126" s="249"/>
      <c r="I126" s="252"/>
      <c r="J126" s="248" t="s">
        <v>41</v>
      </c>
      <c r="K126" s="249"/>
      <c r="L126" s="252"/>
      <c r="M126" s="273" t="s">
        <v>42</v>
      </c>
      <c r="N126" s="274"/>
      <c r="O126" s="18"/>
      <c r="P126" s="248" t="s">
        <v>46</v>
      </c>
      <c r="Q126" s="249"/>
      <c r="R126" s="250"/>
      <c r="S126" s="23"/>
      <c r="T126" s="22"/>
      <c r="U126" s="22"/>
      <c r="V126" s="22"/>
      <c r="W126" s="22"/>
      <c r="X126" s="22"/>
      <c r="Y126" s="22"/>
      <c r="Z126" s="22"/>
      <c r="AA126" s="22"/>
    </row>
    <row r="127" spans="1:27">
      <c r="A127" s="23"/>
      <c r="B127" s="23"/>
      <c r="C127" s="253" t="s">
        <v>47</v>
      </c>
      <c r="D127" s="1044">
        <f>SUM(Janv!H170+Fev!H161+Mars!H165)</f>
        <v>2</v>
      </c>
      <c r="E127" s="1045">
        <f>SUM(Janv!I170+Fev!I161+Mars!I165)</f>
        <v>0</v>
      </c>
      <c r="F127" s="1046">
        <f>SUM(D127:E127)</f>
        <v>2</v>
      </c>
      <c r="G127" s="1047">
        <f>SUM(Avr!H162+Mai!H172+Juin!H180)</f>
        <v>3</v>
      </c>
      <c r="H127" s="1048">
        <f>SUM(Avr!I162+Mai!I172+Juin!I180)</f>
        <v>0</v>
      </c>
      <c r="I127" s="1046">
        <f t="shared" ref="I127:I134" si="10">SUM(G127:H127)</f>
        <v>3</v>
      </c>
      <c r="J127" s="1047">
        <f>Juill!H193+Aout!H166+Sept!H174</f>
        <v>5</v>
      </c>
      <c r="K127" s="1048">
        <f>Juill!I193+Aout!I166+Sept!I174</f>
        <v>0</v>
      </c>
      <c r="L127" s="1046">
        <f>SUM(J127:K127)</f>
        <v>5</v>
      </c>
      <c r="M127" s="1044">
        <f>Oct!H254+Nov!H182+Dec!H206</f>
        <v>16</v>
      </c>
      <c r="N127" s="1045">
        <f>Oct!I254+Nov!I182+Dec!I206</f>
        <v>0</v>
      </c>
      <c r="O127" s="1046">
        <f t="shared" ref="O127:O134" si="11">SUM(M127:N127)</f>
        <v>16</v>
      </c>
      <c r="P127" s="1044">
        <f t="shared" ref="P127:Q134" si="12">SUM(D127,G127,J127,M127)</f>
        <v>26</v>
      </c>
      <c r="Q127" s="1045">
        <f t="shared" si="12"/>
        <v>0</v>
      </c>
      <c r="R127" s="1050">
        <f>SUM(P127:Q127)</f>
        <v>26</v>
      </c>
      <c r="S127" s="23"/>
      <c r="T127" s="22"/>
      <c r="U127" s="22"/>
      <c r="V127" s="22"/>
      <c r="W127" s="22"/>
      <c r="X127" s="22"/>
      <c r="Y127" s="22"/>
      <c r="Z127" s="22"/>
      <c r="AA127" s="22"/>
    </row>
    <row r="128" spans="1:27">
      <c r="A128" s="23"/>
      <c r="B128" s="23"/>
      <c r="C128" s="253" t="s">
        <v>48</v>
      </c>
      <c r="D128" s="1044">
        <f>SUM(Janv!H171+Fev!H162+Mars!H166)</f>
        <v>0</v>
      </c>
      <c r="E128" s="1045">
        <f>SUM(Janv!I171+Fev!I162+Mars!I166)</f>
        <v>0</v>
      </c>
      <c r="F128" s="1046">
        <f t="shared" ref="F128:F134" si="13">SUM(D128:E128)</f>
        <v>0</v>
      </c>
      <c r="G128" s="1047">
        <f>SUM(Avr!H163+Mai!H173+Juin!H181)</f>
        <v>4</v>
      </c>
      <c r="H128" s="1048">
        <f>SUM(Avr!I163+Mai!I173+Juin!I181)</f>
        <v>0</v>
      </c>
      <c r="I128" s="1046">
        <f t="shared" si="10"/>
        <v>4</v>
      </c>
      <c r="J128" s="1047">
        <f>Juill!H194+Aout!H167+Sept!H175</f>
        <v>0</v>
      </c>
      <c r="K128" s="1048">
        <f>Juill!I194+Aout!I167+Sept!I175</f>
        <v>0</v>
      </c>
      <c r="L128" s="1046">
        <f t="shared" ref="L128:L134" si="14">SUM(J128:K128)</f>
        <v>0</v>
      </c>
      <c r="M128" s="1044">
        <f>Oct!H255+Nov!H183+Dec!H207</f>
        <v>2</v>
      </c>
      <c r="N128" s="1045">
        <f>Oct!I255+Nov!I183+Dec!I207</f>
        <v>0</v>
      </c>
      <c r="O128" s="1046">
        <f t="shared" si="11"/>
        <v>2</v>
      </c>
      <c r="P128" s="1044">
        <f t="shared" si="12"/>
        <v>6</v>
      </c>
      <c r="Q128" s="1045">
        <f t="shared" si="12"/>
        <v>0</v>
      </c>
      <c r="R128" s="1050">
        <f t="shared" ref="R128:R135" si="15">SUM(P128:Q128)</f>
        <v>6</v>
      </c>
      <c r="S128" s="23"/>
      <c r="T128" s="22"/>
      <c r="U128" s="22"/>
      <c r="V128" s="22"/>
      <c r="W128" s="22"/>
      <c r="X128" s="22"/>
      <c r="Y128" s="22"/>
      <c r="Z128" s="22"/>
      <c r="AA128" s="22"/>
    </row>
    <row r="129" spans="1:27">
      <c r="A129" s="23"/>
      <c r="B129" s="23"/>
      <c r="C129" s="253" t="s">
        <v>49</v>
      </c>
      <c r="D129" s="1044">
        <f>SUM(Janv!H172+Fev!H163+Mars!H167)</f>
        <v>1</v>
      </c>
      <c r="E129" s="1045">
        <f>SUM(Janv!I172+Fev!I163+Mars!I167)</f>
        <v>0</v>
      </c>
      <c r="F129" s="1046">
        <f t="shared" si="13"/>
        <v>1</v>
      </c>
      <c r="G129" s="1047">
        <f>SUM(Avr!H164+Mai!H174+Juin!H182)</f>
        <v>1</v>
      </c>
      <c r="H129" s="1048">
        <f>SUM(Avr!I164+Mai!I174+Juin!I182)</f>
        <v>0</v>
      </c>
      <c r="I129" s="1046">
        <f t="shared" si="10"/>
        <v>1</v>
      </c>
      <c r="J129" s="1047">
        <f>Juill!H195+Aout!H168+Sept!H176</f>
        <v>10</v>
      </c>
      <c r="K129" s="1048">
        <f>Juill!I195+Aout!I168+Sept!I176</f>
        <v>0</v>
      </c>
      <c r="L129" s="1046">
        <f t="shared" si="14"/>
        <v>10</v>
      </c>
      <c r="M129" s="1044">
        <f>Oct!H256+Nov!H184+Dec!H208</f>
        <v>5</v>
      </c>
      <c r="N129" s="1045">
        <f>Oct!I256+Nov!I184+Dec!I208</f>
        <v>0</v>
      </c>
      <c r="O129" s="1046">
        <f t="shared" si="11"/>
        <v>5</v>
      </c>
      <c r="P129" s="1044">
        <f t="shared" si="12"/>
        <v>17</v>
      </c>
      <c r="Q129" s="1045">
        <f t="shared" si="12"/>
        <v>0</v>
      </c>
      <c r="R129" s="1050">
        <f t="shared" si="15"/>
        <v>17</v>
      </c>
      <c r="S129" s="23"/>
      <c r="T129" s="22"/>
      <c r="U129" s="22"/>
      <c r="V129" s="22"/>
      <c r="W129" s="22"/>
      <c r="X129" s="22"/>
      <c r="Y129" s="22"/>
      <c r="Z129" s="22"/>
      <c r="AA129" s="22"/>
    </row>
    <row r="130" spans="1:27">
      <c r="A130" s="23"/>
      <c r="B130" s="23"/>
      <c r="C130" s="253" t="s">
        <v>50</v>
      </c>
      <c r="D130" s="1044">
        <f>SUM(Janv!H173+Fev!H164+Mars!H168)</f>
        <v>2</v>
      </c>
      <c r="E130" s="1045">
        <f>SUM(Janv!I173+Fev!I164+Mars!I168)</f>
        <v>0</v>
      </c>
      <c r="F130" s="1046">
        <f t="shared" si="13"/>
        <v>2</v>
      </c>
      <c r="G130" s="1047">
        <f>SUM(Avr!H165+Mai!H175+Juin!H183)</f>
        <v>7</v>
      </c>
      <c r="H130" s="1048">
        <f>SUM(Avr!I165+Mai!I175+Juin!I183)</f>
        <v>0</v>
      </c>
      <c r="I130" s="1046">
        <f t="shared" si="10"/>
        <v>7</v>
      </c>
      <c r="J130" s="1047">
        <f>Juill!H196+Aout!H169+Sept!H177</f>
        <v>0</v>
      </c>
      <c r="K130" s="1048">
        <f>Juill!I196+Aout!I169+Sept!I177</f>
        <v>0</v>
      </c>
      <c r="L130" s="1046">
        <f t="shared" si="14"/>
        <v>0</v>
      </c>
      <c r="M130" s="1044">
        <f>Oct!H257+Nov!H185+Dec!H209</f>
        <v>2</v>
      </c>
      <c r="N130" s="1045">
        <f>Oct!I257+Nov!I185+Dec!I209</f>
        <v>0</v>
      </c>
      <c r="O130" s="1046">
        <f t="shared" si="11"/>
        <v>2</v>
      </c>
      <c r="P130" s="1044">
        <f t="shared" si="12"/>
        <v>11</v>
      </c>
      <c r="Q130" s="1045">
        <f t="shared" si="12"/>
        <v>0</v>
      </c>
      <c r="R130" s="1050">
        <f t="shared" si="15"/>
        <v>11</v>
      </c>
      <c r="S130" s="23"/>
      <c r="T130" s="22"/>
      <c r="U130" s="22"/>
      <c r="V130" s="22"/>
      <c r="W130" s="22"/>
      <c r="X130" s="22"/>
      <c r="Y130" s="22"/>
      <c r="Z130" s="22"/>
      <c r="AA130" s="22"/>
    </row>
    <row r="131" spans="1:27">
      <c r="A131" s="23"/>
      <c r="B131" s="23"/>
      <c r="C131" s="253" t="s">
        <v>51</v>
      </c>
      <c r="D131" s="1044">
        <f>SUM(Janv!H174+Fev!H165+Mars!H169)</f>
        <v>24</v>
      </c>
      <c r="E131" s="1045">
        <f>SUM(Janv!I174+Fev!I165+Mars!I169)</f>
        <v>0</v>
      </c>
      <c r="F131" s="1046">
        <f t="shared" si="13"/>
        <v>24</v>
      </c>
      <c r="G131" s="1047">
        <f>SUM(Avr!H166+Mai!H176+Juin!H184)</f>
        <v>12</v>
      </c>
      <c r="H131" s="1048">
        <f>SUM(Avr!I166+Mai!I176+Juin!I184)</f>
        <v>0</v>
      </c>
      <c r="I131" s="1046">
        <f t="shared" si="10"/>
        <v>12</v>
      </c>
      <c r="J131" s="1047">
        <f>Juill!H197+Aout!H170+Sept!H178</f>
        <v>15</v>
      </c>
      <c r="K131" s="1048">
        <f>Juill!I197+Aout!I170+Sept!I178</f>
        <v>0</v>
      </c>
      <c r="L131" s="1046">
        <f t="shared" si="14"/>
        <v>15</v>
      </c>
      <c r="M131" s="1044">
        <f>Oct!H258+Nov!H186+Dec!H210</f>
        <v>37</v>
      </c>
      <c r="N131" s="1045">
        <f>Oct!I258+Nov!I186+Dec!I210</f>
        <v>0</v>
      </c>
      <c r="O131" s="1046">
        <f t="shared" si="11"/>
        <v>37</v>
      </c>
      <c r="P131" s="1044">
        <f t="shared" si="12"/>
        <v>88</v>
      </c>
      <c r="Q131" s="1045">
        <f t="shared" si="12"/>
        <v>0</v>
      </c>
      <c r="R131" s="1050">
        <f t="shared" si="15"/>
        <v>88</v>
      </c>
      <c r="S131" s="23"/>
      <c r="T131" s="22"/>
      <c r="U131" s="22"/>
      <c r="V131" s="22"/>
      <c r="W131" s="22"/>
      <c r="X131" s="22"/>
      <c r="Y131" s="22"/>
      <c r="Z131" s="22"/>
      <c r="AA131" s="22"/>
    </row>
    <row r="132" spans="1:27">
      <c r="A132" s="23"/>
      <c r="B132" s="23"/>
      <c r="C132" s="253" t="s">
        <v>52</v>
      </c>
      <c r="D132" s="1044">
        <f>SUM(Janv!H175+Fev!H166+Mars!H170)</f>
        <v>7</v>
      </c>
      <c r="E132" s="1045">
        <f>SUM(Janv!I175+Fev!I166+Mars!I170)</f>
        <v>0</v>
      </c>
      <c r="F132" s="1046">
        <f t="shared" si="13"/>
        <v>7</v>
      </c>
      <c r="G132" s="1047">
        <f>SUM(Avr!H167+Mai!H177+Juin!H185)</f>
        <v>13</v>
      </c>
      <c r="H132" s="1048">
        <f>SUM(Avr!I167+Mai!I177+Juin!I185)</f>
        <v>0</v>
      </c>
      <c r="I132" s="1046">
        <f t="shared" si="10"/>
        <v>13</v>
      </c>
      <c r="J132" s="1047">
        <f>Juill!H198+Aout!H171+Sept!H179</f>
        <v>4</v>
      </c>
      <c r="K132" s="1048">
        <f>Juill!I198+Aout!I171+Sept!I179</f>
        <v>0</v>
      </c>
      <c r="L132" s="1046">
        <f t="shared" si="14"/>
        <v>4</v>
      </c>
      <c r="M132" s="1044">
        <f>Oct!H259+Nov!H187+Dec!H211</f>
        <v>10</v>
      </c>
      <c r="N132" s="1045">
        <f>Oct!I259+Nov!I187+Dec!I211</f>
        <v>0</v>
      </c>
      <c r="O132" s="1046">
        <f t="shared" si="11"/>
        <v>10</v>
      </c>
      <c r="P132" s="1044">
        <f t="shared" si="12"/>
        <v>34</v>
      </c>
      <c r="Q132" s="1045">
        <f t="shared" si="12"/>
        <v>0</v>
      </c>
      <c r="R132" s="1050">
        <f t="shared" si="15"/>
        <v>34</v>
      </c>
      <c r="S132" s="23"/>
      <c r="T132" s="22"/>
      <c r="U132" s="22"/>
      <c r="V132" s="22"/>
      <c r="W132" s="22"/>
      <c r="X132" s="22"/>
      <c r="Y132" s="22"/>
      <c r="Z132" s="22"/>
      <c r="AA132" s="22"/>
    </row>
    <row r="133" spans="1:27">
      <c r="A133" s="23"/>
      <c r="B133" s="23"/>
      <c r="C133" s="253" t="s">
        <v>53</v>
      </c>
      <c r="D133" s="1044">
        <f>SUM(Janv!H176+Fev!H167+Mars!H171)</f>
        <v>5</v>
      </c>
      <c r="E133" s="1045">
        <f>SUM(Janv!I176+Fev!I167+Mars!I171)</f>
        <v>0</v>
      </c>
      <c r="F133" s="1046">
        <f t="shared" si="13"/>
        <v>5</v>
      </c>
      <c r="G133" s="1047">
        <f>SUM(Avr!H168+Mai!H178+Juin!H186)</f>
        <v>2</v>
      </c>
      <c r="H133" s="1048">
        <f>SUM(Avr!I168+Mai!I178+Juin!I186)</f>
        <v>0</v>
      </c>
      <c r="I133" s="1046">
        <f t="shared" si="10"/>
        <v>2</v>
      </c>
      <c r="J133" s="1047">
        <f>Juill!H199+Aout!H172+Sept!H180</f>
        <v>4</v>
      </c>
      <c r="K133" s="1048">
        <f>Juill!I199+Aout!I172+Sept!I180</f>
        <v>0</v>
      </c>
      <c r="L133" s="1046">
        <f t="shared" si="14"/>
        <v>4</v>
      </c>
      <c r="M133" s="1044">
        <f>Oct!H260+Nov!H188+Dec!H212</f>
        <v>4</v>
      </c>
      <c r="N133" s="1045">
        <f>Oct!I260+Nov!I188+Dec!I212</f>
        <v>2</v>
      </c>
      <c r="O133" s="1046">
        <f t="shared" si="11"/>
        <v>6</v>
      </c>
      <c r="P133" s="1044">
        <f t="shared" si="12"/>
        <v>15</v>
      </c>
      <c r="Q133" s="1045">
        <f t="shared" si="12"/>
        <v>2</v>
      </c>
      <c r="R133" s="1050">
        <f t="shared" si="15"/>
        <v>17</v>
      </c>
      <c r="S133" s="23"/>
      <c r="T133" s="22"/>
      <c r="U133" s="22"/>
      <c r="V133" s="22"/>
      <c r="W133" s="22"/>
      <c r="X133" s="22"/>
      <c r="Y133" s="22"/>
      <c r="Z133" s="22"/>
      <c r="AA133" s="22"/>
    </row>
    <row r="134" spans="1:27" ht="16.5" thickBot="1">
      <c r="A134" s="23"/>
      <c r="B134" s="23"/>
      <c r="C134" s="247" t="s">
        <v>54</v>
      </c>
      <c r="D134" s="1044">
        <f>SUM(Janv!H177+Fev!H168+Mars!H172)</f>
        <v>3</v>
      </c>
      <c r="E134" s="1045">
        <f>SUM(Janv!I177+Fev!I168+Mars!I172)</f>
        <v>0</v>
      </c>
      <c r="F134" s="1051">
        <f t="shared" si="13"/>
        <v>3</v>
      </c>
      <c r="G134" s="1047">
        <f>SUM(Avr!H169+Mai!H179+Juin!H187)</f>
        <v>11</v>
      </c>
      <c r="H134" s="1048">
        <f>SUM(Avr!I169+Mai!I179+Juin!I187)</f>
        <v>0</v>
      </c>
      <c r="I134" s="1046">
        <f t="shared" si="10"/>
        <v>11</v>
      </c>
      <c r="J134" s="1047">
        <f>Juill!H200+Aout!H173+Sept!H181</f>
        <v>0</v>
      </c>
      <c r="K134" s="1048">
        <f>Juill!I200+Aout!I173+Sept!I181</f>
        <v>0</v>
      </c>
      <c r="L134" s="1046">
        <f t="shared" si="14"/>
        <v>0</v>
      </c>
      <c r="M134" s="1044">
        <f>Oct!H261+Nov!H189+Dec!H213</f>
        <v>0</v>
      </c>
      <c r="N134" s="1045">
        <f>Oct!I261+Nov!I189+Dec!I213</f>
        <v>0</v>
      </c>
      <c r="O134" s="1046">
        <f t="shared" si="11"/>
        <v>0</v>
      </c>
      <c r="P134" s="1055">
        <f t="shared" si="12"/>
        <v>14</v>
      </c>
      <c r="Q134" s="1056">
        <f t="shared" si="12"/>
        <v>0</v>
      </c>
      <c r="R134" s="1054">
        <f t="shared" si="15"/>
        <v>14</v>
      </c>
      <c r="S134" s="23"/>
      <c r="T134" s="22"/>
      <c r="U134" s="22"/>
      <c r="V134" s="22"/>
      <c r="W134" s="22"/>
      <c r="X134" s="22"/>
      <c r="Y134" s="22"/>
      <c r="Z134" s="22"/>
      <c r="AA134" s="22"/>
    </row>
    <row r="135" spans="1:27">
      <c r="A135" s="23"/>
      <c r="B135" s="23"/>
      <c r="C135" s="1022"/>
      <c r="D135" s="255">
        <f>SUM(D127:D134)</f>
        <v>44</v>
      </c>
      <c r="E135" s="255">
        <f>SUM(E127:E134)</f>
        <v>0</v>
      </c>
      <c r="F135" s="1023"/>
      <c r="G135" s="255">
        <f>SUM(G127:G134)</f>
        <v>53</v>
      </c>
      <c r="H135" s="255">
        <f>SUM(H127:H134)</f>
        <v>0</v>
      </c>
      <c r="I135" s="1023"/>
      <c r="J135" s="255">
        <f>SUM(J127:J134)</f>
        <v>38</v>
      </c>
      <c r="K135" s="255">
        <f>SUM(K127:K134)</f>
        <v>0</v>
      </c>
      <c r="L135" s="1023"/>
      <c r="M135" s="255">
        <f>SUM(M127:M134)</f>
        <v>76</v>
      </c>
      <c r="N135" s="255">
        <f>SUM(N127:N134)</f>
        <v>2</v>
      </c>
      <c r="O135" s="254"/>
      <c r="P135" s="255">
        <f>SUM(P127:P134)</f>
        <v>211</v>
      </c>
      <c r="Q135" s="255">
        <f>SUM(Q127:Q134)</f>
        <v>2</v>
      </c>
      <c r="R135" s="262">
        <f t="shared" si="15"/>
        <v>213</v>
      </c>
      <c r="S135" s="23"/>
      <c r="T135" s="22"/>
      <c r="U135" s="22"/>
      <c r="V135" s="22"/>
      <c r="W135" s="22"/>
      <c r="X135" s="22"/>
      <c r="Y135" s="22"/>
      <c r="Z135" s="22"/>
      <c r="AA135" s="22"/>
    </row>
    <row r="136" spans="1:27" ht="16.5" thickBot="1">
      <c r="A136" s="23"/>
      <c r="B136" s="23"/>
      <c r="C136" s="256"/>
      <c r="D136" s="257"/>
      <c r="E136" s="258"/>
      <c r="F136" s="257"/>
      <c r="G136" s="257"/>
      <c r="H136" s="258"/>
      <c r="I136" s="258"/>
      <c r="J136" s="258"/>
      <c r="K136" s="259"/>
      <c r="L136" s="258"/>
      <c r="M136" s="258"/>
      <c r="N136" s="257"/>
      <c r="O136" s="257"/>
      <c r="P136" s="260"/>
      <c r="Q136" s="257"/>
      <c r="R136" s="261"/>
      <c r="S136" s="23"/>
      <c r="T136" s="22"/>
      <c r="U136" s="22"/>
      <c r="V136" s="22"/>
      <c r="W136" s="22"/>
      <c r="X136" s="22"/>
      <c r="Y136" s="22"/>
      <c r="Z136" s="22"/>
      <c r="AA136" s="22"/>
    </row>
    <row r="137" spans="1:27">
      <c r="A137" s="23"/>
      <c r="B137" s="23"/>
      <c r="C137" s="33"/>
      <c r="D137" s="1013"/>
      <c r="E137" s="1013"/>
      <c r="F137" s="1013"/>
      <c r="G137" s="1013"/>
      <c r="H137" s="1013"/>
      <c r="I137" s="1013"/>
      <c r="J137" s="1013"/>
      <c r="K137" s="1013"/>
      <c r="L137" s="1013"/>
      <c r="M137" s="1013"/>
      <c r="N137" s="31"/>
      <c r="O137" s="31"/>
      <c r="P137" s="87"/>
      <c r="Q137" s="31"/>
      <c r="R137" s="23"/>
      <c r="S137" s="23"/>
      <c r="T137" s="22"/>
      <c r="U137" s="22"/>
      <c r="V137" s="22"/>
      <c r="W137" s="22"/>
      <c r="X137" s="22"/>
      <c r="Y137" s="22"/>
      <c r="Z137" s="22"/>
      <c r="AA137" s="22"/>
    </row>
    <row r="138" spans="1:27">
      <c r="A138" s="23"/>
      <c r="B138" s="23"/>
      <c r="C138" s="33"/>
      <c r="D138" s="1013"/>
      <c r="E138" s="1013"/>
      <c r="F138" s="1013"/>
      <c r="G138" s="1013"/>
      <c r="H138" s="1013"/>
      <c r="I138" s="1013"/>
      <c r="J138" s="1013"/>
      <c r="K138" s="1013"/>
      <c r="L138" s="1013"/>
      <c r="M138" s="1013"/>
      <c r="N138" s="31"/>
      <c r="O138" s="31"/>
      <c r="P138" s="87"/>
      <c r="Q138" s="31"/>
      <c r="R138" s="23"/>
      <c r="S138" s="23"/>
      <c r="T138" s="22"/>
      <c r="U138" s="22"/>
      <c r="V138" s="22"/>
      <c r="W138" s="22"/>
      <c r="X138" s="22"/>
      <c r="Y138" s="22"/>
      <c r="Z138" s="22"/>
      <c r="AA138" s="22"/>
    </row>
    <row r="139" spans="1:27">
      <c r="A139" s="23"/>
      <c r="B139" s="23"/>
      <c r="C139" s="33"/>
      <c r="D139" s="1013"/>
      <c r="E139" s="1013"/>
      <c r="F139" s="1013"/>
      <c r="G139" s="1013"/>
      <c r="H139" s="1013"/>
      <c r="I139" s="1013"/>
      <c r="J139" s="1013"/>
      <c r="K139" s="1013"/>
      <c r="L139" s="1013"/>
      <c r="M139" s="1013"/>
      <c r="N139" s="31"/>
      <c r="O139" s="31"/>
      <c r="P139" s="87"/>
      <c r="Q139" s="31"/>
      <c r="R139" s="23"/>
      <c r="S139" s="23"/>
      <c r="T139" s="22"/>
      <c r="U139" s="22"/>
      <c r="V139" s="22"/>
      <c r="W139" s="22"/>
      <c r="X139" s="22"/>
      <c r="Y139" s="22"/>
      <c r="Z139" s="22"/>
      <c r="AA139" s="22"/>
    </row>
    <row r="140" spans="1:27">
      <c r="A140" s="23"/>
      <c r="B140" s="23"/>
      <c r="C140" s="33"/>
      <c r="D140" s="1013"/>
      <c r="E140" s="1013"/>
      <c r="F140" s="1013"/>
      <c r="G140" s="1013"/>
      <c r="H140" s="1013"/>
      <c r="I140" s="1013"/>
      <c r="J140" s="1013"/>
      <c r="K140" s="1013"/>
      <c r="L140" s="1013"/>
      <c r="M140" s="1013"/>
      <c r="N140" s="31"/>
      <c r="O140" s="31"/>
      <c r="P140" s="87"/>
      <c r="Q140" s="31"/>
      <c r="R140" s="23"/>
      <c r="S140" s="23"/>
      <c r="T140" s="22"/>
      <c r="U140" s="22"/>
      <c r="V140" s="22"/>
      <c r="W140" s="22"/>
      <c r="X140" s="22"/>
      <c r="Y140" s="22"/>
      <c r="Z140" s="22"/>
      <c r="AA140" s="22"/>
    </row>
    <row r="141" spans="1:27">
      <c r="A141" s="23"/>
      <c r="B141" s="23"/>
      <c r="C141" s="33"/>
      <c r="D141" s="1013"/>
      <c r="E141" s="1013"/>
      <c r="F141" s="1013"/>
      <c r="G141" s="1013"/>
      <c r="H141" s="1013"/>
      <c r="I141" s="1013"/>
      <c r="J141" s="1013"/>
      <c r="K141" s="1013"/>
      <c r="L141" s="1013"/>
      <c r="M141" s="1013"/>
      <c r="N141" s="1013"/>
      <c r="O141" s="1013"/>
      <c r="P141" s="31"/>
      <c r="Q141" s="31"/>
      <c r="R141" s="87"/>
      <c r="S141" s="31"/>
      <c r="T141" s="23"/>
      <c r="U141" s="22"/>
      <c r="V141" s="22"/>
      <c r="W141" s="22"/>
      <c r="X141" s="22"/>
      <c r="Y141" s="22"/>
      <c r="Z141" s="22"/>
      <c r="AA141" s="22"/>
    </row>
    <row r="142" spans="1:27">
      <c r="A142" s="23"/>
      <c r="B142" s="23"/>
      <c r="C142" s="33"/>
      <c r="D142" s="1013"/>
      <c r="E142" s="1013"/>
      <c r="F142" s="1013"/>
      <c r="G142" s="1013"/>
      <c r="H142" s="1013"/>
      <c r="I142" s="1013"/>
      <c r="J142" s="1013"/>
      <c r="K142" s="1013"/>
      <c r="L142" s="1013"/>
      <c r="M142" s="1013"/>
      <c r="N142" s="1013"/>
      <c r="O142" s="1013"/>
      <c r="P142" s="31"/>
      <c r="Q142" s="31"/>
      <c r="R142" s="87"/>
      <c r="S142" s="31"/>
      <c r="T142" s="23"/>
      <c r="U142" s="22"/>
      <c r="V142" s="22"/>
      <c r="W142" s="22"/>
      <c r="X142" s="22"/>
      <c r="Y142" s="22"/>
      <c r="Z142" s="22"/>
      <c r="AA142" s="22"/>
    </row>
    <row r="143" spans="1:27">
      <c r="A143" s="23"/>
      <c r="B143" s="23"/>
      <c r="C143" s="33"/>
      <c r="D143" s="1013"/>
      <c r="E143" s="1013"/>
      <c r="F143" s="1013"/>
      <c r="G143" s="1013"/>
      <c r="H143" s="1013"/>
      <c r="I143" s="1013"/>
      <c r="J143" s="1013"/>
      <c r="K143" s="1013"/>
      <c r="L143" s="1013"/>
      <c r="M143" s="1013"/>
      <c r="N143" s="1013"/>
      <c r="O143" s="1013"/>
      <c r="P143" s="31"/>
      <c r="Q143" s="31"/>
      <c r="R143" s="87"/>
      <c r="S143" s="31"/>
      <c r="T143" s="23"/>
      <c r="U143" s="22"/>
      <c r="V143" s="22"/>
      <c r="W143" s="22"/>
      <c r="X143" s="22"/>
      <c r="Y143" s="22"/>
      <c r="Z143" s="22"/>
      <c r="AA143" s="22"/>
    </row>
    <row r="144" spans="1:27">
      <c r="A144" s="23"/>
      <c r="B144" s="23"/>
      <c r="C144" s="33"/>
      <c r="D144" s="1013"/>
      <c r="E144" s="1013"/>
      <c r="F144" s="1013"/>
      <c r="G144" s="1013"/>
      <c r="H144" s="1013"/>
      <c r="I144" s="1013"/>
      <c r="J144" s="1013"/>
      <c r="K144" s="1013"/>
      <c r="L144" s="1013"/>
      <c r="M144" s="1013"/>
      <c r="N144" s="1013"/>
      <c r="O144" s="1013"/>
      <c r="P144" s="31"/>
      <c r="Q144" s="31"/>
      <c r="R144" s="87"/>
      <c r="S144" s="31"/>
      <c r="T144" s="23"/>
      <c r="U144" s="22"/>
      <c r="V144" s="22"/>
      <c r="W144" s="22"/>
      <c r="X144" s="22"/>
      <c r="Y144" s="22"/>
      <c r="Z144" s="22"/>
      <c r="AA144" s="22"/>
    </row>
    <row r="145" spans="1:27">
      <c r="A145" s="23"/>
      <c r="B145" s="23"/>
      <c r="C145" s="46"/>
      <c r="D145" s="1013"/>
      <c r="E145" s="1013"/>
      <c r="F145" s="1501"/>
      <c r="G145" s="1501"/>
      <c r="H145" s="1013"/>
      <c r="I145" s="1013"/>
      <c r="J145" s="1013"/>
      <c r="K145" s="1013"/>
      <c r="L145" s="1013"/>
      <c r="M145" s="1013"/>
      <c r="N145" s="1013"/>
      <c r="O145" s="1013"/>
      <c r="P145" s="31"/>
      <c r="Q145" s="31"/>
      <c r="R145" s="87"/>
      <c r="S145" s="31"/>
      <c r="T145" s="23"/>
      <c r="U145" s="22"/>
      <c r="V145" s="22"/>
      <c r="W145" s="22"/>
      <c r="X145" s="22"/>
      <c r="Y145" s="22"/>
      <c r="Z145" s="22"/>
      <c r="AA145" s="22"/>
    </row>
    <row r="146" spans="1:27">
      <c r="A146" s="23"/>
      <c r="B146" s="1043"/>
      <c r="C146" s="1043"/>
      <c r="D146" s="1043"/>
      <c r="E146" s="1043"/>
      <c r="F146" s="1043"/>
      <c r="G146" s="1043"/>
      <c r="H146" s="1043"/>
      <c r="I146" s="1043"/>
      <c r="J146" s="1043"/>
      <c r="K146" s="1043"/>
      <c r="L146" s="1043"/>
      <c r="M146" s="1013"/>
      <c r="N146" s="1013"/>
      <c r="O146" s="1013"/>
      <c r="P146" s="23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>
      <c r="A147" s="23"/>
      <c r="B147" s="1043"/>
      <c r="C147" s="1534"/>
      <c r="D147" s="1534"/>
      <c r="E147" s="1534"/>
      <c r="F147" s="1534"/>
      <c r="G147" s="1534"/>
      <c r="H147" s="1534"/>
      <c r="I147" s="1534"/>
      <c r="J147" s="1534"/>
      <c r="K147" s="1534"/>
      <c r="L147" s="1534"/>
      <c r="M147" s="1013"/>
      <c r="N147" s="1013"/>
      <c r="O147" s="1013"/>
      <c r="P147" s="23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>
      <c r="A148" s="23"/>
      <c r="B148" s="1043"/>
      <c r="C148" s="1532"/>
      <c r="D148" s="1532"/>
      <c r="E148" s="1024"/>
      <c r="F148" s="1024"/>
      <c r="G148" s="1024"/>
      <c r="H148" s="1024"/>
      <c r="I148" s="1024"/>
      <c r="J148" s="1535"/>
      <c r="K148" s="1535"/>
      <c r="L148" s="1024"/>
      <c r="M148" s="1013"/>
      <c r="N148" s="1013"/>
      <c r="O148" s="1013"/>
      <c r="P148" s="23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>
      <c r="A149" s="23"/>
      <c r="B149" s="1043"/>
      <c r="C149" s="1498"/>
      <c r="D149" s="1498"/>
      <c r="E149" s="1057"/>
      <c r="F149" s="1057"/>
      <c r="G149" s="1057"/>
      <c r="H149" s="1057"/>
      <c r="I149" s="1057"/>
      <c r="J149" s="1533"/>
      <c r="K149" s="1533"/>
      <c r="L149" s="1057"/>
      <c r="M149" s="1013"/>
      <c r="N149" s="1013"/>
      <c r="O149" s="1013"/>
      <c r="P149" s="23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9.5" customHeight="1">
      <c r="A150" s="23"/>
      <c r="B150" s="1043"/>
      <c r="C150" s="1501"/>
      <c r="D150" s="1501"/>
      <c r="E150" s="1057"/>
      <c r="F150" s="1057"/>
      <c r="G150" s="1057"/>
      <c r="H150" s="1057"/>
      <c r="I150" s="1057"/>
      <c r="J150" s="1533"/>
      <c r="K150" s="1533"/>
      <c r="L150" s="1057"/>
      <c r="M150" s="1013"/>
      <c r="N150" s="1013"/>
      <c r="O150" s="1013"/>
      <c r="P150" s="23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>
      <c r="A151" s="23"/>
      <c r="B151" s="1043"/>
      <c r="C151" s="1501"/>
      <c r="D151" s="1501"/>
      <c r="E151" s="1057"/>
      <c r="F151" s="1057"/>
      <c r="G151" s="1057"/>
      <c r="H151" s="1057"/>
      <c r="I151" s="1057"/>
      <c r="J151" s="1533"/>
      <c r="K151" s="1533"/>
      <c r="L151" s="1057"/>
      <c r="M151" s="23"/>
      <c r="N151" s="23"/>
      <c r="O151" s="23"/>
      <c r="P151" s="23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>
      <c r="A152" s="23"/>
      <c r="B152" s="1043"/>
      <c r="C152" s="1501"/>
      <c r="D152" s="1501"/>
      <c r="E152" s="1057"/>
      <c r="F152" s="1057"/>
      <c r="G152" s="1057"/>
      <c r="H152" s="1057"/>
      <c r="I152" s="1057"/>
      <c r="J152" s="1533"/>
      <c r="K152" s="1533"/>
      <c r="L152" s="1057"/>
      <c r="M152" s="26"/>
      <c r="N152" s="26"/>
      <c r="O152" s="26"/>
      <c r="P152" s="23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>
      <c r="A153" s="23"/>
      <c r="B153" s="1043"/>
      <c r="C153" s="1501"/>
      <c r="D153" s="1501"/>
      <c r="E153" s="1057"/>
      <c r="F153" s="1057"/>
      <c r="G153" s="1057"/>
      <c r="H153" s="1057"/>
      <c r="I153" s="1057"/>
      <c r="J153" s="1533"/>
      <c r="K153" s="1533"/>
      <c r="L153" s="1057"/>
      <c r="M153" s="26"/>
      <c r="N153" s="26"/>
      <c r="O153" s="26"/>
      <c r="P153" s="23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21" customHeight="1">
      <c r="A154" s="23"/>
      <c r="B154" s="1043"/>
      <c r="C154" s="1501"/>
      <c r="D154" s="1501"/>
      <c r="E154" s="1057"/>
      <c r="F154" s="1057"/>
      <c r="G154" s="1057"/>
      <c r="H154" s="1057"/>
      <c r="I154" s="1057"/>
      <c r="J154" s="1533"/>
      <c r="K154" s="1533"/>
      <c r="L154" s="1057"/>
      <c r="M154" s="26"/>
      <c r="N154" s="26"/>
      <c r="O154" s="26"/>
      <c r="P154" s="23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21.75" customHeight="1">
      <c r="A155" s="23"/>
      <c r="B155" s="1043"/>
      <c r="C155" s="1501"/>
      <c r="D155" s="1501"/>
      <c r="E155" s="1057"/>
      <c r="F155" s="1057"/>
      <c r="G155" s="1057"/>
      <c r="H155" s="1057"/>
      <c r="I155" s="1057"/>
      <c r="J155" s="1533"/>
      <c r="K155" s="1533"/>
      <c r="L155" s="1057"/>
      <c r="M155" s="1021"/>
      <c r="N155" s="1021"/>
      <c r="O155" s="1021"/>
      <c r="P155" s="23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>
      <c r="A156" s="23"/>
      <c r="B156" s="1043"/>
      <c r="C156" s="1501"/>
      <c r="D156" s="1501"/>
      <c r="E156" s="1057"/>
      <c r="F156" s="1057"/>
      <c r="G156" s="1057"/>
      <c r="H156" s="1057"/>
      <c r="I156" s="1057"/>
      <c r="J156" s="1533"/>
      <c r="K156" s="1533"/>
      <c r="L156" s="1057"/>
      <c r="M156" s="219"/>
      <c r="N156" s="219"/>
      <c r="O156" s="219"/>
      <c r="P156" s="23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31.5" customHeight="1">
      <c r="A157" s="23"/>
      <c r="B157" s="1043"/>
      <c r="C157" s="1043"/>
      <c r="D157" s="1043"/>
      <c r="E157" s="1043"/>
      <c r="F157" s="1057"/>
      <c r="G157" s="1057"/>
      <c r="H157" s="1533"/>
      <c r="I157" s="1533"/>
      <c r="J157" s="1057"/>
      <c r="K157" s="219"/>
      <c r="L157" s="219"/>
      <c r="M157" s="219"/>
      <c r="N157" s="23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>
      <c r="A158" s="23"/>
      <c r="B158" s="1043"/>
      <c r="C158" s="1043"/>
      <c r="D158" s="1043"/>
      <c r="E158" s="1043"/>
      <c r="F158" s="1043"/>
      <c r="G158" s="1043"/>
      <c r="H158" s="1043"/>
      <c r="I158" s="1043"/>
      <c r="J158" s="1043"/>
      <c r="K158" s="219"/>
      <c r="L158" s="219"/>
      <c r="M158" s="219"/>
      <c r="N158" s="23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>
      <c r="A159" s="23"/>
      <c r="B159" s="23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87"/>
      <c r="Q159" s="26"/>
      <c r="R159" s="23"/>
      <c r="S159" s="23"/>
      <c r="T159" s="22"/>
      <c r="U159" s="22"/>
      <c r="V159" s="22"/>
      <c r="W159" s="22"/>
      <c r="X159" s="22"/>
      <c r="Y159" s="22"/>
      <c r="Z159" s="22"/>
      <c r="AA159" s="22"/>
    </row>
    <row r="160" spans="1:27">
      <c r="A160" s="23"/>
      <c r="B160" s="23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87"/>
      <c r="Q160" s="26"/>
      <c r="R160" s="23"/>
      <c r="S160" s="23"/>
      <c r="T160" s="22"/>
      <c r="U160" s="22"/>
      <c r="V160" s="22"/>
      <c r="W160" s="22"/>
      <c r="X160" s="22"/>
      <c r="Y160" s="22"/>
      <c r="Z160" s="22"/>
      <c r="AA160" s="22"/>
    </row>
    <row r="161" spans="1:27">
      <c r="A161" s="23"/>
      <c r="B161" s="23"/>
      <c r="C161" s="1021"/>
      <c r="D161" s="1021"/>
      <c r="E161" s="1021"/>
      <c r="F161" s="1502"/>
      <c r="G161" s="1502"/>
      <c r="H161" s="1021"/>
      <c r="I161" s="1021"/>
      <c r="J161" s="1021"/>
      <c r="K161" s="219"/>
      <c r="L161" s="219"/>
      <c r="M161" s="219"/>
      <c r="N161" s="30"/>
      <c r="O161" s="30"/>
      <c r="P161" s="87"/>
      <c r="Q161" s="30"/>
      <c r="R161" s="23"/>
      <c r="S161" s="23"/>
      <c r="T161" s="22"/>
      <c r="U161" s="22"/>
      <c r="V161" s="22"/>
      <c r="W161" s="22"/>
      <c r="X161" s="22"/>
      <c r="Y161" s="22"/>
      <c r="Z161" s="22"/>
      <c r="AA161" s="22"/>
    </row>
    <row r="162" spans="1:27">
      <c r="A162" s="23"/>
      <c r="B162" s="23"/>
      <c r="C162" s="33"/>
      <c r="D162" s="31"/>
      <c r="E162" s="1013"/>
      <c r="F162" s="1501"/>
      <c r="G162" s="1501"/>
      <c r="H162" s="1013"/>
      <c r="I162" s="219"/>
      <c r="J162" s="1013"/>
      <c r="K162" s="1013"/>
      <c r="L162" s="1013"/>
      <c r="M162" s="1013"/>
      <c r="N162" s="31"/>
      <c r="O162" s="31"/>
      <c r="P162" s="87"/>
      <c r="Q162" s="31"/>
      <c r="R162" s="23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>
      <c r="A163" s="23"/>
      <c r="B163" s="23"/>
      <c r="C163" s="33"/>
      <c r="D163" s="31"/>
      <c r="E163" s="1013"/>
      <c r="F163" s="1501"/>
      <c r="G163" s="1501"/>
      <c r="H163" s="1013"/>
      <c r="I163" s="219"/>
      <c r="J163" s="1013"/>
      <c r="K163" s="1013"/>
      <c r="L163" s="1013"/>
      <c r="M163" s="1013"/>
      <c r="N163" s="31"/>
      <c r="O163" s="31"/>
      <c r="P163" s="87"/>
      <c r="Q163" s="31"/>
      <c r="R163" s="23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>
      <c r="A164" s="23"/>
      <c r="B164" s="23"/>
      <c r="C164" s="33"/>
      <c r="D164" s="31"/>
      <c r="E164" s="1013"/>
      <c r="F164" s="1501"/>
      <c r="G164" s="1501"/>
      <c r="H164" s="1013"/>
      <c r="I164" s="219"/>
      <c r="J164" s="1013"/>
      <c r="K164" s="1013"/>
      <c r="L164" s="1013"/>
      <c r="M164" s="1013"/>
      <c r="N164" s="31"/>
      <c r="O164" s="31"/>
      <c r="P164" s="87"/>
      <c r="Q164" s="31"/>
      <c r="R164" s="23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>
      <c r="A165" s="23"/>
      <c r="B165" s="23"/>
      <c r="C165" s="33"/>
      <c r="D165" s="31"/>
      <c r="E165" s="1013"/>
      <c r="F165" s="1501"/>
      <c r="G165" s="1501"/>
      <c r="H165" s="1013"/>
      <c r="I165" s="219"/>
      <c r="J165" s="35"/>
      <c r="K165" s="1013"/>
      <c r="L165" s="1013"/>
      <c r="M165" s="1013"/>
      <c r="N165" s="31"/>
      <c r="O165" s="31"/>
      <c r="P165" s="87"/>
      <c r="Q165" s="31"/>
      <c r="R165" s="23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>
      <c r="A166" s="23"/>
      <c r="B166" s="23"/>
      <c r="C166" s="33"/>
      <c r="D166" s="31"/>
      <c r="E166" s="1013"/>
      <c r="F166" s="1501"/>
      <c r="G166" s="1501"/>
      <c r="H166" s="1013"/>
      <c r="I166" s="1013"/>
      <c r="J166" s="1013"/>
      <c r="K166" s="1013"/>
      <c r="L166" s="1013"/>
      <c r="M166" s="1013"/>
      <c r="N166" s="31"/>
      <c r="O166" s="31"/>
      <c r="P166" s="87"/>
      <c r="Q166" s="31"/>
      <c r="R166" s="23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>
      <c r="A167" s="23"/>
      <c r="B167" s="23"/>
      <c r="C167" s="33"/>
      <c r="D167" s="31"/>
      <c r="E167" s="1013"/>
      <c r="F167" s="1501"/>
      <c r="G167" s="1501"/>
      <c r="H167" s="1013"/>
      <c r="I167" s="1013"/>
      <c r="J167" s="1013"/>
      <c r="K167" s="1013"/>
      <c r="L167" s="1013"/>
      <c r="M167" s="1013"/>
      <c r="N167" s="31"/>
      <c r="O167" s="31"/>
      <c r="P167" s="87"/>
      <c r="Q167" s="31"/>
      <c r="R167" s="23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>
      <c r="A168" s="23"/>
      <c r="B168" s="23"/>
      <c r="C168" s="33"/>
      <c r="D168" s="31"/>
      <c r="E168" s="1013"/>
      <c r="F168" s="1501"/>
      <c r="G168" s="1501"/>
      <c r="H168" s="1013"/>
      <c r="I168" s="1013"/>
      <c r="J168" s="31"/>
      <c r="K168" s="31"/>
      <c r="L168" s="31"/>
      <c r="M168" s="31"/>
      <c r="N168" s="31"/>
      <c r="O168" s="31"/>
      <c r="P168" s="87"/>
      <c r="Q168" s="31"/>
      <c r="R168" s="23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87"/>
      <c r="Q169" s="23"/>
      <c r="R169" s="23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3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3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3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</sheetData>
  <mergeCells count="42">
    <mergeCell ref="C44:M44"/>
    <mergeCell ref="B2:N4"/>
    <mergeCell ref="P7:Q7"/>
    <mergeCell ref="C13:C16"/>
    <mergeCell ref="C19:C22"/>
    <mergeCell ref="C25:C28"/>
    <mergeCell ref="C37:C40"/>
    <mergeCell ref="F108:G108"/>
    <mergeCell ref="F145:G145"/>
    <mergeCell ref="C147:L147"/>
    <mergeCell ref="J148:K148"/>
    <mergeCell ref="F105:G105"/>
    <mergeCell ref="F106:G106"/>
    <mergeCell ref="F107:G107"/>
    <mergeCell ref="C149:D149"/>
    <mergeCell ref="J149:K149"/>
    <mergeCell ref="C150:D150"/>
    <mergeCell ref="J150:K150"/>
    <mergeCell ref="C151:D151"/>
    <mergeCell ref="J151:K151"/>
    <mergeCell ref="C152:D152"/>
    <mergeCell ref="J152:K152"/>
    <mergeCell ref="C153:D153"/>
    <mergeCell ref="J153:K153"/>
    <mergeCell ref="C154:D154"/>
    <mergeCell ref="J154:K154"/>
    <mergeCell ref="F168:G168"/>
    <mergeCell ref="C63:M63"/>
    <mergeCell ref="C148:D148"/>
    <mergeCell ref="C31:C34"/>
    <mergeCell ref="F162:G162"/>
    <mergeCell ref="F163:G163"/>
    <mergeCell ref="F164:G164"/>
    <mergeCell ref="F165:G165"/>
    <mergeCell ref="F166:G166"/>
    <mergeCell ref="F167:G167"/>
    <mergeCell ref="C155:D155"/>
    <mergeCell ref="J155:K155"/>
    <mergeCell ref="C156:D156"/>
    <mergeCell ref="J156:K156"/>
    <mergeCell ref="H157:I157"/>
    <mergeCell ref="F161:G16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0"/>
  <dimension ref="A1:C43"/>
  <sheetViews>
    <sheetView topLeftCell="A19" workbookViewId="0">
      <selection activeCell="A5" sqref="A5"/>
    </sheetView>
  </sheetViews>
  <sheetFormatPr defaultColWidth="11" defaultRowHeight="15.75"/>
  <cols>
    <col min="1" max="1" width="37.125" bestFit="1" customWidth="1"/>
    <col min="2" max="2" width="11" style="2"/>
    <col min="3" max="3" width="33.5" style="684" bestFit="1" customWidth="1"/>
    <col min="7" max="7" width="26.625" bestFit="1" customWidth="1"/>
    <col min="8" max="8" width="33.5" bestFit="1" customWidth="1"/>
  </cols>
  <sheetData>
    <row r="1" spans="1:3">
      <c r="A1" s="886" t="s">
        <v>1039</v>
      </c>
      <c r="B1" s="886" t="s">
        <v>1040</v>
      </c>
      <c r="C1" s="887" t="s">
        <v>96</v>
      </c>
    </row>
    <row r="2" spans="1:3">
      <c r="A2" t="s">
        <v>1078</v>
      </c>
      <c r="B2" s="2">
        <v>40</v>
      </c>
      <c r="C2" s="703" t="s">
        <v>1079</v>
      </c>
    </row>
    <row r="3" spans="1:3">
      <c r="A3" t="s">
        <v>1080</v>
      </c>
      <c r="B3" s="2">
        <v>40</v>
      </c>
      <c r="C3" s="703" t="s">
        <v>1081</v>
      </c>
    </row>
    <row r="4" spans="1:3">
      <c r="A4" t="s">
        <v>700</v>
      </c>
      <c r="B4" s="2">
        <v>64</v>
      </c>
      <c r="C4" s="703" t="s">
        <v>1081</v>
      </c>
    </row>
    <row r="5" spans="1:3">
      <c r="A5" t="s">
        <v>1082</v>
      </c>
      <c r="B5" s="2">
        <v>65</v>
      </c>
      <c r="C5" s="703" t="s">
        <v>1081</v>
      </c>
    </row>
    <row r="6" spans="1:3">
      <c r="A6" t="s">
        <v>1041</v>
      </c>
      <c r="B6" s="2">
        <v>40</v>
      </c>
      <c r="C6" s="876" t="s">
        <v>1083</v>
      </c>
    </row>
    <row r="7" spans="1:3">
      <c r="A7" t="s">
        <v>1042</v>
      </c>
      <c r="B7" s="2">
        <v>64</v>
      </c>
      <c r="C7" s="876" t="s">
        <v>1083</v>
      </c>
    </row>
    <row r="8" spans="1:3">
      <c r="A8" t="s">
        <v>1084</v>
      </c>
      <c r="B8" s="2">
        <v>65</v>
      </c>
      <c r="C8" s="876" t="s">
        <v>1083</v>
      </c>
    </row>
    <row r="9" spans="1:3">
      <c r="A9" t="s">
        <v>1085</v>
      </c>
      <c r="B9" s="2">
        <v>40</v>
      </c>
      <c r="C9" s="703" t="s">
        <v>1086</v>
      </c>
    </row>
    <row r="10" spans="1:3">
      <c r="A10" t="s">
        <v>1087</v>
      </c>
      <c r="B10" s="2">
        <v>64</v>
      </c>
      <c r="C10" s="703" t="s">
        <v>1086</v>
      </c>
    </row>
    <row r="11" spans="1:3">
      <c r="A11" t="s">
        <v>698</v>
      </c>
      <c r="B11" s="2">
        <v>64</v>
      </c>
      <c r="C11" s="876" t="s">
        <v>1088</v>
      </c>
    </row>
    <row r="12" spans="1:3">
      <c r="A12" t="s">
        <v>1089</v>
      </c>
      <c r="B12" s="2">
        <v>64</v>
      </c>
      <c r="C12" s="876" t="s">
        <v>1090</v>
      </c>
    </row>
    <row r="13" spans="1:3">
      <c r="A13" t="s">
        <v>757</v>
      </c>
      <c r="B13" s="2">
        <v>65</v>
      </c>
      <c r="C13" s="876" t="s">
        <v>1090</v>
      </c>
    </row>
    <row r="14" spans="1:3">
      <c r="A14" t="s">
        <v>607</v>
      </c>
      <c r="B14" s="2">
        <v>64</v>
      </c>
      <c r="C14" s="876" t="s">
        <v>1091</v>
      </c>
    </row>
    <row r="15" spans="1:3">
      <c r="A15" t="s">
        <v>601</v>
      </c>
      <c r="B15" s="2">
        <v>40</v>
      </c>
      <c r="C15" s="876" t="s">
        <v>1092</v>
      </c>
    </row>
    <row r="16" spans="1:3">
      <c r="A16" t="s">
        <v>1093</v>
      </c>
      <c r="B16" s="2">
        <v>64</v>
      </c>
      <c r="C16" s="876" t="s">
        <v>1094</v>
      </c>
    </row>
    <row r="17" spans="1:3">
      <c r="A17" t="s">
        <v>1095</v>
      </c>
      <c r="B17" s="2">
        <v>40</v>
      </c>
      <c r="C17" s="876" t="s">
        <v>1096</v>
      </c>
    </row>
    <row r="18" spans="1:3">
      <c r="A18" t="s">
        <v>1097</v>
      </c>
      <c r="B18" s="2">
        <v>40</v>
      </c>
      <c r="C18" s="703" t="s">
        <v>1098</v>
      </c>
    </row>
    <row r="19" spans="1:3">
      <c r="A19" t="s">
        <v>1099</v>
      </c>
      <c r="B19" s="2">
        <v>64</v>
      </c>
      <c r="C19" s="703" t="s">
        <v>1098</v>
      </c>
    </row>
    <row r="20" spans="1:3">
      <c r="A20" t="s">
        <v>1100</v>
      </c>
      <c r="B20" s="2">
        <v>65</v>
      </c>
      <c r="C20" s="703" t="s">
        <v>1098</v>
      </c>
    </row>
    <row r="21" spans="1:3">
      <c r="A21" t="s">
        <v>572</v>
      </c>
      <c r="B21" s="2">
        <v>65</v>
      </c>
      <c r="C21" s="703" t="s">
        <v>1101</v>
      </c>
    </row>
    <row r="22" spans="1:3">
      <c r="A22" t="s">
        <v>560</v>
      </c>
      <c r="B22" s="2">
        <v>64</v>
      </c>
      <c r="C22" s="703" t="s">
        <v>1102</v>
      </c>
    </row>
    <row r="23" spans="1:3">
      <c r="A23" t="s">
        <v>735</v>
      </c>
      <c r="B23" s="2">
        <v>65</v>
      </c>
      <c r="C23" s="703" t="s">
        <v>1103</v>
      </c>
    </row>
    <row r="24" spans="1:3">
      <c r="A24" t="s">
        <v>351</v>
      </c>
      <c r="B24" s="2">
        <v>64</v>
      </c>
      <c r="C24" s="703" t="s">
        <v>1104</v>
      </c>
    </row>
    <row r="25" spans="1:3">
      <c r="A25" t="s">
        <v>706</v>
      </c>
      <c r="B25" s="2">
        <v>40</v>
      </c>
      <c r="C25" s="703" t="s">
        <v>1105</v>
      </c>
    </row>
    <row r="26" spans="1:3">
      <c r="A26" t="s">
        <v>899</v>
      </c>
      <c r="B26" s="2">
        <v>65</v>
      </c>
      <c r="C26" s="703" t="s">
        <v>1106</v>
      </c>
    </row>
    <row r="27" spans="1:3">
      <c r="A27" t="s">
        <v>203</v>
      </c>
      <c r="B27" s="2">
        <v>64</v>
      </c>
      <c r="C27" s="703" t="s">
        <v>1107</v>
      </c>
    </row>
    <row r="28" spans="1:3">
      <c r="A28" t="s">
        <v>755</v>
      </c>
      <c r="B28" s="2">
        <v>64</v>
      </c>
      <c r="C28" s="684" t="s">
        <v>1108</v>
      </c>
    </row>
    <row r="29" spans="1:3">
      <c r="A29" t="s">
        <v>888</v>
      </c>
      <c r="B29" s="2">
        <v>65</v>
      </c>
      <c r="C29" s="703" t="s">
        <v>1109</v>
      </c>
    </row>
    <row r="30" spans="1:3">
      <c r="A30" t="s">
        <v>1110</v>
      </c>
      <c r="B30" s="2">
        <v>40</v>
      </c>
      <c r="C30" s="684" t="s">
        <v>1111</v>
      </c>
    </row>
    <row r="31" spans="1:3">
      <c r="A31" t="s">
        <v>1112</v>
      </c>
      <c r="B31" s="2">
        <v>64</v>
      </c>
      <c r="C31" s="684" t="s">
        <v>1111</v>
      </c>
    </row>
    <row r="32" spans="1:3">
      <c r="A32" t="s">
        <v>702</v>
      </c>
      <c r="B32" s="2">
        <v>40</v>
      </c>
      <c r="C32" s="703" t="s">
        <v>1113</v>
      </c>
    </row>
    <row r="33" spans="1:3">
      <c r="A33" t="s">
        <v>1114</v>
      </c>
      <c r="B33" s="2">
        <v>64</v>
      </c>
      <c r="C33" s="703" t="s">
        <v>1113</v>
      </c>
    </row>
    <row r="34" spans="1:3">
      <c r="A34" t="s">
        <v>1115</v>
      </c>
      <c r="B34" s="2">
        <v>65</v>
      </c>
      <c r="C34" s="703" t="s">
        <v>1113</v>
      </c>
    </row>
    <row r="35" spans="1:3">
      <c r="A35" t="s">
        <v>1048</v>
      </c>
      <c r="B35" s="2">
        <v>40</v>
      </c>
      <c r="C35" s="703" t="s">
        <v>1116</v>
      </c>
    </row>
    <row r="36" spans="1:3">
      <c r="A36" t="s">
        <v>1049</v>
      </c>
      <c r="B36" s="2">
        <v>65</v>
      </c>
      <c r="C36" s="703" t="s">
        <v>1116</v>
      </c>
    </row>
    <row r="37" spans="1:3">
      <c r="A37" t="s">
        <v>1050</v>
      </c>
      <c r="B37" s="2">
        <v>40</v>
      </c>
      <c r="C37" s="703" t="s">
        <v>1116</v>
      </c>
    </row>
    <row r="38" spans="1:3">
      <c r="A38" t="s">
        <v>1117</v>
      </c>
      <c r="B38" s="2">
        <v>40</v>
      </c>
      <c r="C38" s="684" t="s">
        <v>1118</v>
      </c>
    </row>
    <row r="39" spans="1:3">
      <c r="A39" t="s">
        <v>1119</v>
      </c>
      <c r="B39" s="2">
        <v>65</v>
      </c>
      <c r="C39" s="703" t="s">
        <v>1120</v>
      </c>
    </row>
    <row r="40" spans="1:3">
      <c r="A40" t="s">
        <v>577</v>
      </c>
      <c r="B40" s="2">
        <v>40</v>
      </c>
      <c r="C40" s="703" t="s">
        <v>1121</v>
      </c>
    </row>
    <row r="41" spans="1:3">
      <c r="A41" t="s">
        <v>605</v>
      </c>
      <c r="B41" s="2">
        <v>64</v>
      </c>
      <c r="C41" s="703" t="s">
        <v>1121</v>
      </c>
    </row>
    <row r="42" spans="1:3">
      <c r="A42" t="s">
        <v>653</v>
      </c>
      <c r="B42" s="2">
        <v>65</v>
      </c>
      <c r="C42" s="703" t="s">
        <v>1122</v>
      </c>
    </row>
    <row r="43" spans="1:3">
      <c r="A43" t="s">
        <v>1123</v>
      </c>
      <c r="B43" s="2">
        <v>64</v>
      </c>
      <c r="C43" s="703" t="s">
        <v>1124</v>
      </c>
    </row>
  </sheetData>
  <autoFilter ref="A1:C1" xr:uid="{00000000-0009-0000-0000-000013000000}">
    <sortState xmlns:xlrd2="http://schemas.microsoft.com/office/spreadsheetml/2017/richdata2" ref="A2:C40">
      <sortCondition ref="A1"/>
    </sortState>
  </autoFilter>
  <hyperlinks>
    <hyperlink ref="C40" r:id="rId1" xr:uid="{00000000-0004-0000-1300-000000000000}"/>
    <hyperlink ref="C27" r:id="rId2" xr:uid="{00000000-0004-0000-1300-000001000000}"/>
    <hyperlink ref="C29" r:id="rId3" xr:uid="{00000000-0004-0000-1300-000002000000}"/>
    <hyperlink ref="C22" r:id="rId4" xr:uid="{00000000-0004-0000-1300-000003000000}"/>
    <hyperlink ref="C9" r:id="rId5" xr:uid="{00000000-0004-0000-1300-000004000000}"/>
    <hyperlink ref="C26" r:id="rId6" xr:uid="{00000000-0004-0000-1300-000005000000}"/>
    <hyperlink ref="C24" r:id="rId7" xr:uid="{00000000-0004-0000-1300-000006000000}"/>
    <hyperlink ref="C23" r:id="rId8" xr:uid="{00000000-0004-0000-1300-000007000000}"/>
    <hyperlink ref="C25" r:id="rId9" xr:uid="{00000000-0004-0000-1300-000008000000}"/>
    <hyperlink ref="C3" r:id="rId10" xr:uid="{00000000-0004-0000-1300-000009000000}"/>
    <hyperlink ref="C21" r:id="rId11" xr:uid="{00000000-0004-0000-1300-00000A000000}"/>
    <hyperlink ref="C42" r:id="rId12" xr:uid="{00000000-0004-0000-1300-00000B000000}"/>
    <hyperlink ref="C32" r:id="rId13" xr:uid="{00000000-0004-0000-1300-00000C000000}"/>
    <hyperlink ref="C18" r:id="rId14" xr:uid="{00000000-0004-0000-1300-00000D000000}"/>
    <hyperlink ref="C43" r:id="rId15" xr:uid="{00000000-0004-0000-1300-00000E000000}"/>
    <hyperlink ref="C35" r:id="rId16" xr:uid="{00000000-0004-0000-1300-00000F000000}"/>
    <hyperlink ref="C6" r:id="rId17" xr:uid="{00000000-0004-0000-1300-000010000000}"/>
    <hyperlink ref="C39" r:id="rId18" xr:uid="{00000000-0004-0000-1300-000011000000}"/>
    <hyperlink ref="C20" r:id="rId19" xr:uid="{00000000-0004-0000-1300-000012000000}"/>
    <hyperlink ref="C19" r:id="rId20" xr:uid="{00000000-0004-0000-1300-000013000000}"/>
    <hyperlink ref="C33" r:id="rId21" xr:uid="{00000000-0004-0000-1300-000014000000}"/>
    <hyperlink ref="C34" r:id="rId22" xr:uid="{00000000-0004-0000-1300-000015000000}"/>
    <hyperlink ref="C36" r:id="rId23" xr:uid="{00000000-0004-0000-1300-000016000000}"/>
    <hyperlink ref="C37" r:id="rId24" xr:uid="{00000000-0004-0000-1300-000017000000}"/>
    <hyperlink ref="C10" r:id="rId25" xr:uid="{00000000-0004-0000-1300-000018000000}"/>
    <hyperlink ref="C7:C8" r:id="rId26" display="http://www.atomicradio.fr/" xr:uid="{00000000-0004-0000-1300-000019000000}"/>
    <hyperlink ref="C4:C5" r:id="rId27" display="aqui.fr" xr:uid="{00000000-0004-0000-1300-00001A000000}"/>
    <hyperlink ref="C41" r:id="rId28" xr:uid="{00000000-0004-0000-1300-00001B000000}"/>
    <hyperlink ref="C11" r:id="rId29" xr:uid="{00000000-0004-0000-1300-00001C000000}"/>
    <hyperlink ref="C14" r:id="rId30" xr:uid="{00000000-0004-0000-1300-00001D000000}"/>
    <hyperlink ref="C15" r:id="rId31" xr:uid="{00000000-0004-0000-1300-00001E000000}"/>
    <hyperlink ref="C16" r:id="rId32" xr:uid="{00000000-0004-0000-1300-00001F000000}"/>
    <hyperlink ref="C17" r:id="rId33" xr:uid="{00000000-0004-0000-1300-000020000000}"/>
    <hyperlink ref="C7" r:id="rId34" xr:uid="{00000000-0004-0000-1300-000021000000}"/>
    <hyperlink ref="C8" r:id="rId35" xr:uid="{00000000-0004-0000-1300-000022000000}"/>
    <hyperlink ref="C12" r:id="rId36" xr:uid="{00000000-0004-0000-1300-000023000000}"/>
    <hyperlink ref="C13" r:id="rId37" xr:uid="{00000000-0004-0000-1300-000024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21"/>
  <dimension ref="A1:F44"/>
  <sheetViews>
    <sheetView workbookViewId="0">
      <selection activeCell="E26" sqref="E26"/>
    </sheetView>
  </sheetViews>
  <sheetFormatPr defaultColWidth="11" defaultRowHeight="15.75"/>
  <cols>
    <col min="1" max="1" width="32.25" bestFit="1" customWidth="1"/>
    <col min="2" max="2" width="37.125" bestFit="1" customWidth="1"/>
    <col min="3" max="3" width="21.25" bestFit="1" customWidth="1"/>
    <col min="4" max="4" width="13.25" bestFit="1" customWidth="1"/>
  </cols>
  <sheetData>
    <row r="1" spans="1:6">
      <c r="A1" s="683" t="s">
        <v>8</v>
      </c>
      <c r="B1" s="683" t="s">
        <v>1125</v>
      </c>
      <c r="C1" s="683" t="s">
        <v>10</v>
      </c>
      <c r="D1" s="683" t="s">
        <v>11</v>
      </c>
      <c r="E1" s="683"/>
      <c r="F1" s="683" t="s">
        <v>1126</v>
      </c>
    </row>
    <row r="2" spans="1:6">
      <c r="A2" s="684" t="s">
        <v>1066</v>
      </c>
      <c r="B2" t="s">
        <v>1078</v>
      </c>
      <c r="C2" t="s">
        <v>1041</v>
      </c>
      <c r="D2" t="s">
        <v>923</v>
      </c>
      <c r="F2" t="s">
        <v>8</v>
      </c>
    </row>
    <row r="3" spans="1:6">
      <c r="A3" s="684" t="s">
        <v>311</v>
      </c>
      <c r="B3" t="s">
        <v>1080</v>
      </c>
      <c r="C3" t="s">
        <v>1042</v>
      </c>
      <c r="D3" t="s">
        <v>785</v>
      </c>
      <c r="F3" t="s">
        <v>10</v>
      </c>
    </row>
    <row r="4" spans="1:6">
      <c r="A4" s="684" t="s">
        <v>1067</v>
      </c>
      <c r="B4" t="s">
        <v>700</v>
      </c>
      <c r="C4" t="s">
        <v>1043</v>
      </c>
      <c r="D4" t="s">
        <v>1073</v>
      </c>
      <c r="F4" t="s">
        <v>11</v>
      </c>
    </row>
    <row r="5" spans="1:6">
      <c r="A5" s="684" t="s">
        <v>91</v>
      </c>
      <c r="B5" t="s">
        <v>1082</v>
      </c>
      <c r="C5" s="684" t="s">
        <v>1044</v>
      </c>
      <c r="D5" t="s">
        <v>802</v>
      </c>
      <c r="F5" t="s">
        <v>9</v>
      </c>
    </row>
    <row r="6" spans="1:6">
      <c r="A6" s="684" t="s">
        <v>396</v>
      </c>
      <c r="B6" t="s">
        <v>1041</v>
      </c>
      <c r="C6" s="684" t="s">
        <v>1045</v>
      </c>
      <c r="D6" t="s">
        <v>787</v>
      </c>
    </row>
    <row r="7" spans="1:6">
      <c r="A7" s="684" t="s">
        <v>735</v>
      </c>
      <c r="B7" t="s">
        <v>1042</v>
      </c>
      <c r="C7" s="684" t="s">
        <v>776</v>
      </c>
      <c r="D7" t="s">
        <v>1074</v>
      </c>
    </row>
    <row r="8" spans="1:6">
      <c r="A8" s="684" t="s">
        <v>1068</v>
      </c>
      <c r="B8" t="s">
        <v>1084</v>
      </c>
      <c r="C8" s="684" t="s">
        <v>1046</v>
      </c>
      <c r="D8" t="s">
        <v>1075</v>
      </c>
    </row>
    <row r="9" spans="1:6">
      <c r="A9" s="684" t="s">
        <v>1069</v>
      </c>
      <c r="B9" t="s">
        <v>1085</v>
      </c>
      <c r="C9" s="684" t="s">
        <v>331</v>
      </c>
      <c r="D9" t="s">
        <v>1076</v>
      </c>
    </row>
    <row r="10" spans="1:6">
      <c r="A10" s="684" t="s">
        <v>1070</v>
      </c>
      <c r="B10" t="s">
        <v>1087</v>
      </c>
      <c r="C10" s="684" t="s">
        <v>275</v>
      </c>
      <c r="D10" t="s">
        <v>1077</v>
      </c>
    </row>
    <row r="11" spans="1:6">
      <c r="A11" s="684" t="s">
        <v>1071</v>
      </c>
      <c r="B11" t="s">
        <v>698</v>
      </c>
      <c r="C11" s="684" t="s">
        <v>261</v>
      </c>
    </row>
    <row r="12" spans="1:6">
      <c r="A12" s="684" t="s">
        <v>550</v>
      </c>
      <c r="B12" t="s">
        <v>967</v>
      </c>
      <c r="C12" s="684" t="s">
        <v>636</v>
      </c>
    </row>
    <row r="13" spans="1:6">
      <c r="A13" s="684" t="s">
        <v>203</v>
      </c>
      <c r="B13" t="s">
        <v>1089</v>
      </c>
      <c r="C13" s="684" t="s">
        <v>797</v>
      </c>
    </row>
    <row r="14" spans="1:6">
      <c r="A14" s="684" t="s">
        <v>556</v>
      </c>
      <c r="B14" t="s">
        <v>757</v>
      </c>
      <c r="C14" s="684" t="s">
        <v>798</v>
      </c>
    </row>
    <row r="15" spans="1:6">
      <c r="A15" s="684" t="s">
        <v>1072</v>
      </c>
      <c r="B15" t="s">
        <v>607</v>
      </c>
      <c r="C15" s="684" t="s">
        <v>799</v>
      </c>
    </row>
    <row r="16" spans="1:6">
      <c r="A16" s="684" t="s">
        <v>914</v>
      </c>
      <c r="B16" t="s">
        <v>601</v>
      </c>
      <c r="C16" s="684" t="s">
        <v>1047</v>
      </c>
    </row>
    <row r="17" spans="1:3">
      <c r="A17" s="684" t="s">
        <v>755</v>
      </c>
      <c r="B17" t="s">
        <v>1093</v>
      </c>
      <c r="C17" s="684" t="s">
        <v>1048</v>
      </c>
    </row>
    <row r="18" spans="1:3">
      <c r="A18" s="684" t="s">
        <v>85</v>
      </c>
      <c r="B18" t="s">
        <v>1095</v>
      </c>
      <c r="C18" s="684" t="s">
        <v>1049</v>
      </c>
    </row>
    <row r="19" spans="1:3">
      <c r="A19" s="684" t="s">
        <v>611</v>
      </c>
      <c r="B19" t="s">
        <v>1097</v>
      </c>
      <c r="C19" s="684" t="s">
        <v>1050</v>
      </c>
    </row>
    <row r="20" spans="1:3">
      <c r="A20" s="684" t="s">
        <v>684</v>
      </c>
      <c r="B20" t="s">
        <v>1099</v>
      </c>
      <c r="C20" s="702" t="s">
        <v>1051</v>
      </c>
    </row>
    <row r="21" spans="1:3">
      <c r="B21" t="s">
        <v>1100</v>
      </c>
      <c r="C21" s="702" t="s">
        <v>1052</v>
      </c>
    </row>
    <row r="22" spans="1:3">
      <c r="B22" t="s">
        <v>572</v>
      </c>
      <c r="C22" s="684" t="s">
        <v>807</v>
      </c>
    </row>
    <row r="23" spans="1:3">
      <c r="B23" t="s">
        <v>560</v>
      </c>
      <c r="C23" s="684" t="s">
        <v>1053</v>
      </c>
    </row>
    <row r="24" spans="1:3">
      <c r="B24" t="s">
        <v>735</v>
      </c>
      <c r="C24" s="684" t="s">
        <v>1054</v>
      </c>
    </row>
    <row r="25" spans="1:3">
      <c r="B25" t="s">
        <v>351</v>
      </c>
      <c r="C25" s="684" t="s">
        <v>1055</v>
      </c>
    </row>
    <row r="26" spans="1:3">
      <c r="B26" t="s">
        <v>706</v>
      </c>
      <c r="C26" s="684" t="s">
        <v>1056</v>
      </c>
    </row>
    <row r="27" spans="1:3">
      <c r="B27" t="s">
        <v>899</v>
      </c>
      <c r="C27" s="684" t="s">
        <v>1057</v>
      </c>
    </row>
    <row r="28" spans="1:3">
      <c r="B28" t="s">
        <v>203</v>
      </c>
      <c r="C28" s="684" t="s">
        <v>1058</v>
      </c>
    </row>
    <row r="29" spans="1:3">
      <c r="B29" t="s">
        <v>755</v>
      </c>
      <c r="C29" s="684" t="s">
        <v>1059</v>
      </c>
    </row>
    <row r="30" spans="1:3">
      <c r="B30" t="s">
        <v>888</v>
      </c>
      <c r="C30" s="684" t="s">
        <v>1060</v>
      </c>
    </row>
    <row r="31" spans="1:3">
      <c r="B31" t="s">
        <v>1110</v>
      </c>
      <c r="C31" s="684" t="s">
        <v>1061</v>
      </c>
    </row>
    <row r="32" spans="1:3">
      <c r="B32" t="s">
        <v>1112</v>
      </c>
      <c r="C32" s="684" t="s">
        <v>1062</v>
      </c>
    </row>
    <row r="33" spans="2:3">
      <c r="B33" t="s">
        <v>702</v>
      </c>
      <c r="C33" s="684" t="s">
        <v>766</v>
      </c>
    </row>
    <row r="34" spans="2:3">
      <c r="B34" t="s">
        <v>1114</v>
      </c>
      <c r="C34" s="684" t="s">
        <v>1063</v>
      </c>
    </row>
    <row r="35" spans="2:3">
      <c r="B35" t="s">
        <v>1115</v>
      </c>
      <c r="C35" s="684" t="s">
        <v>1064</v>
      </c>
    </row>
    <row r="36" spans="2:3">
      <c r="B36" t="s">
        <v>1048</v>
      </c>
      <c r="C36" s="684" t="s">
        <v>1065</v>
      </c>
    </row>
    <row r="37" spans="2:3">
      <c r="B37" t="s">
        <v>1049</v>
      </c>
    </row>
    <row r="38" spans="2:3">
      <c r="B38" t="s">
        <v>1050</v>
      </c>
    </row>
    <row r="39" spans="2:3">
      <c r="B39" t="s">
        <v>1117</v>
      </c>
    </row>
    <row r="40" spans="2:3">
      <c r="B40" t="s">
        <v>1119</v>
      </c>
    </row>
    <row r="41" spans="2:3">
      <c r="B41" t="s">
        <v>577</v>
      </c>
    </row>
    <row r="42" spans="2:3">
      <c r="B42" t="s">
        <v>605</v>
      </c>
    </row>
    <row r="43" spans="2:3">
      <c r="B43" t="s">
        <v>653</v>
      </c>
    </row>
    <row r="44" spans="2:3">
      <c r="B44" t="s">
        <v>1127</v>
      </c>
    </row>
  </sheetData>
  <autoFilter ref="D1:D40" xr:uid="{00000000-0009-0000-0000-000014000000}">
    <sortState xmlns:xlrd2="http://schemas.microsoft.com/office/spreadsheetml/2017/richdata2" ref="D2:D40">
      <sortCondition ref="D1:D4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AE194"/>
  <sheetViews>
    <sheetView topLeftCell="A43" zoomScale="90" zoomScaleNormal="90" workbookViewId="0">
      <selection activeCell="I42" sqref="I42"/>
    </sheetView>
  </sheetViews>
  <sheetFormatPr defaultColWidth="11" defaultRowHeight="15.75"/>
  <cols>
    <col min="1" max="1" width="8.75" customWidth="1"/>
    <col min="2" max="2" width="6.625" customWidth="1"/>
    <col min="3" max="3" width="25.625" customWidth="1"/>
    <col min="4" max="5" width="12.625" customWidth="1"/>
    <col min="6" max="7" width="17.625" customWidth="1"/>
    <col min="8" max="11" width="12.625" customWidth="1"/>
    <col min="12" max="12" width="7.625" customWidth="1"/>
    <col min="13" max="13" width="7" customWidth="1"/>
    <col min="14" max="15" width="8.625" customWidth="1"/>
    <col min="16" max="16" width="7.25" customWidth="1"/>
    <col min="17" max="17" width="6.75" customWidth="1"/>
    <col min="18" max="18" width="7.25" customWidth="1"/>
  </cols>
  <sheetData>
    <row r="1" spans="1:31" ht="27" customHeight="1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  <c r="S1" s="23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27" customHeight="1">
      <c r="A2" s="22"/>
      <c r="B2" s="1538" t="s">
        <v>61</v>
      </c>
      <c r="C2" s="1539"/>
      <c r="D2" s="1539"/>
      <c r="E2" s="1539"/>
      <c r="F2" s="1539"/>
      <c r="G2" s="1539"/>
      <c r="H2" s="1539"/>
      <c r="I2" s="1539"/>
      <c r="J2" s="1539"/>
      <c r="K2" s="1539"/>
      <c r="L2" s="1539"/>
      <c r="M2" s="1539"/>
      <c r="N2" s="1540"/>
      <c r="O2" s="22"/>
      <c r="P2" s="22"/>
      <c r="Q2" s="22"/>
      <c r="R2" s="23"/>
      <c r="S2" s="23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ht="27" customHeight="1">
      <c r="A3" s="22"/>
      <c r="B3" s="1541"/>
      <c r="C3" s="1542"/>
      <c r="D3" s="1542"/>
      <c r="E3" s="1542"/>
      <c r="F3" s="1542"/>
      <c r="G3" s="1542"/>
      <c r="H3" s="1542"/>
      <c r="I3" s="1542"/>
      <c r="J3" s="1542"/>
      <c r="K3" s="1542"/>
      <c r="L3" s="1542"/>
      <c r="M3" s="1542"/>
      <c r="N3" s="1543"/>
      <c r="O3" s="22"/>
      <c r="P3" s="22"/>
      <c r="Q3" s="22"/>
      <c r="R3" s="23"/>
      <c r="S3" s="23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ht="27" customHeight="1" thickBot="1">
      <c r="A4" s="22"/>
      <c r="B4" s="1544"/>
      <c r="C4" s="1545"/>
      <c r="D4" s="1545"/>
      <c r="E4" s="1545"/>
      <c r="F4" s="1545"/>
      <c r="G4" s="1545"/>
      <c r="H4" s="1545"/>
      <c r="I4" s="1545"/>
      <c r="J4" s="1545"/>
      <c r="K4" s="1545"/>
      <c r="L4" s="1545"/>
      <c r="M4" s="1545"/>
      <c r="N4" s="1546"/>
      <c r="O4" s="22"/>
      <c r="P4" s="22"/>
      <c r="Q4" s="22"/>
      <c r="R4" s="23"/>
      <c r="S4" s="23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27" customHeight="1" thickBo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3"/>
      <c r="S5" s="23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ht="26.1" customHeight="1" thickBot="1">
      <c r="A6" s="22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23"/>
      <c r="P6" s="23"/>
      <c r="Q6" s="23"/>
      <c r="R6" s="23"/>
      <c r="S6" s="23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ht="21.75" customHeight="1">
      <c r="A7" s="22"/>
      <c r="B7" s="14"/>
      <c r="C7" s="150" t="s">
        <v>1</v>
      </c>
      <c r="D7" s="151" t="s">
        <v>2</v>
      </c>
      <c r="E7" s="151" t="s">
        <v>56</v>
      </c>
      <c r="F7" s="152" t="s">
        <v>4</v>
      </c>
      <c r="G7" s="522" t="s">
        <v>5</v>
      </c>
      <c r="H7" s="524" t="s">
        <v>6</v>
      </c>
      <c r="I7" s="153" t="s">
        <v>7</v>
      </c>
      <c r="J7" s="151" t="s">
        <v>8</v>
      </c>
      <c r="K7" s="151" t="s">
        <v>9</v>
      </c>
      <c r="L7" s="151" t="s">
        <v>10</v>
      </c>
      <c r="M7" s="151" t="s">
        <v>11</v>
      </c>
      <c r="N7" s="39"/>
      <c r="O7" s="40"/>
      <c r="P7" s="1523"/>
      <c r="Q7" s="1523"/>
      <c r="R7" s="23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 ht="21.75" customHeight="1">
      <c r="A8" s="22"/>
      <c r="B8" s="14"/>
      <c r="C8" s="154" t="s">
        <v>12</v>
      </c>
      <c r="D8" s="55"/>
      <c r="E8" s="102">
        <f t="shared" ref="E8:F10" si="0">SUM(E2:E5)</f>
        <v>0</v>
      </c>
      <c r="F8" s="102">
        <f t="shared" si="0"/>
        <v>0</v>
      </c>
      <c r="G8" s="523">
        <v>121</v>
      </c>
      <c r="H8" s="275"/>
      <c r="I8" s="155"/>
      <c r="J8" s="102">
        <f t="shared" ref="J8:M10" si="1">SUM(J2:J5)</f>
        <v>0</v>
      </c>
      <c r="K8" s="102">
        <f t="shared" si="1"/>
        <v>0</v>
      </c>
      <c r="L8" s="102">
        <f t="shared" si="1"/>
        <v>0</v>
      </c>
      <c r="M8" s="102">
        <f t="shared" si="1"/>
        <v>0</v>
      </c>
      <c r="N8" s="39"/>
      <c r="O8" s="40"/>
      <c r="P8" s="1009"/>
      <c r="Q8" s="1009"/>
      <c r="R8" s="23"/>
      <c r="S8" s="23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ht="21.75" customHeight="1">
      <c r="A9" s="22"/>
      <c r="B9" s="14"/>
      <c r="C9" s="154" t="s">
        <v>13</v>
      </c>
      <c r="D9" s="55"/>
      <c r="E9" s="102">
        <f t="shared" si="0"/>
        <v>0</v>
      </c>
      <c r="F9" s="102">
        <f t="shared" si="0"/>
        <v>0</v>
      </c>
      <c r="G9" s="523">
        <v>224</v>
      </c>
      <c r="H9" s="275"/>
      <c r="I9" s="155"/>
      <c r="J9" s="102">
        <f t="shared" si="1"/>
        <v>0</v>
      </c>
      <c r="K9" s="102">
        <f t="shared" si="1"/>
        <v>0</v>
      </c>
      <c r="L9" s="102">
        <f t="shared" si="1"/>
        <v>0</v>
      </c>
      <c r="M9" s="102">
        <f t="shared" si="1"/>
        <v>0</v>
      </c>
      <c r="N9" s="39"/>
      <c r="O9" s="40"/>
      <c r="P9" s="1009"/>
      <c r="Q9" s="1009"/>
      <c r="R9" s="23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 ht="21.75" customHeight="1">
      <c r="A10" s="22"/>
      <c r="B10" s="14"/>
      <c r="C10" s="154" t="s">
        <v>14</v>
      </c>
      <c r="D10" s="55"/>
      <c r="E10" s="102">
        <f t="shared" si="0"/>
        <v>0</v>
      </c>
      <c r="F10" s="102">
        <f t="shared" si="0"/>
        <v>0</v>
      </c>
      <c r="G10" s="523">
        <v>231</v>
      </c>
      <c r="H10" s="275"/>
      <c r="I10" s="155"/>
      <c r="J10" s="102">
        <f t="shared" si="1"/>
        <v>0</v>
      </c>
      <c r="K10" s="102">
        <f t="shared" si="1"/>
        <v>0</v>
      </c>
      <c r="L10" s="102">
        <f t="shared" si="1"/>
        <v>0</v>
      </c>
      <c r="M10" s="102">
        <f t="shared" si="1"/>
        <v>0</v>
      </c>
      <c r="N10" s="39"/>
      <c r="O10" s="40"/>
      <c r="P10" s="1009"/>
      <c r="Q10" s="1009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ht="21.75" customHeight="1" thickBot="1">
      <c r="A11" s="22"/>
      <c r="B11" s="14"/>
      <c r="C11" s="135" t="s">
        <v>15</v>
      </c>
      <c r="D11" s="136"/>
      <c r="E11" s="156">
        <f>SUM(E5:E10)</f>
        <v>0</v>
      </c>
      <c r="F11" s="156">
        <f>SUM(F5:F10)</f>
        <v>0</v>
      </c>
      <c r="G11" s="289">
        <v>223</v>
      </c>
      <c r="H11" s="276"/>
      <c r="I11" s="157"/>
      <c r="J11" s="156">
        <f t="shared" ref="J11:M11" si="2">SUM(J5:J10)</f>
        <v>0</v>
      </c>
      <c r="K11" s="156">
        <f t="shared" si="2"/>
        <v>0</v>
      </c>
      <c r="L11" s="156">
        <f t="shared" si="2"/>
        <v>0</v>
      </c>
      <c r="M11" s="156">
        <f t="shared" si="2"/>
        <v>0</v>
      </c>
      <c r="N11" s="39"/>
      <c r="O11" s="40"/>
      <c r="P11" s="1009"/>
      <c r="Q11" s="1009"/>
      <c r="R11" s="23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ht="21.75" customHeight="1" thickBot="1">
      <c r="A12" s="22"/>
      <c r="B12" s="14"/>
      <c r="C12" s="126"/>
      <c r="D12" s="51"/>
      <c r="E12" s="128"/>
      <c r="F12" s="128"/>
      <c r="G12" s="127"/>
      <c r="H12" s="128"/>
      <c r="I12" s="128"/>
      <c r="J12" s="128"/>
      <c r="K12" s="128"/>
      <c r="L12" s="128"/>
      <c r="M12" s="128"/>
      <c r="N12" s="39"/>
      <c r="O12" s="40"/>
      <c r="P12" s="1009"/>
      <c r="Q12" s="1009"/>
      <c r="R12" s="23"/>
      <c r="S12" s="23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ht="19.149999999999999" customHeight="1">
      <c r="A13" s="22"/>
      <c r="B13" s="14"/>
      <c r="C13" s="1547">
        <v>2016</v>
      </c>
      <c r="D13" s="138" t="s">
        <v>16</v>
      </c>
      <c r="E13" s="171"/>
      <c r="F13" s="172"/>
      <c r="G13" s="173">
        <f>17+10+13</f>
        <v>40</v>
      </c>
      <c r="H13" s="507"/>
      <c r="I13" s="140"/>
      <c r="J13" s="290">
        <f>17+10+13</f>
        <v>40</v>
      </c>
      <c r="K13" s="161">
        <v>0</v>
      </c>
      <c r="L13" s="161">
        <v>0</v>
      </c>
      <c r="M13" s="291">
        <v>0</v>
      </c>
      <c r="N13" s="39"/>
      <c r="O13" s="40"/>
      <c r="P13" s="1009"/>
      <c r="Q13" s="1009"/>
      <c r="R13" s="23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ht="19.149999999999999" customHeight="1">
      <c r="A14" s="22"/>
      <c r="B14" s="14"/>
      <c r="C14" s="1548"/>
      <c r="D14" s="44" t="s">
        <v>17</v>
      </c>
      <c r="E14" s="65"/>
      <c r="F14" s="64"/>
      <c r="G14" s="506">
        <f>22+21+22</f>
        <v>65</v>
      </c>
      <c r="H14" s="508"/>
      <c r="I14" s="141"/>
      <c r="J14" s="292">
        <f>22+21+21</f>
        <v>64</v>
      </c>
      <c r="K14" s="99">
        <v>0</v>
      </c>
      <c r="L14" s="99">
        <v>0</v>
      </c>
      <c r="M14" s="175">
        <v>1</v>
      </c>
      <c r="N14" s="39"/>
      <c r="O14" s="40"/>
      <c r="P14" s="1009"/>
      <c r="Q14" s="1009"/>
      <c r="R14" s="23"/>
      <c r="S14" s="23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ht="19.149999999999999" customHeight="1">
      <c r="A15" s="22"/>
      <c r="B15" s="14"/>
      <c r="C15" s="1548"/>
      <c r="D15" s="44" t="s">
        <v>18</v>
      </c>
      <c r="E15" s="61">
        <f>0+0+7</f>
        <v>7</v>
      </c>
      <c r="F15" s="66"/>
      <c r="G15" s="506">
        <f>13+0+17</f>
        <v>30</v>
      </c>
      <c r="H15" s="508"/>
      <c r="I15" s="141"/>
      <c r="J15" s="292">
        <f>13+17</f>
        <v>30</v>
      </c>
      <c r="K15" s="99">
        <v>0</v>
      </c>
      <c r="L15" s="99">
        <v>0</v>
      </c>
      <c r="M15" s="163">
        <v>0</v>
      </c>
      <c r="N15" s="39"/>
      <c r="O15" s="40"/>
      <c r="P15" s="1009"/>
      <c r="Q15" s="1009"/>
      <c r="R15" s="23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ht="19.149999999999999" customHeight="1">
      <c r="A16" s="22"/>
      <c r="B16" s="14"/>
      <c r="C16" s="1549"/>
      <c r="D16" s="44" t="s">
        <v>19</v>
      </c>
      <c r="E16" s="61">
        <f>3+5+4</f>
        <v>12</v>
      </c>
      <c r="F16" s="66"/>
      <c r="G16" s="506">
        <f>20+8+12</f>
        <v>40</v>
      </c>
      <c r="H16" s="508"/>
      <c r="I16" s="141"/>
      <c r="J16" s="292">
        <f>12+8+20</f>
        <v>40</v>
      </c>
      <c r="K16" s="99">
        <v>0</v>
      </c>
      <c r="L16" s="99">
        <v>0</v>
      </c>
      <c r="M16" s="163">
        <v>0</v>
      </c>
      <c r="N16" s="39"/>
      <c r="O16" s="40"/>
      <c r="P16" s="1009"/>
      <c r="Q16" s="1009"/>
      <c r="R16" s="23"/>
      <c r="S16" s="23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ht="19.149999999999999" customHeight="1" thickBot="1">
      <c r="A17" s="22"/>
      <c r="B17" s="14"/>
      <c r="C17" s="135" t="s">
        <v>20</v>
      </c>
      <c r="D17" s="136"/>
      <c r="E17" s="164">
        <f t="shared" ref="E17:M17" si="3">SUM(E13:E16)</f>
        <v>19</v>
      </c>
      <c r="F17" s="137">
        <f t="shared" si="3"/>
        <v>0</v>
      </c>
      <c r="G17" s="520">
        <f t="shared" si="3"/>
        <v>175</v>
      </c>
      <c r="H17" s="281"/>
      <c r="I17" s="131"/>
      <c r="J17" s="281">
        <f>SUM(J13:J16)</f>
        <v>174</v>
      </c>
      <c r="K17" s="130">
        <f t="shared" si="3"/>
        <v>0</v>
      </c>
      <c r="L17" s="130">
        <f t="shared" si="3"/>
        <v>0</v>
      </c>
      <c r="M17" s="131">
        <f t="shared" si="3"/>
        <v>1</v>
      </c>
      <c r="N17" s="39"/>
      <c r="O17" s="40"/>
      <c r="P17" s="1009"/>
      <c r="Q17" s="1009"/>
      <c r="R17" s="23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ht="19.149999999999999" customHeight="1" thickBot="1">
      <c r="A18" s="22"/>
      <c r="B18" s="14"/>
      <c r="C18" s="126"/>
      <c r="D18" s="51"/>
      <c r="E18" s="128"/>
      <c r="F18" s="128"/>
      <c r="G18" s="127"/>
      <c r="H18" s="127"/>
      <c r="I18" s="127"/>
      <c r="J18" s="128"/>
      <c r="K18" s="128"/>
      <c r="L18" s="128"/>
      <c r="M18" s="128"/>
      <c r="N18" s="39"/>
      <c r="O18" s="40"/>
      <c r="P18" s="1009"/>
      <c r="Q18" s="1009"/>
      <c r="R18" s="23"/>
      <c r="S18" s="23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ht="19.149999999999999" customHeight="1">
      <c r="A19" s="22"/>
      <c r="B19" s="14"/>
      <c r="C19" s="1547">
        <v>2017</v>
      </c>
      <c r="D19" s="132" t="s">
        <v>16</v>
      </c>
      <c r="E19" s="173">
        <v>4</v>
      </c>
      <c r="F19" s="174"/>
      <c r="G19" s="509">
        <f>8+19+6</f>
        <v>33</v>
      </c>
      <c r="H19" s="511"/>
      <c r="I19" s="133"/>
      <c r="J19" s="293">
        <f>8+19+8</f>
        <v>35</v>
      </c>
      <c r="K19" s="166">
        <v>0</v>
      </c>
      <c r="L19" s="166">
        <v>0</v>
      </c>
      <c r="M19" s="167">
        <v>0</v>
      </c>
      <c r="N19" s="38"/>
      <c r="O19" s="36"/>
      <c r="P19" s="36"/>
      <c r="Q19" s="36"/>
      <c r="R19" s="23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19.149999999999999" customHeight="1">
      <c r="A20" s="22"/>
      <c r="B20" s="14"/>
      <c r="C20" s="1548"/>
      <c r="D20" s="20" t="s">
        <v>17</v>
      </c>
      <c r="E20" s="61">
        <v>5</v>
      </c>
      <c r="F20" s="67"/>
      <c r="G20" s="510">
        <f>16+10+14</f>
        <v>40</v>
      </c>
      <c r="H20" s="512"/>
      <c r="I20" s="134"/>
      <c r="J20" s="294">
        <f>14+10+16</f>
        <v>40</v>
      </c>
      <c r="K20" s="100">
        <v>0</v>
      </c>
      <c r="L20" s="100">
        <v>0</v>
      </c>
      <c r="M20" s="295">
        <v>0</v>
      </c>
      <c r="N20" s="38"/>
      <c r="O20" s="36"/>
      <c r="P20" s="36"/>
      <c r="Q20" s="36"/>
      <c r="R20" s="23"/>
      <c r="S20" s="23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19.149999999999999" customHeight="1">
      <c r="A21" s="22"/>
      <c r="B21" s="14"/>
      <c r="C21" s="1548"/>
      <c r="D21" s="20" t="s">
        <v>18</v>
      </c>
      <c r="E21" s="61">
        <v>3</v>
      </c>
      <c r="F21" s="67"/>
      <c r="G21" s="510">
        <f>15+4+13</f>
        <v>32</v>
      </c>
      <c r="H21" s="512"/>
      <c r="I21" s="134"/>
      <c r="J21" s="294">
        <f>12+4+13</f>
        <v>29</v>
      </c>
      <c r="K21" s="62">
        <v>3</v>
      </c>
      <c r="L21" s="100">
        <v>0</v>
      </c>
      <c r="M21" s="295">
        <v>0</v>
      </c>
      <c r="N21" s="38"/>
      <c r="O21" s="36"/>
      <c r="P21" s="36"/>
      <c r="Q21" s="36"/>
      <c r="R21" s="23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ht="19.149999999999999" customHeight="1">
      <c r="A22" s="22"/>
      <c r="B22" s="14"/>
      <c r="C22" s="1549"/>
      <c r="D22" s="20" t="s">
        <v>19</v>
      </c>
      <c r="E22" s="61">
        <v>10</v>
      </c>
      <c r="F22" s="68"/>
      <c r="G22" s="510">
        <f>32+12+19</f>
        <v>63</v>
      </c>
      <c r="H22" s="512"/>
      <c r="I22" s="134"/>
      <c r="J22" s="294">
        <f>18+11+27</f>
        <v>56</v>
      </c>
      <c r="K22" s="62">
        <f>4+1</f>
        <v>5</v>
      </c>
      <c r="L22" s="100">
        <v>0</v>
      </c>
      <c r="M22" s="296">
        <v>1</v>
      </c>
      <c r="N22" s="38"/>
      <c r="O22" s="36"/>
      <c r="P22" s="36"/>
      <c r="Q22" s="36"/>
      <c r="R22" s="23"/>
      <c r="S22" s="23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ht="19.149999999999999" customHeight="1" thickBot="1">
      <c r="A23" s="22"/>
      <c r="B23" s="14"/>
      <c r="C23" s="135" t="s">
        <v>22</v>
      </c>
      <c r="D23" s="136"/>
      <c r="E23" s="164">
        <f t="shared" ref="E23:M23" si="4">SUM(E19:E22)</f>
        <v>22</v>
      </c>
      <c r="F23" s="137">
        <f t="shared" si="4"/>
        <v>0</v>
      </c>
      <c r="G23" s="520">
        <f t="shared" si="4"/>
        <v>168</v>
      </c>
      <c r="H23" s="281"/>
      <c r="I23" s="131"/>
      <c r="J23" s="281">
        <f t="shared" si="4"/>
        <v>160</v>
      </c>
      <c r="K23" s="130">
        <f t="shared" si="4"/>
        <v>8</v>
      </c>
      <c r="L23" s="130">
        <f t="shared" si="4"/>
        <v>0</v>
      </c>
      <c r="M23" s="131">
        <f t="shared" si="4"/>
        <v>1</v>
      </c>
      <c r="N23" s="38"/>
      <c r="O23" s="36"/>
      <c r="P23" s="36"/>
      <c r="Q23" s="36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ht="19.149999999999999" customHeight="1" thickBot="1">
      <c r="A24" s="22"/>
      <c r="B24" s="14"/>
      <c r="C24" s="126"/>
      <c r="D24" s="51"/>
      <c r="E24" s="128"/>
      <c r="F24" s="128"/>
      <c r="G24" s="127"/>
      <c r="H24" s="127"/>
      <c r="I24" s="127"/>
      <c r="J24" s="128"/>
      <c r="K24" s="128"/>
      <c r="L24" s="128"/>
      <c r="M24" s="128"/>
      <c r="N24" s="38"/>
      <c r="O24" s="36"/>
      <c r="P24" s="36"/>
      <c r="Q24" s="36"/>
      <c r="R24" s="23"/>
      <c r="S24" s="23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ht="19.149999999999999" customHeight="1">
      <c r="A25" s="22"/>
      <c r="B25" s="14"/>
      <c r="C25" s="1547">
        <v>2018</v>
      </c>
      <c r="D25" s="170" t="s">
        <v>16</v>
      </c>
      <c r="E25" s="505">
        <f>[1]BILAN_HP!$E$25</f>
        <v>5</v>
      </c>
      <c r="F25" s="505">
        <f>[1]BILAN_HP!$F$25</f>
        <v>21</v>
      </c>
      <c r="G25" s="503">
        <f>[1]BILAN_HP!$G$25</f>
        <v>53</v>
      </c>
      <c r="H25" s="514">
        <f>[1]BILAN_HP!$H$25</f>
        <v>44</v>
      </c>
      <c r="I25" s="146">
        <f>[1]BILAN_HP!$I$25</f>
        <v>9</v>
      </c>
      <c r="J25" s="286">
        <f>[1]BILAN_HP!$J$25</f>
        <v>40</v>
      </c>
      <c r="K25" s="264">
        <f>[1]BILAN_HP!$K$25</f>
        <v>12</v>
      </c>
      <c r="L25" s="264">
        <f>[1]BILAN_HP!$L$25</f>
        <v>1</v>
      </c>
      <c r="M25" s="265">
        <f>[1]BILAN_HP!$M$25</f>
        <v>0</v>
      </c>
      <c r="N25" s="16"/>
      <c r="O25" s="1013"/>
      <c r="P25" s="1013"/>
      <c r="Q25" s="1013"/>
      <c r="R25" s="23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ht="19.149999999999999" customHeight="1">
      <c r="A26" s="22"/>
      <c r="B26" s="14"/>
      <c r="C26" s="1548"/>
      <c r="D26" s="10" t="s">
        <v>17</v>
      </c>
      <c r="E26" s="504">
        <f>[1]BILAN_HP!$E$26</f>
        <v>10</v>
      </c>
      <c r="F26" s="504">
        <f>[1]BILAN_HP!$F$26</f>
        <v>39</v>
      </c>
      <c r="G26" s="513">
        <f>[1]BILAN_HP!$G$26</f>
        <v>87</v>
      </c>
      <c r="H26" s="515">
        <f>[1]BILAN_HP!$H$26</f>
        <v>55</v>
      </c>
      <c r="I26" s="516">
        <f>[1]BILAN_HP!$I$26</f>
        <v>30</v>
      </c>
      <c r="J26" s="287">
        <f>[1]BILAN_HP!$J$26</f>
        <v>53</v>
      </c>
      <c r="K26" s="266">
        <f>[1]BILAN_HP!$K$26</f>
        <v>30</v>
      </c>
      <c r="L26" s="266">
        <f>[1]BILAN_HP!$L$26</f>
        <v>4</v>
      </c>
      <c r="M26" s="263">
        <f>[1]BILAN_HP!$M$26</f>
        <v>0</v>
      </c>
      <c r="N26" s="16"/>
      <c r="O26" s="1013"/>
      <c r="P26" s="1013"/>
      <c r="Q26" s="41"/>
      <c r="R26" s="23"/>
      <c r="S26" s="23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ht="19.149999999999999" customHeight="1">
      <c r="A27" s="22"/>
      <c r="B27" s="14"/>
      <c r="C27" s="1548"/>
      <c r="D27" s="10" t="s">
        <v>18</v>
      </c>
      <c r="E27" s="504">
        <f>[1]BILAN_HP!$E$27</f>
        <v>8</v>
      </c>
      <c r="F27" s="504">
        <f>[1]BILAN_HP!$F$27</f>
        <v>30</v>
      </c>
      <c r="G27" s="513">
        <f>[1]BILAN_HP!$G$27</f>
        <v>55</v>
      </c>
      <c r="H27" s="515">
        <f>[1]BILAN_HP!$H$27</f>
        <v>46</v>
      </c>
      <c r="I27" s="516">
        <f>[1]BILAN_HP!$I$27</f>
        <v>9</v>
      </c>
      <c r="J27" s="287">
        <f>[1]BILAN_HP!$J$27</f>
        <v>40</v>
      </c>
      <c r="K27" s="266">
        <f>[1]BILAN_HP!$K$27</f>
        <v>15</v>
      </c>
      <c r="L27" s="266">
        <f>[1]BILAN_HP!$L$27</f>
        <v>0</v>
      </c>
      <c r="M27" s="267">
        <f>[1]BILAN_HP!$M$27</f>
        <v>0</v>
      </c>
      <c r="N27" s="43"/>
      <c r="O27" s="1013"/>
      <c r="P27" s="1013"/>
      <c r="Q27" s="37"/>
      <c r="R27" s="23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ht="19.149999999999999" customHeight="1">
      <c r="A28" s="22"/>
      <c r="B28" s="14"/>
      <c r="C28" s="1549"/>
      <c r="D28" s="268" t="s">
        <v>19</v>
      </c>
      <c r="E28" s="504">
        <f>[1]BILAN_HP!$E$28</f>
        <v>8</v>
      </c>
      <c r="F28" s="504">
        <f>[1]BILAN_HP!$F$28</f>
        <v>22</v>
      </c>
      <c r="G28" s="513">
        <f>[1]BILAN_HP!$G$28</f>
        <v>38</v>
      </c>
      <c r="H28" s="515">
        <f>[1]BILAN_HP!$H$28</f>
        <v>32</v>
      </c>
      <c r="I28" s="516">
        <f>[1]BILAN_HP!$I$28</f>
        <v>6</v>
      </c>
      <c r="J28" s="288">
        <f>[1]BILAN_HP!$J$28</f>
        <v>33</v>
      </c>
      <c r="K28" s="56">
        <f>[1]BILAN_HP!$K$28</f>
        <v>4</v>
      </c>
      <c r="L28" s="56">
        <f>[1]BILAN_HP!$L$28</f>
        <v>0</v>
      </c>
      <c r="M28" s="272">
        <f>[1]BILAN_HP!$M$28</f>
        <v>0</v>
      </c>
      <c r="N28" s="16"/>
      <c r="O28" s="1013"/>
      <c r="P28" s="1013"/>
      <c r="Q28" s="1013"/>
      <c r="R28" s="23"/>
      <c r="S28" s="23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19.149999999999999" customHeight="1" thickBot="1">
      <c r="A29" s="22"/>
      <c r="B29" s="14"/>
      <c r="C29" s="135" t="s">
        <v>29</v>
      </c>
      <c r="D29" s="136"/>
      <c r="E29" s="164">
        <f t="shared" ref="E29:M29" si="5">SUM(E25:E28)</f>
        <v>31</v>
      </c>
      <c r="F29" s="130">
        <f t="shared" si="5"/>
        <v>112</v>
      </c>
      <c r="G29" s="289">
        <f>SUM(G25:G28)</f>
        <v>233</v>
      </c>
      <c r="H29" s="281">
        <f>SUM(H25:H28)</f>
        <v>177</v>
      </c>
      <c r="I29" s="131">
        <f>SUM(I25:I28)</f>
        <v>54</v>
      </c>
      <c r="J29" s="281">
        <f t="shared" si="5"/>
        <v>166</v>
      </c>
      <c r="K29" s="130">
        <f t="shared" si="5"/>
        <v>61</v>
      </c>
      <c r="L29" s="130">
        <f t="shared" si="5"/>
        <v>5</v>
      </c>
      <c r="M29" s="131">
        <f t="shared" si="5"/>
        <v>0</v>
      </c>
      <c r="N29" s="16"/>
      <c r="O29" s="1013"/>
      <c r="P29" s="1013"/>
      <c r="Q29" s="1013"/>
      <c r="R29" s="23"/>
      <c r="S29" s="23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s="594" customFormat="1" ht="19.149999999999999" customHeight="1" thickBot="1">
      <c r="B30" s="14"/>
      <c r="C30" s="126"/>
      <c r="D30" s="51"/>
      <c r="E30" s="673"/>
      <c r="F30" s="127"/>
      <c r="G30" s="127"/>
      <c r="H30" s="127"/>
      <c r="I30" s="127"/>
      <c r="J30" s="127"/>
      <c r="K30" s="127"/>
      <c r="L30" s="127"/>
      <c r="M30" s="127"/>
      <c r="N30" s="16"/>
      <c r="O30" s="1013"/>
      <c r="P30" s="1013"/>
      <c r="Q30" s="1013"/>
      <c r="R30" s="23"/>
      <c r="S30" s="23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s="594" customFormat="1" ht="19.149999999999999" customHeight="1">
      <c r="B31" s="14"/>
      <c r="C31" s="1547">
        <v>2019</v>
      </c>
      <c r="D31" s="170" t="s">
        <v>16</v>
      </c>
      <c r="E31" s="505">
        <v>14</v>
      </c>
      <c r="F31" s="505">
        <v>71</v>
      </c>
      <c r="G31" s="503">
        <v>75</v>
      </c>
      <c r="H31" s="514">
        <v>74</v>
      </c>
      <c r="I31" s="146">
        <v>1</v>
      </c>
      <c r="J31" s="286">
        <v>44</v>
      </c>
      <c r="K31" s="264">
        <v>31</v>
      </c>
      <c r="L31" s="264">
        <v>0</v>
      </c>
      <c r="M31" s="265">
        <f>[1]BILAN_HP!$M$25</f>
        <v>0</v>
      </c>
      <c r="N31" s="16"/>
      <c r="O31" s="1013"/>
      <c r="P31" s="1013"/>
      <c r="Q31" s="1013"/>
      <c r="R31" s="23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s="594" customFormat="1" ht="19.149999999999999" customHeight="1">
      <c r="B32" s="14"/>
      <c r="C32" s="1548"/>
      <c r="D32" s="10" t="s">
        <v>17</v>
      </c>
      <c r="E32" s="504">
        <v>13</v>
      </c>
      <c r="F32" s="504">
        <v>45</v>
      </c>
      <c r="G32" s="513">
        <v>53</v>
      </c>
      <c r="H32" s="515">
        <v>45</v>
      </c>
      <c r="I32" s="516">
        <v>8</v>
      </c>
      <c r="J32" s="287">
        <v>33</v>
      </c>
      <c r="K32" s="266">
        <v>20</v>
      </c>
      <c r="L32" s="266">
        <v>0</v>
      </c>
      <c r="M32" s="263">
        <v>0</v>
      </c>
      <c r="N32" s="16"/>
      <c r="O32" s="1013"/>
      <c r="P32" s="1013"/>
      <c r="Q32" s="1013"/>
      <c r="R32" s="23"/>
      <c r="S32" s="23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s="594" customFormat="1" ht="19.149999999999999" customHeight="1">
      <c r="B33" s="14"/>
      <c r="C33" s="1548"/>
      <c r="D33" s="10" t="s">
        <v>18</v>
      </c>
      <c r="E33" s="504">
        <v>11</v>
      </c>
      <c r="F33" s="504">
        <v>52</v>
      </c>
      <c r="G33" s="513">
        <v>44</v>
      </c>
      <c r="H33" s="515">
        <v>44</v>
      </c>
      <c r="I33" s="516">
        <v>0</v>
      </c>
      <c r="J33" s="287">
        <v>23</v>
      </c>
      <c r="K33" s="266">
        <v>17</v>
      </c>
      <c r="L33" s="266">
        <v>3</v>
      </c>
      <c r="M33" s="267">
        <f>[1]BILAN_HP!$M$27</f>
        <v>0</v>
      </c>
      <c r="N33" s="16"/>
      <c r="O33" s="1013"/>
      <c r="P33" s="1013"/>
      <c r="Q33" s="1013"/>
      <c r="R33" s="23"/>
      <c r="S33" s="23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s="594" customFormat="1" ht="19.149999999999999" customHeight="1">
      <c r="B34" s="14"/>
      <c r="C34" s="1549"/>
      <c r="D34" s="268" t="s">
        <v>19</v>
      </c>
      <c r="E34" s="504">
        <v>15</v>
      </c>
      <c r="F34" s="504">
        <v>43</v>
      </c>
      <c r="G34" s="513">
        <v>77</v>
      </c>
      <c r="H34" s="515">
        <v>68</v>
      </c>
      <c r="I34" s="516">
        <v>7</v>
      </c>
      <c r="J34" s="288">
        <v>69</v>
      </c>
      <c r="K34" s="56">
        <v>6</v>
      </c>
      <c r="L34" s="56">
        <v>1</v>
      </c>
      <c r="M34" s="272">
        <f>[1]BILAN_HP!$M$28</f>
        <v>0</v>
      </c>
      <c r="N34" s="16"/>
      <c r="O34" s="1013"/>
      <c r="P34" s="1013"/>
      <c r="Q34" s="1013"/>
      <c r="R34" s="23"/>
      <c r="S34" s="23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s="594" customFormat="1" ht="19.149999999999999" customHeight="1" thickBot="1">
      <c r="B35" s="14"/>
      <c r="C35" s="135" t="s">
        <v>31</v>
      </c>
      <c r="D35" s="136"/>
      <c r="E35" s="164">
        <f t="shared" ref="E35:F35" si="6">SUM(E31:E34)</f>
        <v>53</v>
      </c>
      <c r="F35" s="130">
        <f t="shared" si="6"/>
        <v>211</v>
      </c>
      <c r="G35" s="289">
        <f>SUM(G31:G34)</f>
        <v>249</v>
      </c>
      <c r="H35" s="281">
        <f>SUM(H31:H34)</f>
        <v>231</v>
      </c>
      <c r="I35" s="131">
        <f>SUM(I31:I34)</f>
        <v>16</v>
      </c>
      <c r="J35" s="281">
        <f t="shared" ref="J35:M35" si="7">SUM(J31:J34)</f>
        <v>169</v>
      </c>
      <c r="K35" s="130">
        <f t="shared" si="7"/>
        <v>74</v>
      </c>
      <c r="L35" s="130">
        <f t="shared" si="7"/>
        <v>4</v>
      </c>
      <c r="M35" s="131">
        <f t="shared" si="7"/>
        <v>0</v>
      </c>
      <c r="N35" s="16"/>
      <c r="O35" s="1013"/>
      <c r="P35" s="1013"/>
      <c r="Q35" s="1013"/>
      <c r="R35" s="23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s="594" customFormat="1" ht="23.25" customHeight="1" thickBot="1">
      <c r="B36" s="14"/>
      <c r="C36" s="50"/>
      <c r="D36" s="51"/>
      <c r="E36" s="93"/>
      <c r="F36" s="1025"/>
      <c r="G36" s="48"/>
      <c r="H36" s="48"/>
      <c r="I36" s="48"/>
      <c r="J36" s="1025"/>
      <c r="K36" s="1025"/>
      <c r="L36" s="1025"/>
      <c r="M36" s="1025"/>
      <c r="N36" s="16"/>
      <c r="O36" s="1013"/>
      <c r="P36" s="1013"/>
      <c r="Q36" s="1013"/>
      <c r="R36" s="23"/>
      <c r="S36" s="23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1:31" ht="18.75">
      <c r="A37" s="23"/>
      <c r="B37" s="14"/>
      <c r="C37" s="1547">
        <v>2020</v>
      </c>
      <c r="D37" s="170" t="s">
        <v>16</v>
      </c>
      <c r="E37" s="271">
        <f>SUM(Janv!F147+Fev!F138+Mars!F142)</f>
        <v>13</v>
      </c>
      <c r="F37" s="271">
        <f>SUM(Janv!I147+Fev!I138+Mars!I142)</f>
        <v>67</v>
      </c>
      <c r="G37" s="271">
        <f>Janv!N36+Fev!N30+Mars!N28</f>
        <v>82</v>
      </c>
      <c r="H37" s="518">
        <f>D135</f>
        <v>70</v>
      </c>
      <c r="I37" s="146">
        <f>E135</f>
        <v>12</v>
      </c>
      <c r="J37" s="300">
        <f>SUM(Janv!K135+Fev!K126+Mars!K130)</f>
        <v>41</v>
      </c>
      <c r="K37" s="301">
        <f>SUM(Janv!K136+Fev!K127+Mars!K131)</f>
        <v>41</v>
      </c>
      <c r="L37" s="301">
        <f>SUM(Janv!K137+Fev!K128+Mars!K132)</f>
        <v>0</v>
      </c>
      <c r="M37" s="302">
        <f>SUM(Janv!K138+Fev!K129+Mars!K133)</f>
        <v>0</v>
      </c>
      <c r="N37" s="16"/>
      <c r="O37" s="1013"/>
      <c r="P37" s="1013"/>
      <c r="Q37" s="1013"/>
      <c r="R37" s="23"/>
      <c r="S37" s="23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ht="18.75">
      <c r="A38" s="23"/>
      <c r="B38" s="14"/>
      <c r="C38" s="1548"/>
      <c r="D38" s="10" t="s">
        <v>17</v>
      </c>
      <c r="E38" s="534">
        <f>SUM(Avr!F139+Mai!F149+Juin!F157)</f>
        <v>11</v>
      </c>
      <c r="F38" s="534">
        <f>SUM(Avr!I139+Mai!I149+Juin!I157)</f>
        <v>36</v>
      </c>
      <c r="G38" s="525">
        <f>Avr!N32+Mai!N31+Juin!N35</f>
        <v>56</v>
      </c>
      <c r="H38" s="515">
        <f>G135</f>
        <v>49</v>
      </c>
      <c r="I38" s="147">
        <f>H135</f>
        <v>6</v>
      </c>
      <c r="J38" s="535">
        <f>SUM(Avr!K127+Mai!K137+Juin!K145)</f>
        <v>28</v>
      </c>
      <c r="K38" s="536">
        <f>SUM(Avr!K128+Mai!K138+Juin!K146)</f>
        <v>28</v>
      </c>
      <c r="L38" s="536">
        <f>SUM(Avr!K129+Mai!K139+Juin!K147)</f>
        <v>0</v>
      </c>
      <c r="M38" s="537">
        <f>SUM(Avr!K130+Mai!K140+Juin!K148)</f>
        <v>0</v>
      </c>
      <c r="N38" s="16"/>
      <c r="O38" s="1013"/>
      <c r="P38" s="1013"/>
      <c r="Q38" s="1013"/>
      <c r="R38" s="23"/>
      <c r="S38" s="23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ht="18.75">
      <c r="A39" s="23"/>
      <c r="B39" s="14"/>
      <c r="C39" s="1548"/>
      <c r="D39" s="10" t="s">
        <v>18</v>
      </c>
      <c r="E39" s="905">
        <f>SUM(Juill!F170+Aout!F143+Sept!F151)</f>
        <v>10</v>
      </c>
      <c r="F39" s="905">
        <f>SUM(Juill!I170+Aout!I143+Sept!I151)</f>
        <v>33</v>
      </c>
      <c r="G39" s="513">
        <f>Juill!N45+Aout!N29+Sept!N45</f>
        <v>29</v>
      </c>
      <c r="H39" s="515">
        <f>J135</f>
        <v>29</v>
      </c>
      <c r="I39" s="913">
        <f>K135</f>
        <v>0</v>
      </c>
      <c r="J39" s="906">
        <f>SUM(Juill!K158+Aout!K131+Sept!K139)</f>
        <v>20</v>
      </c>
      <c r="K39" s="907">
        <f>SUM(Juill!K159+Aout!K132+Sept!K140)</f>
        <v>9</v>
      </c>
      <c r="L39" s="907">
        <f>SUM(Juill!K160+Aout!K133+Sept!K141)</f>
        <v>0</v>
      </c>
      <c r="M39" s="908">
        <f>SUM(Juill!K161+Aout!K134+Sept!K142)</f>
        <v>0</v>
      </c>
      <c r="N39" s="16"/>
      <c r="O39" s="1013"/>
      <c r="P39" s="1013"/>
      <c r="Q39" s="1013"/>
      <c r="R39" s="23"/>
      <c r="S39" s="23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ht="18.75">
      <c r="A40" s="23"/>
      <c r="B40" s="14"/>
      <c r="C40" s="1549"/>
      <c r="D40" s="268" t="s">
        <v>19</v>
      </c>
      <c r="E40" s="909">
        <f>SUM(Oct!F231+Nov!F159+Dec!F183)</f>
        <v>18</v>
      </c>
      <c r="F40" s="905">
        <f>SUM(Oct!I231+Nov!I159+Dec!I183)</f>
        <v>85</v>
      </c>
      <c r="G40" s="513">
        <f>Oct!N34+Nov!N43+Dec!N45</f>
        <v>117</v>
      </c>
      <c r="H40" s="515">
        <f>M135</f>
        <v>100</v>
      </c>
      <c r="I40" s="147">
        <f>N135</f>
        <v>15</v>
      </c>
      <c r="J40" s="910">
        <f>SUM(Oct!K219+Nov!K147+Dec!K171)</f>
        <v>69</v>
      </c>
      <c r="K40" s="911">
        <f>SUM(Oct!K220+Nov!K148+Dec!K172)</f>
        <v>46</v>
      </c>
      <c r="L40" s="911">
        <f>SUM(Oct!K221+Nov!K149+Dec!K173)</f>
        <v>2</v>
      </c>
      <c r="M40" s="912">
        <f>SUM(Oct!K222+Nov!K150+Dec!K174)</f>
        <v>0</v>
      </c>
      <c r="N40" s="16"/>
      <c r="O40" s="1013"/>
      <c r="P40" s="1013"/>
      <c r="Q40" s="1013"/>
      <c r="R40" s="23"/>
      <c r="S40" s="23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ht="16.5" thickBot="1">
      <c r="A41" s="23"/>
      <c r="B41" s="14"/>
      <c r="C41" s="135" t="s">
        <v>32</v>
      </c>
      <c r="D41" s="136"/>
      <c r="E41" s="164">
        <f t="shared" ref="E41:F41" si="8">SUM(E37:E40)</f>
        <v>52</v>
      </c>
      <c r="F41" s="130">
        <f t="shared" si="8"/>
        <v>221</v>
      </c>
      <c r="G41" s="289">
        <f>SUM(G37:G40)</f>
        <v>284</v>
      </c>
      <c r="H41" s="281">
        <f>SUM(H37:H40)</f>
        <v>248</v>
      </c>
      <c r="I41" s="131">
        <f>SUM(I37:I40)</f>
        <v>33</v>
      </c>
      <c r="J41" s="281">
        <f t="shared" ref="J41:M41" si="9">SUM(J37:J40)</f>
        <v>158</v>
      </c>
      <c r="K41" s="130">
        <f t="shared" si="9"/>
        <v>124</v>
      </c>
      <c r="L41" s="130">
        <f t="shared" si="9"/>
        <v>2</v>
      </c>
      <c r="M41" s="131">
        <f t="shared" si="9"/>
        <v>0</v>
      </c>
      <c r="N41" s="16"/>
      <c r="O41" s="1013"/>
      <c r="P41" s="1013"/>
      <c r="Q41" s="1013"/>
      <c r="R41" s="23"/>
      <c r="S41" s="23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>
      <c r="A42" s="23"/>
      <c r="B42" s="14"/>
      <c r="C42" s="89"/>
      <c r="D42" s="1025"/>
      <c r="E42" s="1025"/>
      <c r="F42" s="1025"/>
      <c r="G42" s="1025"/>
      <c r="H42" s="1025"/>
      <c r="I42" s="1025"/>
      <c r="J42" s="1025"/>
      <c r="K42" s="1025"/>
      <c r="L42" s="1025"/>
      <c r="M42" s="1025"/>
      <c r="N42" s="16"/>
      <c r="O42" s="1013"/>
      <c r="P42" s="1013"/>
      <c r="Q42" s="1013"/>
      <c r="R42" s="23"/>
      <c r="S42" s="23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>
      <c r="A43" s="23"/>
      <c r="B43" s="14"/>
      <c r="C43" s="89"/>
      <c r="D43" s="1025"/>
      <c r="E43" s="1025"/>
      <c r="F43" s="1025"/>
      <c r="G43" s="1025"/>
      <c r="H43" s="1025"/>
      <c r="I43" s="1025"/>
      <c r="J43" s="1025"/>
      <c r="K43" s="1025"/>
      <c r="L43" s="1025"/>
      <c r="M43" s="1025"/>
      <c r="N43" s="16"/>
      <c r="O43" s="1013"/>
      <c r="P43" s="1013"/>
      <c r="Q43" s="1013"/>
      <c r="R43" s="23"/>
      <c r="S43" s="23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ht="31.5" customHeight="1">
      <c r="A44" s="23"/>
      <c r="B44" s="14"/>
      <c r="C44" s="1531" t="s">
        <v>58</v>
      </c>
      <c r="D44" s="1531"/>
      <c r="E44" s="1531"/>
      <c r="F44" s="1531"/>
      <c r="G44" s="1531"/>
      <c r="H44" s="1531"/>
      <c r="I44" s="1531"/>
      <c r="J44" s="1531"/>
      <c r="K44" s="1531"/>
      <c r="L44" s="1531"/>
      <c r="M44" s="1531"/>
      <c r="N44" s="52"/>
      <c r="O44" s="23"/>
      <c r="P44" s="86"/>
      <c r="Q44" s="23"/>
      <c r="R44" s="23"/>
      <c r="S44" s="23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>
      <c r="A45" s="23"/>
      <c r="B45" s="14"/>
      <c r="C45" s="1550"/>
      <c r="D45" s="1550"/>
      <c r="E45" s="1550"/>
      <c r="F45" s="1550"/>
      <c r="G45" s="1550"/>
      <c r="H45" s="1027"/>
      <c r="I45" s="1027"/>
      <c r="J45" s="49"/>
      <c r="K45" s="49"/>
      <c r="L45" s="1550"/>
      <c r="M45" s="1550"/>
      <c r="N45" s="15"/>
      <c r="O45" s="26"/>
      <c r="P45" s="86"/>
      <c r="Q45" s="26"/>
      <c r="R45" s="23"/>
      <c r="S45" s="23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>
      <c r="A46" s="23"/>
      <c r="B46" s="14"/>
      <c r="C46" s="1550"/>
      <c r="D46" s="1550"/>
      <c r="E46" s="1550"/>
      <c r="F46" s="1550"/>
      <c r="G46" s="1550"/>
      <c r="H46" s="1027"/>
      <c r="I46" s="1027"/>
      <c r="J46" s="49"/>
      <c r="K46" s="49"/>
      <c r="L46" s="1550"/>
      <c r="M46" s="1550"/>
      <c r="N46" s="15"/>
      <c r="O46" s="26"/>
      <c r="P46" s="86"/>
      <c r="Q46" s="26"/>
      <c r="R46" s="23"/>
      <c r="S46" s="23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>
      <c r="A47" s="23"/>
      <c r="B47" s="14"/>
      <c r="C47" s="1550"/>
      <c r="D47" s="1550"/>
      <c r="E47" s="1550"/>
      <c r="F47" s="1550"/>
      <c r="G47" s="1550"/>
      <c r="H47" s="1027"/>
      <c r="I47" s="1027"/>
      <c r="J47" s="49"/>
      <c r="K47" s="49"/>
      <c r="L47" s="1550"/>
      <c r="M47" s="1550"/>
      <c r="N47" s="15"/>
      <c r="O47" s="26"/>
      <c r="P47" s="86"/>
      <c r="Q47" s="26"/>
      <c r="R47" s="23"/>
      <c r="S47" s="23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1:31">
      <c r="A48" s="23"/>
      <c r="B48" s="14"/>
      <c r="C48" s="1027"/>
      <c r="D48" s="1027"/>
      <c r="E48" s="1027"/>
      <c r="F48" s="1550"/>
      <c r="G48" s="1550"/>
      <c r="H48" s="1027"/>
      <c r="I48" s="1027"/>
      <c r="J48" s="1027"/>
      <c r="K48" s="1027"/>
      <c r="L48" s="1027"/>
      <c r="M48" s="88"/>
      <c r="N48" s="95"/>
      <c r="O48" s="30"/>
      <c r="P48" s="86"/>
      <c r="Q48" s="30"/>
      <c r="R48" s="23"/>
      <c r="S48" s="23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>
      <c r="A49" s="23"/>
      <c r="B49" s="14"/>
      <c r="C49" s="94"/>
      <c r="D49" s="1025"/>
      <c r="E49" s="1025"/>
      <c r="F49" s="1536"/>
      <c r="G49" s="1536"/>
      <c r="H49" s="1025"/>
      <c r="I49" s="1025"/>
      <c r="J49" s="1025"/>
      <c r="K49" s="88"/>
      <c r="L49" s="90"/>
      <c r="M49" s="1025"/>
      <c r="N49" s="96"/>
      <c r="O49" s="31"/>
      <c r="P49" s="86"/>
      <c r="Q49" s="31"/>
      <c r="R49" s="23"/>
      <c r="S49" s="23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>
      <c r="A50" s="23"/>
      <c r="B50" s="14"/>
      <c r="C50" s="94"/>
      <c r="D50" s="93"/>
      <c r="E50" s="1025"/>
      <c r="F50" s="1536"/>
      <c r="G50" s="1536"/>
      <c r="H50" s="1025"/>
      <c r="I50" s="1025"/>
      <c r="J50" s="1025"/>
      <c r="K50" s="88"/>
      <c r="L50" s="90"/>
      <c r="M50" s="1025"/>
      <c r="N50" s="96"/>
      <c r="O50" s="31"/>
      <c r="P50" s="86"/>
      <c r="Q50" s="31"/>
      <c r="R50" s="23"/>
      <c r="S50" s="2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>
      <c r="A51" s="23"/>
      <c r="B51" s="14"/>
      <c r="C51" s="94"/>
      <c r="D51" s="93"/>
      <c r="E51" s="1025"/>
      <c r="F51" s="1025"/>
      <c r="G51" s="1025"/>
      <c r="H51" s="1025"/>
      <c r="I51" s="1025"/>
      <c r="J51" s="1025"/>
      <c r="K51" s="88"/>
      <c r="L51" s="90"/>
      <c r="M51" s="1025"/>
      <c r="N51" s="96"/>
      <c r="O51" s="31"/>
      <c r="P51" s="86"/>
      <c r="Q51" s="31"/>
      <c r="R51" s="23"/>
      <c r="S51" s="23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>
      <c r="A52" s="23"/>
      <c r="B52" s="14"/>
      <c r="C52" s="94"/>
      <c r="D52" s="93"/>
      <c r="E52" s="1025"/>
      <c r="F52" s="1025"/>
      <c r="G52" s="1025"/>
      <c r="H52" s="1025"/>
      <c r="I52" s="1025"/>
      <c r="J52" s="1025"/>
      <c r="K52" s="88"/>
      <c r="L52" s="90"/>
      <c r="M52" s="1025"/>
      <c r="N52" s="96"/>
      <c r="O52" s="31"/>
      <c r="P52" s="86"/>
      <c r="Q52" s="31"/>
      <c r="R52" s="23"/>
      <c r="S52" s="23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>
      <c r="A53" s="23"/>
      <c r="B53" s="14"/>
      <c r="C53" s="94"/>
      <c r="D53" s="93"/>
      <c r="E53" s="1025"/>
      <c r="F53" s="1025"/>
      <c r="G53" s="1025"/>
      <c r="H53" s="1025"/>
      <c r="I53" s="1025"/>
      <c r="J53" s="1025"/>
      <c r="K53" s="88"/>
      <c r="L53" s="90"/>
      <c r="M53" s="1025"/>
      <c r="N53" s="96"/>
      <c r="O53" s="31"/>
      <c r="P53" s="86"/>
      <c r="Q53" s="31"/>
      <c r="R53" s="23"/>
      <c r="S53" s="23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>
      <c r="A54" s="23"/>
      <c r="B54" s="14"/>
      <c r="C54" s="94"/>
      <c r="D54" s="93"/>
      <c r="E54" s="1025"/>
      <c r="F54" s="1025"/>
      <c r="G54" s="1025"/>
      <c r="H54" s="1025"/>
      <c r="I54" s="1025"/>
      <c r="J54" s="1025"/>
      <c r="K54" s="88"/>
      <c r="L54" s="90"/>
      <c r="M54" s="1025"/>
      <c r="N54" s="96"/>
      <c r="O54" s="31"/>
      <c r="P54" s="86"/>
      <c r="Q54" s="31"/>
      <c r="R54" s="23"/>
      <c r="S54" s="23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>
      <c r="A55" s="23"/>
      <c r="B55" s="14"/>
      <c r="C55" s="94"/>
      <c r="D55" s="93"/>
      <c r="E55" s="1025"/>
      <c r="F55" s="1025"/>
      <c r="G55" s="1025"/>
      <c r="H55" s="1025"/>
      <c r="I55" s="1025"/>
      <c r="J55" s="1025"/>
      <c r="K55" s="88"/>
      <c r="L55" s="90"/>
      <c r="M55" s="1025"/>
      <c r="N55" s="96"/>
      <c r="O55" s="31"/>
      <c r="P55" s="86"/>
      <c r="Q55" s="31"/>
      <c r="R55" s="23"/>
      <c r="S55" s="23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>
      <c r="A56" s="23"/>
      <c r="B56" s="14"/>
      <c r="C56" s="94"/>
      <c r="D56" s="93"/>
      <c r="E56" s="1025"/>
      <c r="F56" s="1025"/>
      <c r="G56" s="1025"/>
      <c r="H56" s="1025"/>
      <c r="I56" s="1025"/>
      <c r="J56" s="1025"/>
      <c r="K56" s="88"/>
      <c r="L56" s="90"/>
      <c r="M56" s="1025"/>
      <c r="N56" s="96"/>
      <c r="O56" s="31"/>
      <c r="P56" s="86"/>
      <c r="Q56" s="31"/>
      <c r="R56" s="23"/>
      <c r="S56" s="23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>
      <c r="A57" s="23"/>
      <c r="B57" s="14"/>
      <c r="C57" s="94"/>
      <c r="D57" s="93"/>
      <c r="E57" s="1025"/>
      <c r="F57" s="1025"/>
      <c r="G57" s="1025"/>
      <c r="H57" s="1025"/>
      <c r="I57" s="1025"/>
      <c r="J57" s="1025"/>
      <c r="K57" s="88"/>
      <c r="L57" s="90"/>
      <c r="M57" s="1025"/>
      <c r="N57" s="96"/>
      <c r="O57" s="31"/>
      <c r="P57" s="86"/>
      <c r="Q57" s="31"/>
      <c r="R57" s="23"/>
      <c r="S57" s="23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>
      <c r="A58" s="23"/>
      <c r="B58" s="14"/>
      <c r="C58" s="94"/>
      <c r="D58" s="93"/>
      <c r="E58" s="1025"/>
      <c r="F58" s="1025"/>
      <c r="G58" s="1025"/>
      <c r="H58" s="1025"/>
      <c r="I58" s="1025"/>
      <c r="J58" s="1025"/>
      <c r="K58" s="88"/>
      <c r="L58" s="90"/>
      <c r="M58" s="1025"/>
      <c r="N58" s="96"/>
      <c r="O58" s="31"/>
      <c r="P58" s="86"/>
      <c r="Q58" s="31"/>
      <c r="R58" s="23"/>
      <c r="S58" s="23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>
      <c r="A59" s="23"/>
      <c r="B59" s="14"/>
      <c r="C59" s="94"/>
      <c r="D59" s="93"/>
      <c r="E59" s="1025"/>
      <c r="F59" s="1025"/>
      <c r="G59" s="1025"/>
      <c r="H59" s="1025"/>
      <c r="I59" s="1025"/>
      <c r="J59" s="1025"/>
      <c r="K59" s="88"/>
      <c r="L59" s="90"/>
      <c r="M59" s="1025"/>
      <c r="N59" s="96"/>
      <c r="O59" s="31"/>
      <c r="P59" s="86"/>
      <c r="Q59" s="31"/>
      <c r="R59" s="23"/>
      <c r="S59" s="23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>
      <c r="A60" s="23"/>
      <c r="B60" s="14"/>
      <c r="C60" s="94"/>
      <c r="D60" s="1025"/>
      <c r="E60" s="1025"/>
      <c r="F60" s="1536"/>
      <c r="G60" s="1536"/>
      <c r="H60" s="1025"/>
      <c r="I60" s="1025"/>
      <c r="J60" s="1025"/>
      <c r="K60" s="88"/>
      <c r="L60" s="90"/>
      <c r="M60" s="1025"/>
      <c r="N60" s="96"/>
      <c r="O60" s="31"/>
      <c r="P60" s="86"/>
      <c r="Q60" s="31"/>
      <c r="R60" s="23"/>
      <c r="S60" s="23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>
      <c r="A61" s="23"/>
      <c r="B61" s="14"/>
      <c r="C61" s="94"/>
      <c r="D61" s="1025"/>
      <c r="E61" s="1025"/>
      <c r="F61" s="1536"/>
      <c r="G61" s="1536"/>
      <c r="H61" s="1025"/>
      <c r="I61" s="1025"/>
      <c r="J61" s="1025"/>
      <c r="K61" s="88"/>
      <c r="L61" s="90"/>
      <c r="M61" s="1025"/>
      <c r="N61" s="96"/>
      <c r="O61" s="31"/>
      <c r="P61" s="86"/>
      <c r="Q61" s="31"/>
      <c r="R61" s="23"/>
      <c r="S61" s="23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>
      <c r="A62" s="23"/>
      <c r="B62" s="14"/>
      <c r="C62" s="94"/>
      <c r="D62" s="1025"/>
      <c r="E62" s="1025"/>
      <c r="F62" s="1025"/>
      <c r="G62" s="1025"/>
      <c r="H62" s="1025"/>
      <c r="I62" s="1025"/>
      <c r="J62" s="1025"/>
      <c r="K62" s="88"/>
      <c r="L62" s="90"/>
      <c r="M62" s="1025"/>
      <c r="N62" s="96"/>
      <c r="O62" s="31"/>
      <c r="P62" s="86"/>
      <c r="Q62" s="31"/>
      <c r="R62" s="23"/>
      <c r="S62" s="23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>
      <c r="A63" s="23"/>
      <c r="B63" s="14"/>
      <c r="C63" s="94"/>
      <c r="D63" s="1025"/>
      <c r="E63" s="1025"/>
      <c r="F63" s="1025"/>
      <c r="G63" s="1025"/>
      <c r="H63" s="1025"/>
      <c r="I63" s="1025"/>
      <c r="J63" s="1025"/>
      <c r="K63" s="88"/>
      <c r="L63" s="90"/>
      <c r="M63" s="1025"/>
      <c r="N63" s="96"/>
      <c r="O63" s="31"/>
      <c r="P63" s="86"/>
      <c r="Q63" s="31"/>
      <c r="R63" s="23"/>
      <c r="S63" s="23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>
      <c r="A64" s="23"/>
      <c r="B64" s="14"/>
      <c r="C64" s="94"/>
      <c r="D64" s="1025"/>
      <c r="E64" s="1025"/>
      <c r="F64" s="1025"/>
      <c r="G64" s="1025"/>
      <c r="H64" s="1025"/>
      <c r="I64" s="1025"/>
      <c r="J64" s="1025"/>
      <c r="K64" s="88"/>
      <c r="L64" s="90"/>
      <c r="M64" s="1025"/>
      <c r="N64" s="96"/>
      <c r="O64" s="31"/>
      <c r="P64" s="86"/>
      <c r="Q64" s="31"/>
      <c r="R64" s="23"/>
      <c r="S64" s="23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ht="34.5" customHeight="1">
      <c r="A65" s="23"/>
      <c r="B65" s="14"/>
      <c r="C65" s="1531" t="s">
        <v>59</v>
      </c>
      <c r="D65" s="1531"/>
      <c r="E65" s="1531"/>
      <c r="F65" s="1531"/>
      <c r="G65" s="1531"/>
      <c r="H65" s="1531"/>
      <c r="I65" s="1531"/>
      <c r="J65" s="1531"/>
      <c r="K65" s="1531"/>
      <c r="L65" s="1531"/>
      <c r="M65" s="1531"/>
      <c r="N65" s="96"/>
      <c r="O65" s="31"/>
      <c r="P65" s="86"/>
      <c r="Q65" s="31"/>
      <c r="R65" s="23"/>
      <c r="S65" s="23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>
      <c r="A66" s="23"/>
      <c r="B66" s="14"/>
      <c r="C66" s="94"/>
      <c r="D66" s="1025"/>
      <c r="E66" s="1025"/>
      <c r="F66" s="1025"/>
      <c r="G66" s="1025"/>
      <c r="H66" s="1025"/>
      <c r="I66" s="1025"/>
      <c r="J66" s="1025"/>
      <c r="K66" s="88"/>
      <c r="L66" s="90"/>
      <c r="M66" s="1025"/>
      <c r="N66" s="96"/>
      <c r="O66" s="31"/>
      <c r="P66" s="86"/>
      <c r="Q66" s="31"/>
      <c r="R66" s="23"/>
      <c r="S66" s="23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>
      <c r="A67" s="23"/>
      <c r="B67" s="14"/>
      <c r="C67" s="94"/>
      <c r="D67" s="1025"/>
      <c r="E67" s="1025"/>
      <c r="F67" s="1025"/>
      <c r="G67" s="1025"/>
      <c r="H67" s="1025"/>
      <c r="I67" s="1025"/>
      <c r="J67" s="1025"/>
      <c r="K67" s="88"/>
      <c r="L67" s="90"/>
      <c r="M67" s="1025"/>
      <c r="N67" s="96"/>
      <c r="O67" s="31"/>
      <c r="P67" s="86"/>
      <c r="Q67" s="31"/>
      <c r="R67" s="23"/>
      <c r="S67" s="23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>
      <c r="A68" s="23"/>
      <c r="B68" s="14"/>
      <c r="C68" s="94"/>
      <c r="D68" s="1025"/>
      <c r="E68" s="1025"/>
      <c r="F68" s="1025"/>
      <c r="G68" s="1025"/>
      <c r="H68" s="1025"/>
      <c r="I68" s="1025"/>
      <c r="J68" s="1025"/>
      <c r="K68" s="88"/>
      <c r="L68" s="90"/>
      <c r="M68" s="1025"/>
      <c r="N68" s="96"/>
      <c r="O68" s="31"/>
      <c r="P68" s="86"/>
      <c r="Q68" s="31"/>
      <c r="R68" s="23"/>
      <c r="S68" s="23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>
      <c r="A69" s="23"/>
      <c r="B69" s="14"/>
      <c r="C69" s="94"/>
      <c r="D69" s="1025"/>
      <c r="E69" s="1025"/>
      <c r="F69" s="1025"/>
      <c r="G69" s="1025"/>
      <c r="H69" s="1025"/>
      <c r="I69" s="1025"/>
      <c r="J69" s="1025"/>
      <c r="K69" s="88"/>
      <c r="L69" s="90"/>
      <c r="M69" s="1025"/>
      <c r="N69" s="96"/>
      <c r="O69" s="31"/>
      <c r="P69" s="86"/>
      <c r="Q69" s="31"/>
      <c r="R69" s="23"/>
      <c r="S69" s="23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>
      <c r="A70" s="23"/>
      <c r="B70" s="14"/>
      <c r="C70" s="94"/>
      <c r="D70" s="1025"/>
      <c r="E70" s="1025"/>
      <c r="F70" s="1025"/>
      <c r="G70" s="1025"/>
      <c r="H70" s="1025"/>
      <c r="I70" s="1025"/>
      <c r="J70" s="1025"/>
      <c r="K70" s="88"/>
      <c r="L70" s="90"/>
      <c r="M70" s="1025"/>
      <c r="N70" s="96"/>
      <c r="O70" s="31"/>
      <c r="P70" s="86"/>
      <c r="Q70" s="31"/>
      <c r="R70" s="23"/>
      <c r="S70" s="23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>
      <c r="A71" s="23"/>
      <c r="B71" s="14"/>
      <c r="C71" s="94"/>
      <c r="D71" s="1025"/>
      <c r="E71" s="1025"/>
      <c r="F71" s="1025"/>
      <c r="G71" s="1025"/>
      <c r="H71" s="1025"/>
      <c r="I71" s="1025"/>
      <c r="J71" s="1025"/>
      <c r="K71" s="88"/>
      <c r="L71" s="90"/>
      <c r="M71" s="1025"/>
      <c r="N71" s="96"/>
      <c r="O71" s="31"/>
      <c r="P71" s="86"/>
      <c r="Q71" s="31"/>
      <c r="R71" s="23"/>
      <c r="S71" s="23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>
      <c r="A72" s="23"/>
      <c r="B72" s="14"/>
      <c r="C72" s="94"/>
      <c r="D72" s="1025"/>
      <c r="E72" s="1025"/>
      <c r="F72" s="1025"/>
      <c r="G72" s="1025"/>
      <c r="H72" s="1025"/>
      <c r="I72" s="1025"/>
      <c r="J72" s="1025"/>
      <c r="K72" s="88"/>
      <c r="L72" s="90"/>
      <c r="M72" s="1025"/>
      <c r="N72" s="96"/>
      <c r="O72" s="31"/>
      <c r="P72" s="86"/>
      <c r="Q72" s="31"/>
      <c r="R72" s="23"/>
      <c r="S72" s="23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>
      <c r="A73" s="23"/>
      <c r="B73" s="14"/>
      <c r="C73" s="94"/>
      <c r="D73" s="1025"/>
      <c r="E73" s="1025"/>
      <c r="F73" s="1025"/>
      <c r="G73" s="1025"/>
      <c r="H73" s="1025"/>
      <c r="I73" s="1025"/>
      <c r="J73" s="1025"/>
      <c r="K73" s="88"/>
      <c r="L73" s="90"/>
      <c r="M73" s="1025"/>
      <c r="N73" s="96"/>
      <c r="O73" s="31"/>
      <c r="P73" s="86"/>
      <c r="Q73" s="31"/>
      <c r="R73" s="23"/>
      <c r="S73" s="23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>
      <c r="A74" s="23"/>
      <c r="B74" s="14"/>
      <c r="C74" s="94"/>
      <c r="D74" s="1025"/>
      <c r="E74" s="1025"/>
      <c r="F74" s="1025"/>
      <c r="G74" s="1025"/>
      <c r="H74" s="1025"/>
      <c r="I74" s="1025"/>
      <c r="J74" s="1025"/>
      <c r="K74" s="88"/>
      <c r="L74" s="90"/>
      <c r="M74" s="1025"/>
      <c r="N74" s="96"/>
      <c r="O74" s="31"/>
      <c r="P74" s="86"/>
      <c r="Q74" s="31"/>
      <c r="R74" s="23"/>
      <c r="S74" s="23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>
      <c r="A75" s="23"/>
      <c r="B75" s="14"/>
      <c r="C75" s="94"/>
      <c r="D75" s="1025"/>
      <c r="E75" s="1025"/>
      <c r="F75" s="1025"/>
      <c r="G75" s="1025"/>
      <c r="H75" s="1025"/>
      <c r="I75" s="1025"/>
      <c r="J75" s="1025"/>
      <c r="K75" s="88"/>
      <c r="L75" s="90"/>
      <c r="M75" s="1025"/>
      <c r="N75" s="96"/>
      <c r="O75" s="31"/>
      <c r="P75" s="86"/>
      <c r="Q75" s="31"/>
      <c r="R75" s="23"/>
      <c r="S75" s="23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>
      <c r="A76" s="23"/>
      <c r="B76" s="14"/>
      <c r="C76" s="94"/>
      <c r="D76" s="1025"/>
      <c r="E76" s="1025"/>
      <c r="F76" s="1025"/>
      <c r="G76" s="1025"/>
      <c r="H76" s="1025"/>
      <c r="I76" s="1025"/>
      <c r="J76" s="1025"/>
      <c r="K76" s="88"/>
      <c r="L76" s="90"/>
      <c r="M76" s="1025"/>
      <c r="N76" s="96"/>
      <c r="O76" s="31"/>
      <c r="P76" s="86"/>
      <c r="Q76" s="31"/>
      <c r="R76" s="23"/>
      <c r="S76" s="23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>
      <c r="A77" s="23"/>
      <c r="B77" s="14"/>
      <c r="C77" s="94"/>
      <c r="D77" s="1025"/>
      <c r="E77" s="1025"/>
      <c r="F77" s="1025"/>
      <c r="G77" s="1025"/>
      <c r="H77" s="1025"/>
      <c r="I77" s="1025"/>
      <c r="J77" s="1025"/>
      <c r="K77" s="88"/>
      <c r="L77" s="90"/>
      <c r="M77" s="1025"/>
      <c r="N77" s="96"/>
      <c r="O77" s="31"/>
      <c r="P77" s="86"/>
      <c r="Q77" s="31"/>
      <c r="R77" s="23"/>
      <c r="S77" s="23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>
      <c r="A78" s="23"/>
      <c r="B78" s="14"/>
      <c r="C78" s="94"/>
      <c r="D78" s="1025"/>
      <c r="E78" s="1025"/>
      <c r="F78" s="1025"/>
      <c r="G78" s="1025"/>
      <c r="H78" s="1025"/>
      <c r="I78" s="1025"/>
      <c r="J78" s="1025"/>
      <c r="K78" s="88"/>
      <c r="L78" s="90"/>
      <c r="M78" s="1025"/>
      <c r="N78" s="96"/>
      <c r="O78" s="31"/>
      <c r="P78" s="86"/>
      <c r="Q78" s="31"/>
      <c r="R78" s="23"/>
      <c r="S78" s="23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>
      <c r="A79" s="23"/>
      <c r="B79" s="14"/>
      <c r="C79" s="94"/>
      <c r="D79" s="1025"/>
      <c r="E79" s="1025"/>
      <c r="F79" s="1025"/>
      <c r="G79" s="1025"/>
      <c r="H79" s="1025"/>
      <c r="I79" s="1025"/>
      <c r="J79" s="1025"/>
      <c r="K79" s="88"/>
      <c r="L79" s="90"/>
      <c r="M79" s="1025"/>
      <c r="N79" s="96"/>
      <c r="O79" s="31"/>
      <c r="P79" s="86"/>
      <c r="Q79" s="31"/>
      <c r="R79" s="23"/>
      <c r="S79" s="23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>
      <c r="A80" s="23"/>
      <c r="B80" s="14"/>
      <c r="C80" s="94"/>
      <c r="D80" s="1025"/>
      <c r="E80" s="1025"/>
      <c r="F80" s="1025"/>
      <c r="G80" s="1025"/>
      <c r="H80" s="1025"/>
      <c r="I80" s="1025"/>
      <c r="J80" s="1025"/>
      <c r="K80" s="88"/>
      <c r="L80" s="90"/>
      <c r="M80" s="1025"/>
      <c r="N80" s="96"/>
      <c r="O80" s="31"/>
      <c r="P80" s="86"/>
      <c r="Q80" s="31"/>
      <c r="R80" s="23"/>
      <c r="S80" s="23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>
      <c r="A81" s="23"/>
      <c r="B81" s="14"/>
      <c r="C81" s="94"/>
      <c r="D81" s="1025"/>
      <c r="E81" s="1025"/>
      <c r="F81" s="1025"/>
      <c r="G81" s="1025"/>
      <c r="H81" s="1025"/>
      <c r="I81" s="1025"/>
      <c r="J81" s="1025"/>
      <c r="K81" s="88"/>
      <c r="L81" s="90"/>
      <c r="M81" s="1025"/>
      <c r="N81" s="96"/>
      <c r="O81" s="31"/>
      <c r="P81" s="86"/>
      <c r="Q81" s="31"/>
      <c r="R81" s="23"/>
      <c r="S81" s="23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>
      <c r="A82" s="23"/>
      <c r="B82" s="14"/>
      <c r="C82" s="94"/>
      <c r="D82" s="1025"/>
      <c r="E82" s="1025"/>
      <c r="F82" s="1025"/>
      <c r="G82" s="1025"/>
      <c r="H82" s="1025"/>
      <c r="I82" s="1025"/>
      <c r="J82" s="1025"/>
      <c r="K82" s="88"/>
      <c r="L82" s="90"/>
      <c r="M82" s="1025"/>
      <c r="N82" s="96"/>
      <c r="O82" s="31"/>
      <c r="P82" s="86"/>
      <c r="Q82" s="31"/>
      <c r="R82" s="23"/>
      <c r="S82" s="23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>
      <c r="A83" s="23"/>
      <c r="B83" s="14"/>
      <c r="C83" s="94"/>
      <c r="D83" s="1025"/>
      <c r="E83" s="1025"/>
      <c r="F83" s="1025"/>
      <c r="G83" s="1025"/>
      <c r="H83" s="1025"/>
      <c r="I83" s="1025"/>
      <c r="J83" s="1025"/>
      <c r="K83" s="88"/>
      <c r="L83" s="90"/>
      <c r="M83" s="1025"/>
      <c r="N83" s="96"/>
      <c r="O83" s="31"/>
      <c r="P83" s="86"/>
      <c r="Q83" s="31"/>
      <c r="R83" s="23"/>
      <c r="S83" s="23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>
      <c r="A84" s="23"/>
      <c r="B84" s="14"/>
      <c r="C84" s="94"/>
      <c r="D84" s="1025"/>
      <c r="E84" s="1025"/>
      <c r="F84" s="1025"/>
      <c r="G84" s="1025"/>
      <c r="H84" s="1025"/>
      <c r="I84" s="1025"/>
      <c r="J84" s="1025"/>
      <c r="K84" s="88"/>
      <c r="L84" s="90"/>
      <c r="M84" s="1025"/>
      <c r="N84" s="96"/>
      <c r="O84" s="31"/>
      <c r="P84" s="86"/>
      <c r="Q84" s="31"/>
      <c r="R84" s="23"/>
      <c r="S84" s="23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>
      <c r="A85" s="23"/>
      <c r="B85" s="14"/>
      <c r="C85" s="94"/>
      <c r="D85" s="1025"/>
      <c r="E85" s="1025"/>
      <c r="F85" s="1025"/>
      <c r="G85" s="1025"/>
      <c r="H85" s="1025"/>
      <c r="I85" s="1025"/>
      <c r="J85" s="1025"/>
      <c r="K85" s="88"/>
      <c r="L85" s="90"/>
      <c r="M85" s="1025"/>
      <c r="N85" s="96"/>
      <c r="O85" s="31"/>
      <c r="P85" s="86"/>
      <c r="Q85" s="31"/>
      <c r="R85" s="23"/>
      <c r="S85" s="23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>
      <c r="A86" s="23"/>
      <c r="B86" s="14"/>
      <c r="C86" s="94"/>
      <c r="D86" s="1025"/>
      <c r="E86" s="1025"/>
      <c r="F86" s="1025"/>
      <c r="G86" s="1025"/>
      <c r="H86" s="1025"/>
      <c r="I86" s="1025"/>
      <c r="J86" s="1025"/>
      <c r="K86" s="88"/>
      <c r="L86" s="90"/>
      <c r="M86" s="1025"/>
      <c r="N86" s="96"/>
      <c r="O86" s="31"/>
      <c r="P86" s="86"/>
      <c r="Q86" s="31"/>
      <c r="R86" s="23"/>
      <c r="S86" s="23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>
      <c r="A87" s="23"/>
      <c r="B87" s="14"/>
      <c r="C87" s="94"/>
      <c r="D87" s="1025"/>
      <c r="E87" s="1025"/>
      <c r="F87" s="1025"/>
      <c r="G87" s="1025"/>
      <c r="H87" s="1025"/>
      <c r="I87" s="1025"/>
      <c r="J87" s="1025"/>
      <c r="K87" s="88"/>
      <c r="L87" s="90"/>
      <c r="M87" s="1025"/>
      <c r="N87" s="96"/>
      <c r="O87" s="31"/>
      <c r="P87" s="86"/>
      <c r="Q87" s="31"/>
      <c r="R87" s="23"/>
      <c r="S87" s="23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>
      <c r="A88" s="23"/>
      <c r="B88" s="14"/>
      <c r="C88" s="94"/>
      <c r="D88" s="1025"/>
      <c r="E88" s="1025"/>
      <c r="F88" s="1025"/>
      <c r="G88" s="1025"/>
      <c r="H88" s="1025"/>
      <c r="I88" s="1025"/>
      <c r="J88" s="1025"/>
      <c r="K88" s="88"/>
      <c r="L88" s="90"/>
      <c r="M88" s="1025"/>
      <c r="N88" s="96"/>
      <c r="O88" s="31"/>
      <c r="P88" s="86"/>
      <c r="Q88" s="31"/>
      <c r="R88" s="23"/>
      <c r="S88" s="23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>
      <c r="A89" s="23"/>
      <c r="B89" s="14"/>
      <c r="C89" s="94"/>
      <c r="D89" s="1025"/>
      <c r="E89" s="1025"/>
      <c r="F89" s="1025"/>
      <c r="G89" s="1025"/>
      <c r="H89" s="1025"/>
      <c r="I89" s="1025"/>
      <c r="J89" s="1025"/>
      <c r="K89" s="88"/>
      <c r="L89" s="90"/>
      <c r="M89" s="1025"/>
      <c r="N89" s="96"/>
      <c r="O89" s="31"/>
      <c r="P89" s="86"/>
      <c r="Q89" s="31"/>
      <c r="R89" s="23"/>
      <c r="S89" s="23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>
      <c r="A90" s="23"/>
      <c r="B90" s="14"/>
      <c r="C90" s="94"/>
      <c r="D90" s="1025"/>
      <c r="E90" s="1025"/>
      <c r="F90" s="1025"/>
      <c r="G90" s="1025"/>
      <c r="H90" s="1025"/>
      <c r="I90" s="1025"/>
      <c r="J90" s="1025"/>
      <c r="K90" s="88"/>
      <c r="L90" s="90"/>
      <c r="M90" s="1025"/>
      <c r="N90" s="96"/>
      <c r="O90" s="31"/>
      <c r="P90" s="86"/>
      <c r="Q90" s="31"/>
      <c r="R90" s="23"/>
      <c r="S90" s="23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>
      <c r="A91" s="23"/>
      <c r="B91" s="14"/>
      <c r="C91" s="94"/>
      <c r="D91" s="1025"/>
      <c r="E91" s="1025"/>
      <c r="F91" s="1025"/>
      <c r="G91" s="1025"/>
      <c r="H91" s="1025"/>
      <c r="I91" s="1025"/>
      <c r="J91" s="1025"/>
      <c r="K91" s="88"/>
      <c r="L91" s="90"/>
      <c r="M91" s="1025"/>
      <c r="N91" s="96"/>
      <c r="O91" s="31"/>
      <c r="P91" s="86"/>
      <c r="Q91" s="31"/>
      <c r="R91" s="23"/>
      <c r="S91" s="23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>
      <c r="A92" s="23"/>
      <c r="B92" s="14"/>
      <c r="C92" s="94"/>
      <c r="D92" s="1025"/>
      <c r="E92" s="1025"/>
      <c r="F92" s="1025"/>
      <c r="G92" s="1025"/>
      <c r="H92" s="1025"/>
      <c r="I92" s="1025"/>
      <c r="J92" s="1025"/>
      <c r="K92" s="88"/>
      <c r="L92" s="90"/>
      <c r="M92" s="1025"/>
      <c r="N92" s="96"/>
      <c r="O92" s="31"/>
      <c r="P92" s="86"/>
      <c r="Q92" s="31"/>
      <c r="R92" s="23"/>
      <c r="S92" s="23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>
      <c r="A93" s="23"/>
      <c r="B93" s="14"/>
      <c r="C93" s="94"/>
      <c r="D93" s="1025"/>
      <c r="E93" s="1025"/>
      <c r="F93" s="1025"/>
      <c r="G93" s="1025"/>
      <c r="H93" s="1025"/>
      <c r="I93" s="1025"/>
      <c r="J93" s="1025"/>
      <c r="K93" s="88"/>
      <c r="L93" s="90"/>
      <c r="M93" s="1025"/>
      <c r="N93" s="96"/>
      <c r="O93" s="31"/>
      <c r="P93" s="86"/>
      <c r="Q93" s="31"/>
      <c r="R93" s="23"/>
      <c r="S93" s="23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>
      <c r="A94" s="23"/>
      <c r="B94" s="14"/>
      <c r="C94" s="94"/>
      <c r="D94" s="1025"/>
      <c r="E94" s="1025"/>
      <c r="F94" s="1025"/>
      <c r="G94" s="1025"/>
      <c r="H94" s="1025"/>
      <c r="I94" s="1025"/>
      <c r="J94" s="1025"/>
      <c r="K94" s="88"/>
      <c r="L94" s="90"/>
      <c r="M94" s="1025"/>
      <c r="N94" s="96"/>
      <c r="O94" s="31"/>
      <c r="P94" s="86"/>
      <c r="Q94" s="31"/>
      <c r="R94" s="23"/>
      <c r="S94" s="23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>
      <c r="A95" s="23"/>
      <c r="B95" s="14"/>
      <c r="C95" s="94"/>
      <c r="D95" s="1025"/>
      <c r="E95" s="1025"/>
      <c r="F95" s="1025"/>
      <c r="G95" s="1025"/>
      <c r="H95" s="1025"/>
      <c r="I95" s="1025"/>
      <c r="J95" s="1025"/>
      <c r="K95" s="88"/>
      <c r="L95" s="90"/>
      <c r="M95" s="1025"/>
      <c r="N95" s="96"/>
      <c r="O95" s="31"/>
      <c r="P95" s="86"/>
      <c r="Q95" s="31"/>
      <c r="R95" s="23"/>
      <c r="S95" s="23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>
      <c r="A96" s="23"/>
      <c r="B96" s="14"/>
      <c r="C96" s="94"/>
      <c r="D96" s="1025"/>
      <c r="E96" s="1025"/>
      <c r="F96" s="1025"/>
      <c r="G96" s="1025"/>
      <c r="H96" s="1025"/>
      <c r="I96" s="1025"/>
      <c r="J96" s="1025"/>
      <c r="K96" s="88"/>
      <c r="L96" s="90"/>
      <c r="M96" s="1025"/>
      <c r="N96" s="96"/>
      <c r="O96" s="31"/>
      <c r="P96" s="86"/>
      <c r="Q96" s="31"/>
      <c r="R96" s="23"/>
      <c r="S96" s="23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>
      <c r="A97" s="23"/>
      <c r="B97" s="14"/>
      <c r="C97" s="94"/>
      <c r="D97" s="1025"/>
      <c r="E97" s="1025"/>
      <c r="F97" s="1025"/>
      <c r="G97" s="1025"/>
      <c r="H97" s="1025"/>
      <c r="I97" s="1025"/>
      <c r="J97" s="1025"/>
      <c r="K97" s="88"/>
      <c r="L97" s="90"/>
      <c r="M97" s="1025"/>
      <c r="N97" s="96"/>
      <c r="O97" s="31"/>
      <c r="P97" s="86"/>
      <c r="Q97" s="31"/>
      <c r="R97" s="23"/>
      <c r="S97" s="23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>
      <c r="A98" s="23"/>
      <c r="B98" s="14"/>
      <c r="C98" s="94"/>
      <c r="D98" s="1025"/>
      <c r="E98" s="1025"/>
      <c r="F98" s="1025"/>
      <c r="G98" s="1025"/>
      <c r="H98" s="1025"/>
      <c r="I98" s="1025"/>
      <c r="J98" s="1025"/>
      <c r="K98" s="88"/>
      <c r="L98" s="90"/>
      <c r="M98" s="1025"/>
      <c r="N98" s="96"/>
      <c r="O98" s="31"/>
      <c r="P98" s="86"/>
      <c r="Q98" s="31"/>
      <c r="R98" s="23"/>
      <c r="S98" s="23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>
      <c r="A99" s="23"/>
      <c r="B99" s="14"/>
      <c r="C99" s="94"/>
      <c r="D99" s="1025"/>
      <c r="E99" s="1025"/>
      <c r="F99" s="1025"/>
      <c r="G99" s="1025"/>
      <c r="H99" s="1025"/>
      <c r="I99" s="1025"/>
      <c r="J99" s="1025"/>
      <c r="K99" s="88"/>
      <c r="L99" s="90"/>
      <c r="M99" s="1025"/>
      <c r="N99" s="96"/>
      <c r="O99" s="31"/>
      <c r="P99" s="86"/>
      <c r="Q99" s="31"/>
      <c r="R99" s="23"/>
      <c r="S99" s="23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>
      <c r="A100" s="23"/>
      <c r="B100" s="14"/>
      <c r="C100" s="94"/>
      <c r="D100" s="1025"/>
      <c r="E100" s="1025"/>
      <c r="F100" s="1025"/>
      <c r="G100" s="1025"/>
      <c r="H100" s="1025"/>
      <c r="I100" s="1025"/>
      <c r="J100" s="1025"/>
      <c r="K100" s="88"/>
      <c r="L100" s="90"/>
      <c r="M100" s="1025"/>
      <c r="N100" s="96"/>
      <c r="O100" s="31"/>
      <c r="P100" s="86"/>
      <c r="Q100" s="31"/>
      <c r="R100" s="23"/>
      <c r="S100" s="23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>
      <c r="A101" s="23"/>
      <c r="B101" s="14"/>
      <c r="C101" s="94"/>
      <c r="D101" s="1025"/>
      <c r="E101" s="1025"/>
      <c r="F101" s="1025"/>
      <c r="G101" s="1025"/>
      <c r="H101" s="1025"/>
      <c r="I101" s="1025"/>
      <c r="J101" s="1025"/>
      <c r="K101" s="88"/>
      <c r="L101" s="90"/>
      <c r="M101" s="1025"/>
      <c r="N101" s="96"/>
      <c r="O101" s="31"/>
      <c r="P101" s="86"/>
      <c r="Q101" s="31"/>
      <c r="R101" s="23"/>
      <c r="S101" s="23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>
      <c r="A102" s="23"/>
      <c r="B102" s="14"/>
      <c r="C102" s="94"/>
      <c r="D102" s="1025"/>
      <c r="E102" s="1025"/>
      <c r="F102" s="1025"/>
      <c r="G102" s="1025"/>
      <c r="H102" s="1025"/>
      <c r="I102" s="1025"/>
      <c r="J102" s="1025"/>
      <c r="K102" s="88"/>
      <c r="L102" s="90"/>
      <c r="M102" s="1025"/>
      <c r="N102" s="96"/>
      <c r="O102" s="31"/>
      <c r="P102" s="86"/>
      <c r="Q102" s="31"/>
      <c r="R102" s="23"/>
      <c r="S102" s="23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>
      <c r="A103" s="23"/>
      <c r="B103" s="14"/>
      <c r="C103" s="94"/>
      <c r="D103" s="1025"/>
      <c r="E103" s="1025"/>
      <c r="F103" s="1025"/>
      <c r="G103" s="1025"/>
      <c r="H103" s="1025"/>
      <c r="I103" s="1025"/>
      <c r="J103" s="1025"/>
      <c r="K103" s="88"/>
      <c r="L103" s="90"/>
      <c r="M103" s="1025"/>
      <c r="N103" s="96"/>
      <c r="O103" s="31"/>
      <c r="P103" s="86"/>
      <c r="Q103" s="31"/>
      <c r="R103" s="23"/>
      <c r="S103" s="23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>
      <c r="A104" s="23"/>
      <c r="B104" s="14"/>
      <c r="C104" s="94"/>
      <c r="D104" s="1025"/>
      <c r="E104" s="1025"/>
      <c r="F104" s="1025"/>
      <c r="G104" s="1025"/>
      <c r="H104" s="1025"/>
      <c r="I104" s="1025"/>
      <c r="J104" s="1025"/>
      <c r="K104" s="88"/>
      <c r="L104" s="90"/>
      <c r="M104" s="1025"/>
      <c r="N104" s="96"/>
      <c r="O104" s="31"/>
      <c r="P104" s="86"/>
      <c r="Q104" s="31"/>
      <c r="R104" s="23"/>
      <c r="S104" s="23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>
      <c r="A105" s="23"/>
      <c r="B105" s="14"/>
      <c r="C105" s="94"/>
      <c r="D105" s="1025"/>
      <c r="E105" s="1025"/>
      <c r="F105" s="1025"/>
      <c r="G105" s="1025"/>
      <c r="H105" s="1025"/>
      <c r="I105" s="1025"/>
      <c r="J105" s="1025"/>
      <c r="K105" s="88"/>
      <c r="L105" s="90"/>
      <c r="M105" s="1025"/>
      <c r="N105" s="96"/>
      <c r="O105" s="31"/>
      <c r="P105" s="86"/>
      <c r="Q105" s="31"/>
      <c r="R105" s="23"/>
      <c r="S105" s="23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>
      <c r="A106" s="23"/>
      <c r="B106" s="14"/>
      <c r="C106" s="94"/>
      <c r="D106" s="1025"/>
      <c r="E106" s="1025"/>
      <c r="F106" s="1025"/>
      <c r="G106" s="1025"/>
      <c r="H106" s="1025"/>
      <c r="I106" s="1025"/>
      <c r="J106" s="1025"/>
      <c r="K106" s="88"/>
      <c r="L106" s="90"/>
      <c r="M106" s="1025"/>
      <c r="N106" s="96"/>
      <c r="O106" s="31"/>
      <c r="P106" s="86"/>
      <c r="Q106" s="31"/>
      <c r="R106" s="23"/>
      <c r="S106" s="23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>
      <c r="A107" s="23"/>
      <c r="B107" s="14"/>
      <c r="C107" s="94"/>
      <c r="D107" s="1025"/>
      <c r="E107" s="1025"/>
      <c r="F107" s="1025"/>
      <c r="G107" s="1025"/>
      <c r="H107" s="1025"/>
      <c r="I107" s="1025"/>
      <c r="J107" s="1025"/>
      <c r="K107" s="88"/>
      <c r="L107" s="90"/>
      <c r="M107" s="1025"/>
      <c r="N107" s="96"/>
      <c r="O107" s="31"/>
      <c r="P107" s="86"/>
      <c r="Q107" s="31"/>
      <c r="R107" s="23"/>
      <c r="S107" s="23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>
      <c r="A108" s="23"/>
      <c r="B108" s="14"/>
      <c r="C108" s="94"/>
      <c r="D108" s="1025"/>
      <c r="E108" s="1025"/>
      <c r="F108" s="1025"/>
      <c r="G108" s="1025"/>
      <c r="H108" s="1025"/>
      <c r="I108" s="1025"/>
      <c r="J108" s="1025"/>
      <c r="K108" s="88"/>
      <c r="L108" s="90"/>
      <c r="M108" s="1025"/>
      <c r="N108" s="96"/>
      <c r="O108" s="31"/>
      <c r="P108" s="86"/>
      <c r="Q108" s="31"/>
      <c r="R108" s="23"/>
      <c r="S108" s="23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>
      <c r="A109" s="23"/>
      <c r="B109" s="14"/>
      <c r="C109" s="94"/>
      <c r="D109" s="1025"/>
      <c r="E109" s="1025"/>
      <c r="F109" s="1536"/>
      <c r="G109" s="1536"/>
      <c r="H109" s="1025"/>
      <c r="I109" s="1025"/>
      <c r="J109" s="1025"/>
      <c r="K109" s="1025"/>
      <c r="L109" s="1025"/>
      <c r="M109" s="1025"/>
      <c r="N109" s="96"/>
      <c r="O109" s="31"/>
      <c r="P109" s="86"/>
      <c r="Q109" s="31"/>
      <c r="R109" s="23"/>
      <c r="S109" s="23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ht="16.5" thickBot="1">
      <c r="A110" s="23"/>
      <c r="B110" s="17"/>
      <c r="C110" s="97"/>
      <c r="D110" s="1026"/>
      <c r="E110" s="1026"/>
      <c r="F110" s="1537"/>
      <c r="G110" s="1537"/>
      <c r="H110" s="1026"/>
      <c r="I110" s="1026"/>
      <c r="J110" s="1026"/>
      <c r="K110" s="1026"/>
      <c r="L110" s="1026"/>
      <c r="M110" s="1026"/>
      <c r="N110" s="98"/>
      <c r="O110" s="31"/>
      <c r="P110" s="86"/>
      <c r="Q110" s="31"/>
      <c r="R110" s="23"/>
      <c r="S110" s="23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>
      <c r="A111" s="23"/>
      <c r="B111" s="23"/>
      <c r="C111" s="33"/>
      <c r="D111" s="1013"/>
      <c r="E111" s="1013"/>
      <c r="F111" s="31"/>
      <c r="G111" s="31"/>
      <c r="H111" s="31"/>
      <c r="I111" s="31"/>
      <c r="J111" s="1013"/>
      <c r="K111" s="1013"/>
      <c r="L111" s="1013"/>
      <c r="M111" s="1013"/>
      <c r="N111" s="31"/>
      <c r="O111" s="31"/>
      <c r="P111" s="86"/>
      <c r="Q111" s="31"/>
      <c r="R111" s="23"/>
      <c r="S111" s="23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>
      <c r="A112" s="23"/>
      <c r="B112" s="23"/>
      <c r="C112" s="46"/>
      <c r="D112" s="1013"/>
      <c r="E112" s="1013"/>
      <c r="F112" s="31"/>
      <c r="G112" s="31"/>
      <c r="H112" s="31"/>
      <c r="I112" s="31"/>
      <c r="J112" s="1013"/>
      <c r="K112" s="1013"/>
      <c r="L112" s="1013"/>
      <c r="M112" s="1013"/>
      <c r="N112" s="31"/>
      <c r="O112" s="31"/>
      <c r="P112" s="86"/>
      <c r="Q112" s="31"/>
      <c r="R112" s="23"/>
      <c r="S112" s="23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>
      <c r="A113" s="23"/>
      <c r="B113" s="23"/>
      <c r="C113" s="46"/>
      <c r="D113" s="1013"/>
      <c r="E113" s="1013"/>
      <c r="F113" s="31"/>
      <c r="G113" s="31"/>
      <c r="H113" s="31"/>
      <c r="I113" s="31"/>
      <c r="J113" s="1013"/>
      <c r="K113" s="1013"/>
      <c r="L113" s="1013"/>
      <c r="M113" s="1013"/>
      <c r="N113" s="31"/>
      <c r="O113" s="31"/>
      <c r="P113" s="86"/>
      <c r="Q113" s="31"/>
      <c r="R113" s="23"/>
      <c r="S113" s="23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>
      <c r="A114" s="23"/>
      <c r="B114" s="23"/>
      <c r="C114" s="46"/>
      <c r="D114" s="1013"/>
      <c r="E114" s="1013"/>
      <c r="F114" s="31"/>
      <c r="G114" s="31"/>
      <c r="H114" s="31"/>
      <c r="I114" s="31"/>
      <c r="J114" s="1013"/>
      <c r="K114" s="1013"/>
      <c r="L114" s="1013"/>
      <c r="M114" s="1013"/>
      <c r="N114" s="31"/>
      <c r="O114" s="31"/>
      <c r="P114" s="86"/>
      <c r="Q114" s="31"/>
      <c r="R114" s="23"/>
      <c r="S114" s="23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>
      <c r="A115" s="23"/>
      <c r="B115" s="23"/>
      <c r="C115" s="46"/>
      <c r="D115" s="1013"/>
      <c r="E115" s="1013"/>
      <c r="F115" s="31"/>
      <c r="G115" s="31"/>
      <c r="H115" s="31"/>
      <c r="I115" s="31"/>
      <c r="J115" s="1013"/>
      <c r="K115" s="1013"/>
      <c r="L115" s="1013"/>
      <c r="M115" s="1013"/>
      <c r="N115" s="31"/>
      <c r="O115" s="31"/>
      <c r="P115" s="86"/>
      <c r="Q115" s="31"/>
      <c r="R115" s="23"/>
      <c r="S115" s="23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>
      <c r="A116" s="23"/>
      <c r="B116" s="23"/>
      <c r="C116" s="46"/>
      <c r="D116" s="1013"/>
      <c r="E116" s="1013"/>
      <c r="F116" s="31"/>
      <c r="G116" s="31"/>
      <c r="H116" s="31"/>
      <c r="I116" s="31"/>
      <c r="J116" s="1013"/>
      <c r="K116" s="1013"/>
      <c r="L116" s="1013"/>
      <c r="M116" s="1013"/>
      <c r="N116" s="31"/>
      <c r="O116" s="31"/>
      <c r="P116" s="86"/>
      <c r="Q116" s="31"/>
      <c r="R116" s="23"/>
      <c r="S116" s="23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>
      <c r="A117" s="23"/>
      <c r="B117" s="23"/>
      <c r="C117" s="46"/>
      <c r="D117" s="1013"/>
      <c r="E117" s="1013"/>
      <c r="F117" s="31"/>
      <c r="G117" s="31"/>
      <c r="H117" s="31"/>
      <c r="I117" s="31"/>
      <c r="J117" s="1013"/>
      <c r="K117" s="1013"/>
      <c r="L117" s="1013"/>
      <c r="M117" s="1013"/>
      <c r="N117" s="31"/>
      <c r="O117" s="31"/>
      <c r="P117" s="86"/>
      <c r="Q117" s="31"/>
      <c r="R117" s="23"/>
      <c r="S117" s="23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>
      <c r="A118" s="23"/>
      <c r="B118" s="23"/>
      <c r="C118" s="46"/>
      <c r="D118" s="1013"/>
      <c r="E118" s="1013"/>
      <c r="F118" s="31"/>
      <c r="G118" s="31"/>
      <c r="H118" s="31"/>
      <c r="I118" s="31"/>
      <c r="J118" s="1013"/>
      <c r="K118" s="1013"/>
      <c r="L118" s="1013"/>
      <c r="M118" s="1013"/>
      <c r="N118" s="31"/>
      <c r="O118" s="31"/>
      <c r="P118" s="86"/>
      <c r="Q118" s="31"/>
      <c r="R118" s="23"/>
      <c r="S118" s="23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>
      <c r="A119" s="23"/>
      <c r="B119" s="23"/>
      <c r="C119" s="46"/>
      <c r="D119" s="1013"/>
      <c r="E119" s="1013"/>
      <c r="F119" s="31"/>
      <c r="G119" s="31"/>
      <c r="H119" s="31"/>
      <c r="I119" s="31"/>
      <c r="J119" s="1013"/>
      <c r="K119" s="1013"/>
      <c r="L119" s="1013"/>
      <c r="M119" s="1013"/>
      <c r="N119" s="31"/>
      <c r="O119" s="31"/>
      <c r="P119" s="86"/>
      <c r="Q119" s="31"/>
      <c r="R119" s="23"/>
      <c r="S119" s="23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>
      <c r="A120" s="23"/>
      <c r="B120" s="23"/>
      <c r="C120" s="46"/>
      <c r="D120" s="1013"/>
      <c r="E120" s="1013"/>
      <c r="F120" s="31"/>
      <c r="G120" s="31"/>
      <c r="H120" s="31"/>
      <c r="I120" s="31"/>
      <c r="J120" s="1013"/>
      <c r="K120" s="1013"/>
      <c r="L120" s="1013"/>
      <c r="M120" s="1013"/>
      <c r="N120" s="1013"/>
      <c r="O120" s="1013"/>
      <c r="P120" s="31"/>
      <c r="Q120" s="31"/>
      <c r="R120" s="86"/>
      <c r="S120" s="31"/>
      <c r="T120" s="23"/>
      <c r="U120" s="23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>
      <c r="A121" s="23"/>
      <c r="B121" s="23"/>
      <c r="C121" s="46"/>
      <c r="D121" s="1013"/>
      <c r="E121" s="1013"/>
      <c r="F121" s="31"/>
      <c r="G121" s="31"/>
      <c r="H121" s="1013"/>
      <c r="I121" s="1013"/>
      <c r="J121" s="1013"/>
      <c r="K121" s="1013"/>
      <c r="L121" s="1013"/>
      <c r="M121" s="1013"/>
      <c r="N121" s="31"/>
      <c r="O121" s="31"/>
      <c r="P121" s="86"/>
      <c r="Q121" s="31"/>
      <c r="R121" s="23"/>
      <c r="S121" s="23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>
      <c r="A122" s="23"/>
      <c r="B122" s="23"/>
      <c r="C122" s="46"/>
      <c r="D122" s="1013"/>
      <c r="E122" s="1013"/>
      <c r="F122" s="31"/>
      <c r="G122" s="31"/>
      <c r="H122" s="1013"/>
      <c r="I122" s="1013"/>
      <c r="J122" s="1013"/>
      <c r="K122" s="1013"/>
      <c r="L122" s="1013"/>
      <c r="M122" s="1013"/>
      <c r="N122" s="31"/>
      <c r="O122" s="31"/>
      <c r="P122" s="86"/>
      <c r="Q122" s="31"/>
      <c r="R122" s="23"/>
      <c r="S122" s="23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ht="16.5" thickBot="1">
      <c r="A123" s="23"/>
      <c r="B123" s="23"/>
      <c r="C123" s="46"/>
      <c r="D123" s="1013"/>
      <c r="E123" s="1013"/>
      <c r="F123" s="31"/>
      <c r="G123" s="31"/>
      <c r="H123" s="1013"/>
      <c r="I123" s="1013"/>
      <c r="J123" s="1013"/>
      <c r="K123" s="1013"/>
      <c r="L123" s="1013"/>
      <c r="M123" s="1013"/>
      <c r="N123" s="31"/>
      <c r="O123" s="31"/>
      <c r="P123" s="86"/>
      <c r="Q123" s="31"/>
      <c r="R123" s="23"/>
      <c r="S123" s="23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>
      <c r="A124" s="23"/>
      <c r="B124" s="23"/>
      <c r="C124" s="1490" t="s">
        <v>62</v>
      </c>
      <c r="D124" s="1491"/>
      <c r="E124" s="1491"/>
      <c r="F124" s="1491"/>
      <c r="G124" s="1491"/>
      <c r="H124" s="1491"/>
      <c r="I124" s="1491"/>
      <c r="J124" s="1491"/>
      <c r="K124" s="1491"/>
      <c r="L124" s="1491"/>
      <c r="M124" s="1491"/>
      <c r="N124" s="1491"/>
      <c r="O124" s="1491"/>
      <c r="P124" s="1491"/>
      <c r="Q124" s="1491"/>
      <c r="R124" s="1492"/>
      <c r="S124" s="23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ht="16.5" thickBot="1">
      <c r="A125" s="23"/>
      <c r="B125" s="23"/>
      <c r="C125" s="1493"/>
      <c r="D125" s="1494"/>
      <c r="E125" s="1494"/>
      <c r="F125" s="1494"/>
      <c r="G125" s="1494"/>
      <c r="H125" s="1494"/>
      <c r="I125" s="1494"/>
      <c r="J125" s="1494"/>
      <c r="K125" s="1494"/>
      <c r="L125" s="1494"/>
      <c r="M125" s="1494"/>
      <c r="N125" s="1494"/>
      <c r="O125" s="1494"/>
      <c r="P125" s="1494"/>
      <c r="Q125" s="1494"/>
      <c r="R125" s="1495"/>
      <c r="S125" s="23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>
      <c r="A126" s="23"/>
      <c r="B126" s="23"/>
      <c r="C126" s="251"/>
      <c r="D126" s="273" t="s">
        <v>38</v>
      </c>
      <c r="E126" s="274"/>
      <c r="F126" s="252"/>
      <c r="G126" s="248" t="s">
        <v>40</v>
      </c>
      <c r="H126" s="249"/>
      <c r="I126" s="252"/>
      <c r="J126" s="248" t="s">
        <v>41</v>
      </c>
      <c r="K126" s="249"/>
      <c r="L126" s="252"/>
      <c r="M126" s="248" t="s">
        <v>42</v>
      </c>
      <c r="N126" s="249"/>
      <c r="O126" s="18"/>
      <c r="P126" s="248" t="s">
        <v>46</v>
      </c>
      <c r="Q126" s="249"/>
      <c r="R126" s="250"/>
      <c r="S126" s="23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>
      <c r="A127" s="23"/>
      <c r="B127" s="23"/>
      <c r="C127" s="253" t="s">
        <v>47</v>
      </c>
      <c r="D127" s="1044">
        <f>SUM(Janv!J170+Fev!J161+Mars!J165)</f>
        <v>5</v>
      </c>
      <c r="E127" s="1045">
        <f>SUM(Janv!I170+Fev!I161+Mars!I165)</f>
        <v>0</v>
      </c>
      <c r="F127" s="1046">
        <f>SUM(D127:E127)</f>
        <v>5</v>
      </c>
      <c r="G127" s="1047">
        <f>SUM(Avr!J162+Mai!J172+Juin!J180)</f>
        <v>6</v>
      </c>
      <c r="H127" s="1048">
        <f>SUM(Avr!K162+Mai!K172+Juin!K180)</f>
        <v>0</v>
      </c>
      <c r="I127" s="1046">
        <f t="shared" ref="I127:I134" si="10">SUM(G127:H127)</f>
        <v>6</v>
      </c>
      <c r="J127" s="1047">
        <f>Juill!J193+Aout!J166+Sept!J174</f>
        <v>0</v>
      </c>
      <c r="K127" s="1048">
        <f>Juill!K193+Aout!K166+Sept!K174</f>
        <v>0</v>
      </c>
      <c r="L127" s="1046">
        <f>SUM(J127:K127)</f>
        <v>0</v>
      </c>
      <c r="M127" s="1044">
        <f>Oct!J254+Nov!J182+Dec!J206</f>
        <v>44</v>
      </c>
      <c r="N127" s="1045">
        <f>Oct!K254+Nov!K182+Dec!K206</f>
        <v>0</v>
      </c>
      <c r="O127" s="1046">
        <f>SUM(M127:N127)</f>
        <v>44</v>
      </c>
      <c r="P127" s="1044">
        <f t="shared" ref="P127:Q134" si="11">SUM(D127,G127,J127,M127)</f>
        <v>55</v>
      </c>
      <c r="Q127" s="1045">
        <f t="shared" si="11"/>
        <v>0</v>
      </c>
      <c r="R127" s="1050">
        <f>SUM(P127:Q127)</f>
        <v>55</v>
      </c>
      <c r="S127" s="23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>
      <c r="A128" s="23"/>
      <c r="B128" s="23"/>
      <c r="C128" s="253" t="s">
        <v>48</v>
      </c>
      <c r="D128" s="1044">
        <f>SUM(Janv!J171+Fev!J162+Mars!J166)</f>
        <v>0</v>
      </c>
      <c r="E128" s="1045">
        <f>SUM(Janv!K171+Fev!K162+Mars!K166)</f>
        <v>0</v>
      </c>
      <c r="F128" s="1046">
        <f t="shared" ref="F128:F134" si="12">SUM(D128:E128)</f>
        <v>0</v>
      </c>
      <c r="G128" s="1047">
        <f>SUM(Avr!J163+Mai!J173+Juin!J181)</f>
        <v>0</v>
      </c>
      <c r="H128" s="1048">
        <f>SUM(Avr!K163+Mai!K173+Juin!K181)</f>
        <v>0</v>
      </c>
      <c r="I128" s="1046">
        <f t="shared" si="10"/>
        <v>0</v>
      </c>
      <c r="J128" s="1047">
        <f>Juill!J194+Aout!J167+Sept!J175</f>
        <v>3</v>
      </c>
      <c r="K128" s="1048">
        <f>Juill!K194+Aout!K167+Sept!K175</f>
        <v>0</v>
      </c>
      <c r="L128" s="1046">
        <f t="shared" ref="L128:L134" si="13">SUM(J128:K128)</f>
        <v>3</v>
      </c>
      <c r="M128" s="1044">
        <f>Oct!J255+Nov!J183+Dec!J207</f>
        <v>2</v>
      </c>
      <c r="N128" s="1045">
        <f>Oct!K255+Nov!K183+Dec!K207</f>
        <v>0</v>
      </c>
      <c r="O128" s="1046">
        <f t="shared" ref="O128:O134" si="14">SUM(M128:N128)</f>
        <v>2</v>
      </c>
      <c r="P128" s="1044">
        <f t="shared" si="11"/>
        <v>5</v>
      </c>
      <c r="Q128" s="1045">
        <f t="shared" si="11"/>
        <v>0</v>
      </c>
      <c r="R128" s="1050">
        <f t="shared" ref="R128:R135" si="15">SUM(P128:Q128)</f>
        <v>5</v>
      </c>
      <c r="S128" s="23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>
      <c r="A129" s="23"/>
      <c r="B129" s="23"/>
      <c r="C129" s="253" t="s">
        <v>49</v>
      </c>
      <c r="D129" s="1044">
        <f>SUM(Janv!J172+Fev!J163+Mars!J167)</f>
        <v>0</v>
      </c>
      <c r="E129" s="1045">
        <f>SUM(Janv!K172+Fev!K163+Mars!K167)</f>
        <v>0</v>
      </c>
      <c r="F129" s="1046">
        <f t="shared" si="12"/>
        <v>0</v>
      </c>
      <c r="G129" s="1047">
        <f>SUM(Avr!J164+Mai!J174+Juin!J182)</f>
        <v>0</v>
      </c>
      <c r="H129" s="1048">
        <f>SUM(Avr!K164+Mai!K174+Juin!K182)</f>
        <v>0</v>
      </c>
      <c r="I129" s="1046">
        <f t="shared" si="10"/>
        <v>0</v>
      </c>
      <c r="J129" s="1047">
        <f>Juill!J195+Aout!J168+Sept!J176</f>
        <v>10</v>
      </c>
      <c r="K129" s="1048">
        <f>Juill!K195+Aout!K168+Sept!K176</f>
        <v>0</v>
      </c>
      <c r="L129" s="1046">
        <f t="shared" si="13"/>
        <v>10</v>
      </c>
      <c r="M129" s="1044">
        <f>Oct!J256+Nov!J184+Dec!J208</f>
        <v>5</v>
      </c>
      <c r="N129" s="1045">
        <f>Oct!K256+Nov!K184+Dec!K208</f>
        <v>0</v>
      </c>
      <c r="O129" s="1046">
        <f t="shared" si="14"/>
        <v>5</v>
      </c>
      <c r="P129" s="1044">
        <f t="shared" si="11"/>
        <v>15</v>
      </c>
      <c r="Q129" s="1045">
        <f t="shared" si="11"/>
        <v>0</v>
      </c>
      <c r="R129" s="1050">
        <f t="shared" si="15"/>
        <v>15</v>
      </c>
      <c r="S129" s="23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>
      <c r="A130" s="23"/>
      <c r="B130" s="23"/>
      <c r="C130" s="253" t="s">
        <v>50</v>
      </c>
      <c r="D130" s="1044">
        <f>SUM(Janv!J173+Fev!J164+Mars!J168)</f>
        <v>12</v>
      </c>
      <c r="E130" s="1045">
        <f>SUM(Janv!K173+Fev!K164+Mars!K168)</f>
        <v>4</v>
      </c>
      <c r="F130" s="1046">
        <f t="shared" si="12"/>
        <v>16</v>
      </c>
      <c r="G130" s="1047">
        <f>SUM(Avr!J165+Mai!J175+Juin!J183)</f>
        <v>23</v>
      </c>
      <c r="H130" s="1048">
        <f>SUM(Avr!K165+Mai!K175+Juin!K183)</f>
        <v>0</v>
      </c>
      <c r="I130" s="1046">
        <f t="shared" si="10"/>
        <v>23</v>
      </c>
      <c r="J130" s="1047">
        <f>Juill!J196+Aout!J169+Sept!J177</f>
        <v>0</v>
      </c>
      <c r="K130" s="1048">
        <f>Juill!K196+Aout!K169+Sept!K177</f>
        <v>0</v>
      </c>
      <c r="L130" s="1046">
        <f t="shared" si="13"/>
        <v>0</v>
      </c>
      <c r="M130" s="1044">
        <f>Oct!J257+Nov!J185+Dec!J209</f>
        <v>9</v>
      </c>
      <c r="N130" s="1045">
        <f>Oct!K257+Nov!K185+Dec!K209</f>
        <v>0</v>
      </c>
      <c r="O130" s="1046">
        <f t="shared" si="14"/>
        <v>9</v>
      </c>
      <c r="P130" s="1044">
        <f t="shared" si="11"/>
        <v>44</v>
      </c>
      <c r="Q130" s="1045">
        <f t="shared" si="11"/>
        <v>4</v>
      </c>
      <c r="R130" s="1050">
        <f t="shared" si="15"/>
        <v>48</v>
      </c>
      <c r="S130" s="23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>
      <c r="A131" s="23"/>
      <c r="B131" s="23"/>
      <c r="C131" s="253" t="s">
        <v>51</v>
      </c>
      <c r="D131" s="1044">
        <f>SUM(Janv!J174+Fev!J165+Mars!J169)</f>
        <v>34</v>
      </c>
      <c r="E131" s="1045">
        <f>SUM(Janv!K174+Fev!K165+Mars!K169)</f>
        <v>0</v>
      </c>
      <c r="F131" s="1046">
        <f t="shared" si="12"/>
        <v>34</v>
      </c>
      <c r="G131" s="1047">
        <f>SUM(Avr!J166+Mai!J176+Juin!J184)</f>
        <v>5</v>
      </c>
      <c r="H131" s="1048">
        <f>SUM(Avr!K166+Mai!K176+Juin!K184)</f>
        <v>0</v>
      </c>
      <c r="I131" s="1046">
        <f t="shared" si="10"/>
        <v>5</v>
      </c>
      <c r="J131" s="1047">
        <f>Juill!J197+Aout!J170+Sept!J178</f>
        <v>0</v>
      </c>
      <c r="K131" s="1048">
        <f>Juill!K197+Aout!K170+Sept!K178</f>
        <v>0</v>
      </c>
      <c r="L131" s="1046">
        <f t="shared" si="13"/>
        <v>0</v>
      </c>
      <c r="M131" s="1044">
        <f>Oct!J258+Nov!J186+Dec!J210</f>
        <v>9</v>
      </c>
      <c r="N131" s="1045">
        <f>Oct!K258+Nov!K186+Dec!K210</f>
        <v>11</v>
      </c>
      <c r="O131" s="1046">
        <f t="shared" si="14"/>
        <v>20</v>
      </c>
      <c r="P131" s="1044">
        <f t="shared" si="11"/>
        <v>48</v>
      </c>
      <c r="Q131" s="1045">
        <f t="shared" si="11"/>
        <v>11</v>
      </c>
      <c r="R131" s="1050">
        <f t="shared" si="15"/>
        <v>59</v>
      </c>
      <c r="S131" s="23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>
      <c r="A132" s="23"/>
      <c r="B132" s="23"/>
      <c r="C132" s="253" t="s">
        <v>52</v>
      </c>
      <c r="D132" s="1044">
        <f>SUM(Janv!J175+Fev!J166+Mars!J170)</f>
        <v>18</v>
      </c>
      <c r="E132" s="1045">
        <f>SUM(Janv!K175+Fev!K166+Mars!K170)</f>
        <v>1</v>
      </c>
      <c r="F132" s="1046">
        <f t="shared" si="12"/>
        <v>19</v>
      </c>
      <c r="G132" s="1047">
        <f>SUM(Avr!J167+Mai!J177+Juin!J185)</f>
        <v>14</v>
      </c>
      <c r="H132" s="1048">
        <f>SUM(Avr!K167+Mai!K177+Juin!K185)</f>
        <v>0</v>
      </c>
      <c r="I132" s="1046">
        <f t="shared" si="10"/>
        <v>14</v>
      </c>
      <c r="J132" s="1047">
        <f>Juill!J198+Aout!J171+Sept!J179</f>
        <v>9</v>
      </c>
      <c r="K132" s="1048">
        <f>Juill!K198+Aout!K171+Sept!K179</f>
        <v>0</v>
      </c>
      <c r="L132" s="1046">
        <f t="shared" si="13"/>
        <v>9</v>
      </c>
      <c r="M132" s="1044">
        <f>Oct!J259+Nov!J187+Dec!J211</f>
        <v>30</v>
      </c>
      <c r="N132" s="1045">
        <f>Oct!K259+Nov!K187+Dec!K211</f>
        <v>0</v>
      </c>
      <c r="O132" s="1046">
        <f t="shared" si="14"/>
        <v>30</v>
      </c>
      <c r="P132" s="1044">
        <f t="shared" si="11"/>
        <v>71</v>
      </c>
      <c r="Q132" s="1045">
        <f t="shared" si="11"/>
        <v>1</v>
      </c>
      <c r="R132" s="1050">
        <f t="shared" si="15"/>
        <v>72</v>
      </c>
      <c r="S132" s="23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>
      <c r="A133" s="23"/>
      <c r="B133" s="23"/>
      <c r="C133" s="253" t="s">
        <v>53</v>
      </c>
      <c r="D133" s="1044">
        <f>SUM(Janv!J176+Fev!J167+Mars!J171)</f>
        <v>1</v>
      </c>
      <c r="E133" s="1045">
        <f>SUM(Janv!K176+Fev!K167+Mars!K171)</f>
        <v>7</v>
      </c>
      <c r="F133" s="1046">
        <f t="shared" si="12"/>
        <v>8</v>
      </c>
      <c r="G133" s="1047">
        <f>SUM(Avr!J168+Mai!J178+Juin!J186)</f>
        <v>1</v>
      </c>
      <c r="H133" s="1048">
        <f>SUM(Avr!K168+Mai!K178+Juin!K186)</f>
        <v>6</v>
      </c>
      <c r="I133" s="1046">
        <f t="shared" si="10"/>
        <v>7</v>
      </c>
      <c r="J133" s="1047">
        <f>Juill!J199+Aout!J172+Sept!J180</f>
        <v>7</v>
      </c>
      <c r="K133" s="1048">
        <f>Juill!K199+Aout!K172+Sept!K180</f>
        <v>0</v>
      </c>
      <c r="L133" s="1046">
        <f t="shared" si="13"/>
        <v>7</v>
      </c>
      <c r="M133" s="1044">
        <f>Oct!J260+Nov!J188+Dec!J212</f>
        <v>1</v>
      </c>
      <c r="N133" s="1045">
        <f>Oct!K260+Nov!K188+Dec!K212</f>
        <v>4</v>
      </c>
      <c r="O133" s="1046">
        <f t="shared" si="14"/>
        <v>5</v>
      </c>
      <c r="P133" s="1044">
        <f t="shared" si="11"/>
        <v>10</v>
      </c>
      <c r="Q133" s="1045">
        <f t="shared" si="11"/>
        <v>17</v>
      </c>
      <c r="R133" s="1050">
        <f t="shared" si="15"/>
        <v>27</v>
      </c>
      <c r="S133" s="23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ht="16.5" thickBot="1">
      <c r="A134" s="23"/>
      <c r="B134" s="23"/>
      <c r="C134" s="247" t="s">
        <v>54</v>
      </c>
      <c r="D134" s="1044">
        <f>SUM(Janv!J177+Fev!J168+Mars!J172)</f>
        <v>0</v>
      </c>
      <c r="E134" s="1045">
        <f>SUM(Janv!K177+Fev!K168+Mars!K172)</f>
        <v>0</v>
      </c>
      <c r="F134" s="1051">
        <f t="shared" si="12"/>
        <v>0</v>
      </c>
      <c r="G134" s="1047">
        <f>SUM(Avr!J169+Mai!J179+Juin!J187)</f>
        <v>0</v>
      </c>
      <c r="H134" s="1048">
        <f>SUM(Avr!K169+Mai!K179+Juin!K187)</f>
        <v>0</v>
      </c>
      <c r="I134" s="1046">
        <f t="shared" si="10"/>
        <v>0</v>
      </c>
      <c r="J134" s="1047">
        <f>Juill!J200+Aout!J173+Sept!J181</f>
        <v>0</v>
      </c>
      <c r="K134" s="1048">
        <f>Juill!K200+Aout!K173+Sept!K181</f>
        <v>0</v>
      </c>
      <c r="L134" s="1046">
        <f t="shared" si="13"/>
        <v>0</v>
      </c>
      <c r="M134" s="1044">
        <f>Oct!J261+Nov!J189+Dec!J213</f>
        <v>0</v>
      </c>
      <c r="N134" s="1045">
        <f>Oct!K261+Nov!K189+Dec!K213</f>
        <v>0</v>
      </c>
      <c r="O134" s="1046">
        <f t="shared" si="14"/>
        <v>0</v>
      </c>
      <c r="P134" s="1055">
        <f t="shared" si="11"/>
        <v>0</v>
      </c>
      <c r="Q134" s="1056">
        <f t="shared" si="11"/>
        <v>0</v>
      </c>
      <c r="R134" s="1054">
        <f t="shared" si="15"/>
        <v>0</v>
      </c>
      <c r="S134" s="23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>
      <c r="A135" s="23"/>
      <c r="B135" s="23"/>
      <c r="C135" s="1022"/>
      <c r="D135" s="255">
        <f>SUM(D127:D134)</f>
        <v>70</v>
      </c>
      <c r="E135" s="255">
        <f>SUM(E127:E134)</f>
        <v>12</v>
      </c>
      <c r="F135" s="1023"/>
      <c r="G135" s="255">
        <f>SUM(G127:G134)</f>
        <v>49</v>
      </c>
      <c r="H135" s="255">
        <f>SUM(H127:H134)</f>
        <v>6</v>
      </c>
      <c r="I135" s="1023"/>
      <c r="J135" s="255">
        <f>SUM(J127:J134)</f>
        <v>29</v>
      </c>
      <c r="K135" s="255">
        <f>SUM(K127:K134)</f>
        <v>0</v>
      </c>
      <c r="L135" s="1023"/>
      <c r="M135" s="255">
        <f>SUM(M127:M134)</f>
        <v>100</v>
      </c>
      <c r="N135" s="255">
        <f>SUM(N127:N134)</f>
        <v>15</v>
      </c>
      <c r="O135" s="254"/>
      <c r="P135" s="255">
        <f>SUM(P127:P134)</f>
        <v>248</v>
      </c>
      <c r="Q135" s="255">
        <f>SUM(Q127:Q134)</f>
        <v>33</v>
      </c>
      <c r="R135" s="262">
        <f t="shared" si="15"/>
        <v>281</v>
      </c>
      <c r="S135" s="23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ht="16.5" thickBot="1">
      <c r="A136" s="23"/>
      <c r="B136" s="23"/>
      <c r="C136" s="256"/>
      <c r="D136" s="257"/>
      <c r="E136" s="258"/>
      <c r="F136" s="257"/>
      <c r="G136" s="257"/>
      <c r="H136" s="258"/>
      <c r="I136" s="258"/>
      <c r="J136" s="258"/>
      <c r="K136" s="259"/>
      <c r="L136" s="258"/>
      <c r="M136" s="258"/>
      <c r="N136" s="257"/>
      <c r="O136" s="257"/>
      <c r="P136" s="260"/>
      <c r="Q136" s="257"/>
      <c r="R136" s="261"/>
      <c r="S136" s="23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>
      <c r="A137" s="23"/>
      <c r="B137" s="23"/>
      <c r="C137" s="33"/>
      <c r="D137" s="1013"/>
      <c r="E137" s="1013"/>
      <c r="F137" s="31"/>
      <c r="G137" s="31"/>
      <c r="H137" s="1013"/>
      <c r="I137" s="1013"/>
      <c r="J137" s="1013"/>
      <c r="K137" s="1013"/>
      <c r="L137" s="1013"/>
      <c r="M137" s="1013"/>
      <c r="N137" s="31"/>
      <c r="O137" s="31"/>
      <c r="P137" s="86"/>
      <c r="Q137" s="31"/>
      <c r="R137" s="23"/>
      <c r="S137" s="23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>
      <c r="A138" s="23"/>
      <c r="B138" s="23"/>
      <c r="C138" s="46"/>
      <c r="D138" s="1013"/>
      <c r="E138" s="1013"/>
      <c r="F138" s="31"/>
      <c r="G138" s="31"/>
      <c r="H138" s="1013"/>
      <c r="I138" s="1013"/>
      <c r="J138" s="1013"/>
      <c r="K138" s="1013"/>
      <c r="L138" s="1013"/>
      <c r="M138" s="1013"/>
      <c r="N138" s="31"/>
      <c r="O138" s="31"/>
      <c r="P138" s="86"/>
      <c r="Q138" s="31"/>
      <c r="R138" s="23"/>
      <c r="S138" s="23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>
      <c r="A139" s="23"/>
      <c r="B139" s="1043"/>
      <c r="C139" s="1043"/>
      <c r="D139" s="1043"/>
      <c r="E139" s="1043"/>
      <c r="F139" s="1043"/>
      <c r="G139" s="1043"/>
      <c r="H139" s="1043"/>
      <c r="I139" s="1043"/>
      <c r="J139" s="1043"/>
      <c r="K139" s="1013"/>
      <c r="L139" s="1013"/>
      <c r="M139" s="1013"/>
      <c r="N139" s="31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>
      <c r="A140" s="23"/>
      <c r="B140" s="1043"/>
      <c r="C140" s="1534"/>
      <c r="D140" s="1534"/>
      <c r="E140" s="1534"/>
      <c r="F140" s="1534"/>
      <c r="G140" s="1534"/>
      <c r="H140" s="1534"/>
      <c r="I140" s="1534"/>
      <c r="J140" s="1534"/>
      <c r="K140" s="1534"/>
      <c r="L140" s="1534"/>
      <c r="M140" s="1013"/>
      <c r="N140" s="1013"/>
      <c r="O140" s="1013"/>
      <c r="P140" s="31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>
      <c r="A141" s="23"/>
      <c r="B141" s="1043"/>
      <c r="C141" s="1532"/>
      <c r="D141" s="1532"/>
      <c r="E141" s="1024"/>
      <c r="F141" s="1024"/>
      <c r="G141" s="1024"/>
      <c r="H141" s="1024"/>
      <c r="I141" s="1024"/>
      <c r="J141" s="1535"/>
      <c r="K141" s="1535"/>
      <c r="L141" s="1024"/>
      <c r="M141" s="1013"/>
      <c r="N141" s="1013"/>
      <c r="O141" s="1013"/>
      <c r="P141" s="31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spans="1:31">
      <c r="A142" s="23"/>
      <c r="B142" s="1043"/>
      <c r="C142" s="1498"/>
      <c r="D142" s="1498"/>
      <c r="E142" s="1057"/>
      <c r="F142" s="1057"/>
      <c r="G142" s="1057"/>
      <c r="H142" s="1057"/>
      <c r="I142" s="1057"/>
      <c r="J142" s="1533"/>
      <c r="K142" s="1533"/>
      <c r="L142" s="1057"/>
      <c r="M142" s="1013"/>
      <c r="N142" s="1013"/>
      <c r="O142" s="1013"/>
      <c r="P142" s="31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ht="21.75" customHeight="1">
      <c r="A143" s="23"/>
      <c r="B143" s="1043"/>
      <c r="C143" s="1501"/>
      <c r="D143" s="1501"/>
      <c r="E143" s="1057"/>
      <c r="F143" s="1057"/>
      <c r="G143" s="1057"/>
      <c r="H143" s="1057"/>
      <c r="I143" s="1057"/>
      <c r="J143" s="1533"/>
      <c r="K143" s="1533"/>
      <c r="L143" s="1057"/>
      <c r="M143" s="1013"/>
      <c r="N143" s="1013"/>
      <c r="O143" s="1013"/>
      <c r="P143" s="1013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ht="15.75" customHeight="1">
      <c r="A144" s="23"/>
      <c r="B144" s="1043"/>
      <c r="C144" s="1501"/>
      <c r="D144" s="1501"/>
      <c r="E144" s="1057"/>
      <c r="F144" s="1057"/>
      <c r="G144" s="1057"/>
      <c r="H144" s="1057"/>
      <c r="I144" s="1057"/>
      <c r="J144" s="1533"/>
      <c r="K144" s="1533"/>
      <c r="L144" s="1057"/>
      <c r="M144" s="23"/>
      <c r="N144" s="23"/>
      <c r="O144" s="23"/>
      <c r="P144" s="1013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>
      <c r="A145" s="23"/>
      <c r="B145" s="1043"/>
      <c r="C145" s="1501"/>
      <c r="D145" s="1501"/>
      <c r="E145" s="1057"/>
      <c r="F145" s="1057"/>
      <c r="G145" s="1057"/>
      <c r="H145" s="1057"/>
      <c r="I145" s="1057"/>
      <c r="J145" s="1533"/>
      <c r="K145" s="1533"/>
      <c r="L145" s="1057"/>
      <c r="M145" s="26"/>
      <c r="N145" s="26"/>
      <c r="O145" s="26"/>
      <c r="P145" s="1013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>
      <c r="A146" s="23"/>
      <c r="B146" s="1043"/>
      <c r="C146" s="1501"/>
      <c r="D146" s="1501"/>
      <c r="E146" s="1057"/>
      <c r="F146" s="1057"/>
      <c r="G146" s="1057"/>
      <c r="H146" s="1057"/>
      <c r="I146" s="1057"/>
      <c r="J146" s="1533"/>
      <c r="K146" s="1533"/>
      <c r="L146" s="1057"/>
      <c r="M146" s="26"/>
      <c r="N146" s="26"/>
      <c r="O146" s="26"/>
      <c r="P146" s="1013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ht="20.25" customHeight="1">
      <c r="A147" s="23"/>
      <c r="B147" s="1043"/>
      <c r="C147" s="1501"/>
      <c r="D147" s="1501"/>
      <c r="E147" s="1057"/>
      <c r="F147" s="1057"/>
      <c r="G147" s="1057"/>
      <c r="H147" s="1057"/>
      <c r="I147" s="1057"/>
      <c r="J147" s="1533"/>
      <c r="K147" s="1533"/>
      <c r="L147" s="1057"/>
      <c r="M147" s="26"/>
      <c r="N147" s="26"/>
      <c r="O147" s="26"/>
      <c r="P147" s="23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ht="24" customHeight="1">
      <c r="A148" s="23"/>
      <c r="B148" s="1043"/>
      <c r="C148" s="1501"/>
      <c r="D148" s="1501"/>
      <c r="E148" s="1057"/>
      <c r="F148" s="1057"/>
      <c r="G148" s="1057"/>
      <c r="H148" s="1057"/>
      <c r="I148" s="1057"/>
      <c r="J148" s="1533"/>
      <c r="K148" s="1533"/>
      <c r="L148" s="1057"/>
      <c r="M148" s="1021"/>
      <c r="N148" s="1021"/>
      <c r="O148" s="1021"/>
      <c r="P148" s="26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>
      <c r="A149" s="23"/>
      <c r="B149" s="1043"/>
      <c r="C149" s="1501"/>
      <c r="D149" s="1501"/>
      <c r="E149" s="1057"/>
      <c r="F149" s="1057"/>
      <c r="G149" s="1057"/>
      <c r="H149" s="1057"/>
      <c r="I149" s="1057"/>
      <c r="J149" s="1533"/>
      <c r="K149" s="1533"/>
      <c r="L149" s="1057"/>
      <c r="M149" s="219"/>
      <c r="N149" s="219"/>
      <c r="O149" s="219"/>
      <c r="P149" s="26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spans="1:31" ht="31.5" customHeight="1">
      <c r="A150" s="23"/>
      <c r="B150" s="1043"/>
      <c r="C150" s="1043"/>
      <c r="D150" s="1043"/>
      <c r="E150" s="1043"/>
      <c r="F150" s="1057"/>
      <c r="G150" s="1057"/>
      <c r="H150" s="1057"/>
      <c r="I150" s="1057"/>
      <c r="J150" s="1533"/>
      <c r="K150" s="1533"/>
      <c r="L150" s="1057"/>
      <c r="M150" s="219"/>
      <c r="N150" s="219"/>
      <c r="O150" s="219"/>
      <c r="P150" s="23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>
      <c r="A151" s="23"/>
      <c r="B151" s="1043"/>
      <c r="C151" s="1043"/>
      <c r="D151" s="1043"/>
      <c r="E151" s="1043"/>
      <c r="F151" s="1043"/>
      <c r="G151" s="1043"/>
      <c r="H151" s="1043"/>
      <c r="I151" s="1043"/>
      <c r="J151" s="1043"/>
      <c r="K151" s="1043"/>
      <c r="L151" s="1043"/>
      <c r="M151" s="219"/>
      <c r="N151" s="219"/>
      <c r="O151" s="219"/>
      <c r="P151" s="26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>
      <c r="A152" s="23"/>
      <c r="B152" s="23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86"/>
      <c r="S152" s="26"/>
      <c r="T152" s="23"/>
      <c r="U152" s="23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>
      <c r="A153" s="23"/>
      <c r="B153" s="23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86"/>
      <c r="S153" s="26"/>
      <c r="T153" s="23"/>
      <c r="U153" s="23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>
      <c r="A154" s="23"/>
      <c r="B154" s="23"/>
      <c r="C154" s="1021"/>
      <c r="D154" s="1021"/>
      <c r="E154" s="1021"/>
      <c r="F154" s="26"/>
      <c r="G154" s="26"/>
      <c r="H154" s="26"/>
      <c r="I154" s="26"/>
      <c r="J154" s="1021"/>
      <c r="K154" s="1021"/>
      <c r="L154" s="1021"/>
      <c r="M154" s="219"/>
      <c r="N154" s="219"/>
      <c r="O154" s="219"/>
      <c r="P154" s="30"/>
      <c r="Q154" s="30"/>
      <c r="R154" s="86"/>
      <c r="S154" s="30"/>
      <c r="T154" s="23"/>
      <c r="U154" s="23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spans="1:31">
      <c r="A155" s="23"/>
      <c r="B155" s="23"/>
      <c r="C155" s="33"/>
      <c r="D155" s="31"/>
      <c r="E155" s="1013"/>
      <c r="F155" s="31"/>
      <c r="G155" s="31"/>
      <c r="H155" s="1013"/>
      <c r="I155" s="219"/>
      <c r="J155" s="1013"/>
      <c r="K155" s="1013"/>
      <c r="L155" s="1013"/>
      <c r="M155" s="1013"/>
      <c r="N155" s="31"/>
      <c r="O155" s="31"/>
      <c r="P155" s="86"/>
      <c r="Q155" s="31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>
      <c r="A156" s="23"/>
      <c r="B156" s="23"/>
      <c r="C156" s="33"/>
      <c r="D156" s="31"/>
      <c r="E156" s="1013"/>
      <c r="F156" s="31"/>
      <c r="G156" s="31"/>
      <c r="H156" s="1013"/>
      <c r="I156" s="219"/>
      <c r="J156" s="1013"/>
      <c r="K156" s="1013"/>
      <c r="L156" s="1013"/>
      <c r="M156" s="1013"/>
      <c r="N156" s="31"/>
      <c r="O156" s="31"/>
      <c r="P156" s="86"/>
      <c r="Q156" s="31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>
      <c r="A157" s="23"/>
      <c r="B157" s="23"/>
      <c r="C157" s="33"/>
      <c r="D157" s="31"/>
      <c r="E157" s="1013"/>
      <c r="F157" s="31"/>
      <c r="G157" s="31"/>
      <c r="H157" s="1013"/>
      <c r="I157" s="219"/>
      <c r="J157" s="1013"/>
      <c r="K157" s="1013"/>
      <c r="L157" s="1013"/>
      <c r="M157" s="1013"/>
      <c r="N157" s="31"/>
      <c r="O157" s="31"/>
      <c r="P157" s="86"/>
      <c r="Q157" s="31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>
      <c r="A158" s="23"/>
      <c r="B158" s="23"/>
      <c r="C158" s="33"/>
      <c r="D158" s="31"/>
      <c r="E158" s="1013"/>
      <c r="F158" s="31"/>
      <c r="G158" s="31"/>
      <c r="H158" s="1013"/>
      <c r="I158" s="219"/>
      <c r="J158" s="35"/>
      <c r="K158" s="1013"/>
      <c r="L158" s="1013"/>
      <c r="M158" s="1013"/>
      <c r="N158" s="31"/>
      <c r="O158" s="31"/>
      <c r="P158" s="86"/>
      <c r="Q158" s="31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>
      <c r="A159" s="23"/>
      <c r="B159" s="23"/>
      <c r="C159" s="33"/>
      <c r="D159" s="31"/>
      <c r="E159" s="1013"/>
      <c r="F159" s="31"/>
      <c r="G159" s="31"/>
      <c r="H159" s="1013"/>
      <c r="I159" s="1013"/>
      <c r="J159" s="1013"/>
      <c r="K159" s="1013"/>
      <c r="L159" s="1013"/>
      <c r="M159" s="1013"/>
      <c r="N159" s="31"/>
      <c r="O159" s="31"/>
      <c r="P159" s="86"/>
      <c r="Q159" s="31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>
      <c r="A160" s="23"/>
      <c r="B160" s="23"/>
      <c r="C160" s="33"/>
      <c r="D160" s="31"/>
      <c r="E160" s="1013"/>
      <c r="F160" s="31"/>
      <c r="G160" s="31"/>
      <c r="H160" s="1013"/>
      <c r="I160" s="1013"/>
      <c r="J160" s="1013"/>
      <c r="K160" s="1013"/>
      <c r="L160" s="1013"/>
      <c r="M160" s="1013"/>
      <c r="N160" s="31"/>
      <c r="O160" s="31"/>
      <c r="P160" s="86"/>
      <c r="Q160" s="31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>
      <c r="A161" s="23"/>
      <c r="B161" s="23"/>
      <c r="C161" s="33"/>
      <c r="D161" s="31"/>
      <c r="E161" s="1013"/>
      <c r="F161" s="31"/>
      <c r="G161" s="31"/>
      <c r="H161" s="1013"/>
      <c r="I161" s="1013"/>
      <c r="J161" s="31"/>
      <c r="K161" s="31"/>
      <c r="L161" s="31"/>
      <c r="M161" s="31"/>
      <c r="N161" s="31"/>
      <c r="O161" s="31"/>
      <c r="P161" s="86"/>
      <c r="Q161" s="31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86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</sheetData>
  <mergeCells count="39">
    <mergeCell ref="C124:R125"/>
    <mergeCell ref="C140:L140"/>
    <mergeCell ref="J141:K141"/>
    <mergeCell ref="J142:K142"/>
    <mergeCell ref="J150:K150"/>
    <mergeCell ref="J145:K145"/>
    <mergeCell ref="J146:K146"/>
    <mergeCell ref="J147:K147"/>
    <mergeCell ref="J148:K148"/>
    <mergeCell ref="J149:K149"/>
    <mergeCell ref="C143:D143"/>
    <mergeCell ref="C144:D144"/>
    <mergeCell ref="J143:K143"/>
    <mergeCell ref="J144:K144"/>
    <mergeCell ref="C141:D141"/>
    <mergeCell ref="C142:D142"/>
    <mergeCell ref="B2:N4"/>
    <mergeCell ref="C19:C22"/>
    <mergeCell ref="P7:Q7"/>
    <mergeCell ref="C25:C28"/>
    <mergeCell ref="C13:C16"/>
    <mergeCell ref="C148:D148"/>
    <mergeCell ref="C146:D146"/>
    <mergeCell ref="C147:D147"/>
    <mergeCell ref="C149:D149"/>
    <mergeCell ref="C145:D145"/>
    <mergeCell ref="F110:G110"/>
    <mergeCell ref="C45:G47"/>
    <mergeCell ref="F48:G48"/>
    <mergeCell ref="F49:G49"/>
    <mergeCell ref="F50:G50"/>
    <mergeCell ref="F60:G60"/>
    <mergeCell ref="F61:G61"/>
    <mergeCell ref="C31:C34"/>
    <mergeCell ref="C37:C40"/>
    <mergeCell ref="C44:M44"/>
    <mergeCell ref="C65:M65"/>
    <mergeCell ref="F109:G109"/>
    <mergeCell ref="L45:M4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AJ201"/>
  <sheetViews>
    <sheetView topLeftCell="A22" zoomScale="70" zoomScaleNormal="70" workbookViewId="0">
      <selection activeCell="E41" sqref="E41"/>
    </sheetView>
  </sheetViews>
  <sheetFormatPr defaultColWidth="11" defaultRowHeight="15.75"/>
  <cols>
    <col min="1" max="1" width="8.75" customWidth="1"/>
    <col min="2" max="2" width="6.625" customWidth="1"/>
    <col min="3" max="3" width="25.625" customWidth="1"/>
    <col min="4" max="5" width="12.625" customWidth="1"/>
    <col min="6" max="7" width="17.625" customWidth="1"/>
    <col min="8" max="11" width="12.625" customWidth="1"/>
    <col min="12" max="12" width="7.625" customWidth="1"/>
    <col min="13" max="13" width="7" customWidth="1"/>
    <col min="14" max="15" width="8.625" customWidth="1"/>
    <col min="16" max="16" width="7.25" customWidth="1"/>
    <col min="17" max="17" width="4.75" customWidth="1"/>
    <col min="18" max="18" width="7.25" customWidth="1"/>
  </cols>
  <sheetData>
    <row r="1" spans="1:27" ht="27" customHeight="1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  <c r="S1" s="23"/>
      <c r="T1" s="22"/>
      <c r="U1" s="22"/>
      <c r="V1" s="22"/>
      <c r="W1" s="22"/>
      <c r="X1" s="22"/>
      <c r="Y1" s="22"/>
      <c r="Z1" s="22"/>
      <c r="AA1" s="22"/>
    </row>
    <row r="2" spans="1:27" ht="27" customHeight="1">
      <c r="A2" s="22"/>
      <c r="B2" s="1538" t="s">
        <v>55</v>
      </c>
      <c r="C2" s="1539"/>
      <c r="D2" s="1539"/>
      <c r="E2" s="1539"/>
      <c r="F2" s="1539"/>
      <c r="G2" s="1539"/>
      <c r="H2" s="1539"/>
      <c r="I2" s="1539"/>
      <c r="J2" s="1539"/>
      <c r="K2" s="1539"/>
      <c r="L2" s="1539"/>
      <c r="M2" s="1539"/>
      <c r="N2" s="1540"/>
      <c r="O2" s="22"/>
      <c r="P2" s="22"/>
      <c r="Q2" s="22"/>
      <c r="R2" s="23"/>
      <c r="S2" s="23"/>
      <c r="T2" s="22"/>
      <c r="U2" s="22"/>
      <c r="V2" s="22"/>
      <c r="W2" s="22"/>
      <c r="X2" s="22"/>
      <c r="Y2" s="22"/>
      <c r="Z2" s="22"/>
      <c r="AA2" s="22"/>
    </row>
    <row r="3" spans="1:27" ht="27" customHeight="1">
      <c r="A3" s="22"/>
      <c r="B3" s="1541"/>
      <c r="C3" s="1542"/>
      <c r="D3" s="1542"/>
      <c r="E3" s="1542"/>
      <c r="F3" s="1542"/>
      <c r="G3" s="1542"/>
      <c r="H3" s="1542"/>
      <c r="I3" s="1542"/>
      <c r="J3" s="1542"/>
      <c r="K3" s="1542"/>
      <c r="L3" s="1542"/>
      <c r="M3" s="1542"/>
      <c r="N3" s="1543"/>
      <c r="O3" s="22"/>
      <c r="P3" s="22"/>
      <c r="Q3" s="22"/>
      <c r="R3" s="23"/>
      <c r="S3" s="23"/>
      <c r="T3" s="22"/>
      <c r="U3" s="22"/>
      <c r="V3" s="22"/>
      <c r="W3" s="22"/>
      <c r="X3" s="22"/>
      <c r="Y3" s="22"/>
      <c r="Z3" s="22"/>
      <c r="AA3" s="22"/>
    </row>
    <row r="4" spans="1:27" ht="27" customHeight="1" thickBot="1">
      <c r="A4" s="22"/>
      <c r="B4" s="1544"/>
      <c r="C4" s="1545"/>
      <c r="D4" s="1545"/>
      <c r="E4" s="1545"/>
      <c r="F4" s="1545"/>
      <c r="G4" s="1545"/>
      <c r="H4" s="1545"/>
      <c r="I4" s="1545"/>
      <c r="J4" s="1545"/>
      <c r="K4" s="1545"/>
      <c r="L4" s="1545"/>
      <c r="M4" s="1545"/>
      <c r="N4" s="1546"/>
      <c r="O4" s="22"/>
      <c r="P4" s="22"/>
      <c r="Q4" s="22"/>
      <c r="R4" s="23"/>
      <c r="S4" s="23"/>
      <c r="T4" s="22"/>
      <c r="U4" s="22"/>
      <c r="V4" s="22"/>
      <c r="W4" s="22"/>
      <c r="X4" s="22"/>
      <c r="Y4" s="22"/>
      <c r="Z4" s="22"/>
      <c r="AA4" s="22"/>
    </row>
    <row r="5" spans="1:27" ht="27" customHeight="1" thickBo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3"/>
      <c r="S5" s="23"/>
      <c r="T5" s="22"/>
      <c r="U5" s="22"/>
      <c r="V5" s="22"/>
      <c r="W5" s="22"/>
      <c r="X5" s="22"/>
      <c r="Y5" s="22"/>
      <c r="Z5" s="22"/>
      <c r="AA5" s="22"/>
    </row>
    <row r="6" spans="1:27" ht="36" customHeight="1" thickBot="1">
      <c r="A6" s="22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23"/>
      <c r="P6" s="23"/>
      <c r="Q6" s="23"/>
      <c r="R6" s="23"/>
      <c r="S6" s="23"/>
      <c r="T6" s="22"/>
      <c r="U6" s="22"/>
      <c r="V6" s="22"/>
      <c r="W6" s="22"/>
      <c r="X6" s="22"/>
      <c r="Y6" s="22"/>
      <c r="Z6" s="22"/>
      <c r="AA6" s="22"/>
    </row>
    <row r="7" spans="1:27" ht="21.75" customHeight="1">
      <c r="A7" s="22"/>
      <c r="B7" s="14"/>
      <c r="C7" s="150" t="s">
        <v>1</v>
      </c>
      <c r="D7" s="151" t="s">
        <v>2</v>
      </c>
      <c r="E7" s="151" t="s">
        <v>56</v>
      </c>
      <c r="F7" s="152" t="s">
        <v>4</v>
      </c>
      <c r="G7" s="522" t="s">
        <v>5</v>
      </c>
      <c r="H7" s="524" t="s">
        <v>6</v>
      </c>
      <c r="I7" s="153" t="s">
        <v>7</v>
      </c>
      <c r="J7" s="150" t="s">
        <v>8</v>
      </c>
      <c r="K7" s="151" t="s">
        <v>9</v>
      </c>
      <c r="L7" s="151" t="s">
        <v>10</v>
      </c>
      <c r="M7" s="158" t="s">
        <v>11</v>
      </c>
      <c r="N7" s="39"/>
      <c r="O7" s="40"/>
      <c r="P7" s="1523"/>
      <c r="Q7" s="1523"/>
      <c r="R7" s="23"/>
      <c r="S7" s="23"/>
      <c r="T7" s="22"/>
      <c r="U7" s="22"/>
      <c r="V7" s="22"/>
      <c r="W7" s="22"/>
      <c r="X7" s="22"/>
      <c r="Y7" s="22"/>
      <c r="Z7" s="22"/>
      <c r="AA7" s="22"/>
    </row>
    <row r="8" spans="1:27" ht="21.75" customHeight="1">
      <c r="A8" s="22"/>
      <c r="B8" s="14"/>
      <c r="C8" s="154" t="s">
        <v>12</v>
      </c>
      <c r="D8" s="55"/>
      <c r="E8" s="102">
        <f t="shared" ref="E8:F10" si="0">SUM(E2:E5)</f>
        <v>0</v>
      </c>
      <c r="F8" s="102">
        <f t="shared" si="0"/>
        <v>0</v>
      </c>
      <c r="G8" s="523">
        <v>144</v>
      </c>
      <c r="H8" s="275"/>
      <c r="I8" s="155"/>
      <c r="J8" s="275">
        <f t="shared" ref="J8:M10" si="1">SUM(J2:J5)</f>
        <v>0</v>
      </c>
      <c r="K8" s="102">
        <f t="shared" si="1"/>
        <v>0</v>
      </c>
      <c r="L8" s="102">
        <f t="shared" si="1"/>
        <v>0</v>
      </c>
      <c r="M8" s="155">
        <f t="shared" si="1"/>
        <v>0</v>
      </c>
      <c r="N8" s="39"/>
      <c r="O8" s="40"/>
      <c r="P8" s="1009"/>
      <c r="Q8" s="1009"/>
      <c r="R8" s="23"/>
      <c r="S8" s="23"/>
      <c r="T8" s="22"/>
      <c r="U8" s="22"/>
      <c r="V8" s="22"/>
      <c r="W8" s="22"/>
      <c r="X8" s="22"/>
      <c r="Y8" s="22"/>
      <c r="Z8" s="22"/>
      <c r="AA8" s="22"/>
    </row>
    <row r="9" spans="1:27" ht="21.75" customHeight="1">
      <c r="A9" s="22"/>
      <c r="B9" s="14"/>
      <c r="C9" s="154" t="s">
        <v>13</v>
      </c>
      <c r="D9" s="55"/>
      <c r="E9" s="102">
        <f t="shared" si="0"/>
        <v>0</v>
      </c>
      <c r="F9" s="102">
        <f t="shared" si="0"/>
        <v>0</v>
      </c>
      <c r="G9" s="523">
        <v>254</v>
      </c>
      <c r="H9" s="275"/>
      <c r="I9" s="155"/>
      <c r="J9" s="275">
        <f t="shared" si="1"/>
        <v>0</v>
      </c>
      <c r="K9" s="102">
        <f t="shared" si="1"/>
        <v>0</v>
      </c>
      <c r="L9" s="102">
        <f t="shared" si="1"/>
        <v>0</v>
      </c>
      <c r="M9" s="155">
        <f t="shared" si="1"/>
        <v>0</v>
      </c>
      <c r="N9" s="39"/>
      <c r="O9" s="40"/>
      <c r="P9" s="1009"/>
      <c r="Q9" s="1009"/>
      <c r="R9" s="23"/>
      <c r="S9" s="23"/>
      <c r="T9" s="22"/>
      <c r="U9" s="22"/>
      <c r="V9" s="22"/>
      <c r="W9" s="22"/>
      <c r="X9" s="22"/>
      <c r="Y9" s="22"/>
      <c r="Z9" s="22"/>
      <c r="AA9" s="22"/>
    </row>
    <row r="10" spans="1:27" ht="21.75" customHeight="1">
      <c r="A10" s="22"/>
      <c r="B10" s="14"/>
      <c r="C10" s="154" t="s">
        <v>14</v>
      </c>
      <c r="D10" s="55"/>
      <c r="E10" s="102">
        <f t="shared" si="0"/>
        <v>0</v>
      </c>
      <c r="F10" s="102">
        <f t="shared" si="0"/>
        <v>0</v>
      </c>
      <c r="G10" s="523">
        <v>246</v>
      </c>
      <c r="H10" s="275"/>
      <c r="I10" s="155"/>
      <c r="J10" s="275">
        <f t="shared" si="1"/>
        <v>0</v>
      </c>
      <c r="K10" s="102">
        <f t="shared" si="1"/>
        <v>0</v>
      </c>
      <c r="L10" s="102">
        <f t="shared" si="1"/>
        <v>0</v>
      </c>
      <c r="M10" s="155">
        <f t="shared" si="1"/>
        <v>0</v>
      </c>
      <c r="N10" s="39"/>
      <c r="O10" s="40"/>
      <c r="P10" s="1009"/>
      <c r="Q10" s="1009"/>
      <c r="R10" s="23"/>
      <c r="S10" s="23"/>
      <c r="T10" s="22"/>
      <c r="U10" s="22"/>
      <c r="V10" s="22"/>
      <c r="W10" s="22"/>
      <c r="X10" s="22"/>
      <c r="Y10" s="22"/>
      <c r="Z10" s="22"/>
      <c r="AA10" s="22"/>
    </row>
    <row r="11" spans="1:27" ht="21.75" customHeight="1" thickBot="1">
      <c r="A11" s="22"/>
      <c r="B11" s="14"/>
      <c r="C11" s="135" t="s">
        <v>15</v>
      </c>
      <c r="D11" s="136"/>
      <c r="E11" s="156">
        <f>SUM(E5:E10)</f>
        <v>0</v>
      </c>
      <c r="F11" s="156">
        <f>SUM(F5:F10)</f>
        <v>0</v>
      </c>
      <c r="G11" s="289">
        <v>228</v>
      </c>
      <c r="H11" s="276"/>
      <c r="I11" s="157"/>
      <c r="J11" s="276">
        <f t="shared" ref="J11:M11" si="2">SUM(J5:J10)</f>
        <v>0</v>
      </c>
      <c r="K11" s="156">
        <f t="shared" si="2"/>
        <v>0</v>
      </c>
      <c r="L11" s="156">
        <f t="shared" si="2"/>
        <v>0</v>
      </c>
      <c r="M11" s="157">
        <f t="shared" si="2"/>
        <v>0</v>
      </c>
      <c r="N11" s="39"/>
      <c r="O11" s="40"/>
      <c r="P11" s="1009"/>
      <c r="Q11" s="1009"/>
      <c r="R11" s="23"/>
      <c r="S11" s="23"/>
      <c r="T11" s="22"/>
      <c r="U11" s="22"/>
      <c r="V11" s="22"/>
      <c r="W11" s="22"/>
      <c r="X11" s="22"/>
      <c r="Y11" s="22"/>
      <c r="Z11" s="22"/>
      <c r="AA11" s="22"/>
    </row>
    <row r="12" spans="1:27" ht="21.75" customHeight="1" thickBot="1">
      <c r="A12" s="22"/>
      <c r="B12" s="14"/>
      <c r="C12" s="126"/>
      <c r="D12" s="51"/>
      <c r="E12" s="128"/>
      <c r="F12" s="128"/>
      <c r="G12" s="127"/>
      <c r="H12" s="128"/>
      <c r="I12" s="128"/>
      <c r="J12" s="128"/>
      <c r="K12" s="128"/>
      <c r="L12" s="128"/>
      <c r="M12" s="128"/>
      <c r="N12" s="39"/>
      <c r="O12" s="40"/>
      <c r="P12" s="1009"/>
      <c r="Q12" s="1009"/>
      <c r="R12" s="23"/>
      <c r="S12" s="23"/>
      <c r="T12" s="22"/>
      <c r="U12" s="22"/>
      <c r="V12" s="22"/>
      <c r="W12" s="22"/>
      <c r="X12" s="22"/>
      <c r="Y12" s="22"/>
      <c r="Z12" s="22"/>
      <c r="AA12" s="22"/>
    </row>
    <row r="13" spans="1:27" ht="19.149999999999999" customHeight="1">
      <c r="A13" s="22"/>
      <c r="B13" s="14"/>
      <c r="C13" s="1519">
        <v>2016</v>
      </c>
      <c r="D13" s="138" t="s">
        <v>16</v>
      </c>
      <c r="E13" s="148"/>
      <c r="F13" s="148"/>
      <c r="G13" s="173">
        <f>24+15+21</f>
        <v>60</v>
      </c>
      <c r="H13" s="507"/>
      <c r="I13" s="140"/>
      <c r="J13" s="277">
        <f>24+15+21</f>
        <v>60</v>
      </c>
      <c r="K13" s="149">
        <v>0</v>
      </c>
      <c r="L13" s="149">
        <v>1</v>
      </c>
      <c r="M13" s="278">
        <v>0</v>
      </c>
      <c r="N13" s="39"/>
      <c r="O13" s="40"/>
      <c r="P13" s="1009"/>
      <c r="Q13" s="1009"/>
      <c r="R13" s="23"/>
      <c r="S13" s="23"/>
      <c r="T13" s="22"/>
      <c r="U13" s="22"/>
      <c r="V13" s="22"/>
      <c r="W13" s="22"/>
      <c r="X13" s="22"/>
      <c r="Y13" s="22"/>
      <c r="Z13" s="22"/>
      <c r="AA13" s="22"/>
    </row>
    <row r="14" spans="1:27" ht="19.149999999999999" customHeight="1">
      <c r="A14" s="22"/>
      <c r="B14" s="14"/>
      <c r="C14" s="1520"/>
      <c r="D14" s="44" t="s">
        <v>17</v>
      </c>
      <c r="E14" s="69"/>
      <c r="F14" s="69"/>
      <c r="G14" s="506">
        <f>39+26+38</f>
        <v>103</v>
      </c>
      <c r="H14" s="508"/>
      <c r="I14" s="141"/>
      <c r="J14" s="279">
        <f>39+26+38</f>
        <v>103</v>
      </c>
      <c r="K14" s="143">
        <v>0</v>
      </c>
      <c r="L14" s="143">
        <f>6+2</f>
        <v>8</v>
      </c>
      <c r="M14" s="280">
        <v>1</v>
      </c>
      <c r="N14" s="39"/>
      <c r="O14" s="40"/>
      <c r="P14" s="1009"/>
      <c r="Q14" s="1009"/>
      <c r="R14" s="23"/>
      <c r="S14" s="23"/>
      <c r="T14" s="22"/>
      <c r="U14" s="22"/>
      <c r="V14" s="22"/>
      <c r="W14" s="22"/>
      <c r="X14" s="22"/>
      <c r="Y14" s="22"/>
      <c r="Z14" s="22"/>
      <c r="AA14" s="22"/>
    </row>
    <row r="15" spans="1:27" ht="19.149999999999999" customHeight="1">
      <c r="A15" s="22"/>
      <c r="B15" s="14"/>
      <c r="C15" s="1520"/>
      <c r="D15" s="44" t="s">
        <v>18</v>
      </c>
      <c r="E15" s="58">
        <f>0+0+6</f>
        <v>6</v>
      </c>
      <c r="F15" s="69"/>
      <c r="G15" s="506">
        <f>24+0+46</f>
        <v>70</v>
      </c>
      <c r="H15" s="508"/>
      <c r="I15" s="141"/>
      <c r="J15" s="279">
        <f>24+46</f>
        <v>70</v>
      </c>
      <c r="K15" s="143">
        <v>0</v>
      </c>
      <c r="L15" s="143">
        <v>2</v>
      </c>
      <c r="M15" s="280">
        <v>6</v>
      </c>
      <c r="N15" s="39"/>
      <c r="O15" s="40"/>
      <c r="P15" s="1009"/>
      <c r="Q15" s="1009"/>
      <c r="R15" s="23"/>
      <c r="S15" s="23"/>
      <c r="T15" s="22"/>
      <c r="U15" s="22"/>
      <c r="V15" s="22"/>
      <c r="W15" s="22"/>
      <c r="X15" s="22"/>
      <c r="Y15" s="22"/>
      <c r="Z15" s="22"/>
      <c r="AA15" s="22"/>
    </row>
    <row r="16" spans="1:27" ht="19.149999999999999" customHeight="1">
      <c r="A16" s="22"/>
      <c r="B16" s="14"/>
      <c r="C16" s="1520"/>
      <c r="D16" s="44" t="s">
        <v>19</v>
      </c>
      <c r="E16" s="58">
        <f>3+3+14</f>
        <v>20</v>
      </c>
      <c r="F16" s="69"/>
      <c r="G16" s="506">
        <f>10+22+12</f>
        <v>44</v>
      </c>
      <c r="H16" s="508"/>
      <c r="I16" s="141"/>
      <c r="J16" s="279">
        <f>12+22+10</f>
        <v>44</v>
      </c>
      <c r="K16" s="143">
        <v>0</v>
      </c>
      <c r="L16" s="143">
        <v>1</v>
      </c>
      <c r="M16" s="280">
        <v>1</v>
      </c>
      <c r="N16" s="39"/>
      <c r="O16" s="40"/>
      <c r="P16" s="1009"/>
      <c r="Q16" s="1009"/>
      <c r="R16" s="23"/>
      <c r="S16" s="23"/>
      <c r="T16" s="22"/>
      <c r="U16" s="22"/>
      <c r="V16" s="22"/>
      <c r="W16" s="22"/>
      <c r="X16" s="22"/>
      <c r="Y16" s="22"/>
      <c r="Z16" s="22"/>
      <c r="AA16" s="22"/>
    </row>
    <row r="17" spans="1:27" ht="19.149999999999999" customHeight="1" thickBot="1">
      <c r="A17" s="22"/>
      <c r="B17" s="14"/>
      <c r="C17" s="135" t="s">
        <v>20</v>
      </c>
      <c r="D17" s="136"/>
      <c r="E17" s="130">
        <f t="shared" ref="E17:M17" si="3">SUM(E13:E16)</f>
        <v>26</v>
      </c>
      <c r="F17" s="137">
        <f t="shared" si="3"/>
        <v>0</v>
      </c>
      <c r="G17" s="289">
        <f t="shared" si="3"/>
        <v>277</v>
      </c>
      <c r="H17" s="281"/>
      <c r="I17" s="131"/>
      <c r="J17" s="281">
        <f>SUM(J13:J16)</f>
        <v>277</v>
      </c>
      <c r="K17" s="130">
        <f t="shared" si="3"/>
        <v>0</v>
      </c>
      <c r="L17" s="130">
        <f t="shared" si="3"/>
        <v>12</v>
      </c>
      <c r="M17" s="131">
        <f t="shared" si="3"/>
        <v>8</v>
      </c>
      <c r="N17" s="39"/>
      <c r="O17" s="40"/>
      <c r="P17" s="1009"/>
      <c r="Q17" s="1009"/>
      <c r="R17" s="23"/>
      <c r="S17" s="23"/>
      <c r="T17" s="22"/>
      <c r="U17" s="22"/>
      <c r="V17" s="22"/>
      <c r="W17" s="22"/>
      <c r="X17" s="22"/>
      <c r="Y17" s="22"/>
      <c r="Z17" s="22"/>
      <c r="AA17" s="22"/>
    </row>
    <row r="18" spans="1:27" ht="19.149999999999999" customHeight="1" thickBot="1">
      <c r="A18" s="22"/>
      <c r="B18" s="14"/>
      <c r="C18" s="126"/>
      <c r="D18" s="51"/>
      <c r="E18" s="127"/>
      <c r="F18" s="128"/>
      <c r="G18" s="127"/>
      <c r="H18" s="127"/>
      <c r="I18" s="127"/>
      <c r="J18" s="127"/>
      <c r="K18" s="127"/>
      <c r="L18" s="127"/>
      <c r="M18" s="127"/>
      <c r="N18" s="39"/>
      <c r="O18" s="40"/>
      <c r="P18" s="1009"/>
      <c r="Q18" s="1009"/>
      <c r="R18" s="23"/>
      <c r="S18" s="23"/>
      <c r="T18" s="22"/>
      <c r="U18" s="22"/>
      <c r="V18" s="22"/>
      <c r="W18" s="22"/>
      <c r="X18" s="22"/>
      <c r="Y18" s="22"/>
      <c r="Z18" s="22"/>
      <c r="AA18" s="22"/>
    </row>
    <row r="19" spans="1:27" ht="19.149999999999999" customHeight="1">
      <c r="A19" s="22"/>
      <c r="B19" s="14"/>
      <c r="C19" s="1519">
        <v>2017</v>
      </c>
      <c r="D19" s="132" t="s">
        <v>16</v>
      </c>
      <c r="E19" s="139">
        <v>8</v>
      </c>
      <c r="F19" s="148"/>
      <c r="G19" s="509">
        <f>9+17+16</f>
        <v>42</v>
      </c>
      <c r="H19" s="511"/>
      <c r="I19" s="133"/>
      <c r="J19" s="282">
        <f>9+18+16</f>
        <v>43</v>
      </c>
      <c r="K19" s="145">
        <v>0</v>
      </c>
      <c r="L19" s="145">
        <v>1</v>
      </c>
      <c r="M19" s="283">
        <v>0</v>
      </c>
      <c r="N19" s="38"/>
      <c r="O19" s="36"/>
      <c r="P19" s="36"/>
      <c r="Q19" s="36"/>
      <c r="R19" s="23"/>
      <c r="S19" s="23"/>
      <c r="T19" s="22"/>
      <c r="U19" s="22"/>
      <c r="V19" s="22"/>
      <c r="W19" s="22"/>
      <c r="X19" s="22"/>
      <c r="Y19" s="22"/>
      <c r="Z19" s="22"/>
      <c r="AA19" s="22"/>
    </row>
    <row r="20" spans="1:27" ht="19.149999999999999" customHeight="1">
      <c r="A20" s="22"/>
      <c r="B20" s="14"/>
      <c r="C20" s="1520"/>
      <c r="D20" s="20" t="s">
        <v>17</v>
      </c>
      <c r="E20" s="58">
        <v>5</v>
      </c>
      <c r="F20" s="69"/>
      <c r="G20" s="510">
        <f>14+12+12</f>
        <v>38</v>
      </c>
      <c r="H20" s="512"/>
      <c r="I20" s="134"/>
      <c r="J20" s="284">
        <f>14+12+12</f>
        <v>38</v>
      </c>
      <c r="K20" s="142">
        <v>0</v>
      </c>
      <c r="L20" s="142">
        <v>0</v>
      </c>
      <c r="M20" s="285">
        <v>0</v>
      </c>
      <c r="N20" s="38"/>
      <c r="O20" s="36"/>
      <c r="P20" s="36"/>
      <c r="Q20" s="36"/>
      <c r="R20" s="23"/>
      <c r="S20" s="23"/>
      <c r="T20" s="22"/>
      <c r="U20" s="22"/>
      <c r="V20" s="22"/>
      <c r="W20" s="22"/>
      <c r="X20" s="22"/>
      <c r="Y20" s="22"/>
      <c r="Z20" s="22"/>
      <c r="AA20" s="22"/>
    </row>
    <row r="21" spans="1:27" ht="19.149999999999999" customHeight="1">
      <c r="A21" s="22"/>
      <c r="B21" s="14"/>
      <c r="C21" s="1520"/>
      <c r="D21" s="20" t="s">
        <v>18</v>
      </c>
      <c r="E21" s="58">
        <v>8</v>
      </c>
      <c r="F21" s="69"/>
      <c r="G21" s="510">
        <f>18+11+14</f>
        <v>43</v>
      </c>
      <c r="H21" s="512"/>
      <c r="I21" s="134"/>
      <c r="J21" s="284">
        <f>14+11+14</f>
        <v>39</v>
      </c>
      <c r="K21" s="142">
        <f>4</f>
        <v>4</v>
      </c>
      <c r="L21" s="142">
        <v>0</v>
      </c>
      <c r="M21" s="285">
        <v>0</v>
      </c>
      <c r="N21" s="38"/>
      <c r="O21" s="36"/>
      <c r="P21" s="36"/>
      <c r="Q21" s="36"/>
      <c r="R21" s="23"/>
      <c r="S21" s="23"/>
      <c r="T21" s="22"/>
      <c r="U21" s="22"/>
      <c r="V21" s="22"/>
      <c r="W21" s="22"/>
      <c r="X21" s="22"/>
      <c r="Y21" s="22"/>
      <c r="Z21" s="22"/>
      <c r="AA21" s="22"/>
    </row>
    <row r="22" spans="1:27" ht="19.149999999999999" customHeight="1">
      <c r="A22" s="22"/>
      <c r="B22" s="14"/>
      <c r="C22" s="1520"/>
      <c r="D22" s="20" t="s">
        <v>19</v>
      </c>
      <c r="E22" s="58">
        <v>3</v>
      </c>
      <c r="F22" s="69"/>
      <c r="G22" s="510">
        <f>18+13+23</f>
        <v>54</v>
      </c>
      <c r="H22" s="512"/>
      <c r="I22" s="134"/>
      <c r="J22" s="284">
        <f>10+15+20</f>
        <v>45</v>
      </c>
      <c r="K22" s="142">
        <f>1+2</f>
        <v>3</v>
      </c>
      <c r="L22" s="142">
        <v>3</v>
      </c>
      <c r="M22" s="285">
        <v>0</v>
      </c>
      <c r="N22" s="38"/>
      <c r="O22" s="36"/>
      <c r="P22" s="36"/>
      <c r="Q22" s="36"/>
      <c r="R22" s="23"/>
      <c r="S22" s="23"/>
      <c r="T22" s="22"/>
      <c r="U22" s="22"/>
      <c r="V22" s="22"/>
      <c r="W22" s="22"/>
      <c r="X22" s="22"/>
      <c r="Y22" s="22"/>
      <c r="Z22" s="22"/>
      <c r="AA22" s="22"/>
    </row>
    <row r="23" spans="1:27" ht="19.149999999999999" customHeight="1" thickBot="1">
      <c r="A23" s="22"/>
      <c r="B23" s="14"/>
      <c r="C23" s="135" t="s">
        <v>22</v>
      </c>
      <c r="D23" s="136"/>
      <c r="E23" s="130">
        <f t="shared" ref="E23:M23" si="4">SUM(E19:E22)</f>
        <v>24</v>
      </c>
      <c r="F23" s="137">
        <f t="shared" si="4"/>
        <v>0</v>
      </c>
      <c r="G23" s="289">
        <f t="shared" si="4"/>
        <v>177</v>
      </c>
      <c r="H23" s="281"/>
      <c r="I23" s="131"/>
      <c r="J23" s="281">
        <f t="shared" si="4"/>
        <v>165</v>
      </c>
      <c r="K23" s="130">
        <f t="shared" si="4"/>
        <v>7</v>
      </c>
      <c r="L23" s="130">
        <f t="shared" si="4"/>
        <v>4</v>
      </c>
      <c r="M23" s="131">
        <f t="shared" si="4"/>
        <v>0</v>
      </c>
      <c r="N23" s="38"/>
      <c r="O23" s="36"/>
      <c r="P23" s="36"/>
      <c r="Q23" s="36"/>
      <c r="R23" s="23"/>
      <c r="S23" s="23"/>
      <c r="T23" s="22"/>
      <c r="U23" s="22"/>
      <c r="V23" s="22"/>
      <c r="W23" s="22"/>
      <c r="X23" s="22"/>
      <c r="Y23" s="22"/>
      <c r="Z23" s="22"/>
      <c r="AA23" s="22"/>
    </row>
    <row r="24" spans="1:27" ht="19.149999999999999" customHeight="1" thickBot="1">
      <c r="A24" s="22"/>
      <c r="B24" s="14"/>
      <c r="C24" s="126"/>
      <c r="D24" s="51"/>
      <c r="E24" s="127"/>
      <c r="F24" s="128"/>
      <c r="G24" s="127"/>
      <c r="H24" s="127"/>
      <c r="I24" s="127"/>
      <c r="J24" s="127"/>
      <c r="K24" s="127"/>
      <c r="L24" s="127"/>
      <c r="M24" s="127"/>
      <c r="N24" s="38"/>
      <c r="O24" s="36"/>
      <c r="P24" s="36"/>
      <c r="Q24" s="36"/>
      <c r="R24" s="23"/>
      <c r="S24" s="23"/>
      <c r="T24" s="22"/>
      <c r="U24" s="22"/>
      <c r="V24" s="22"/>
      <c r="W24" s="22"/>
      <c r="X24" s="22"/>
      <c r="Y24" s="22"/>
      <c r="Z24" s="22"/>
      <c r="AA24" s="22"/>
    </row>
    <row r="25" spans="1:27" ht="19.149999999999999" customHeight="1">
      <c r="A25" s="22"/>
      <c r="B25" s="14"/>
      <c r="C25" s="1519">
        <v>2018</v>
      </c>
      <c r="D25" s="144" t="s">
        <v>16</v>
      </c>
      <c r="E25" s="505">
        <f>[1]BILAN_PA!$E$25</f>
        <v>5</v>
      </c>
      <c r="F25" s="505">
        <f>[1]BILAN_PA!$F$25</f>
        <v>9</v>
      </c>
      <c r="G25" s="503">
        <f>[1]BILAN_PA!$G$25</f>
        <v>60</v>
      </c>
      <c r="H25" s="514">
        <f>[1]BILAN_PA!$H$25</f>
        <v>41</v>
      </c>
      <c r="I25" s="146">
        <f>[1]BILAN_PA!$I$25</f>
        <v>19</v>
      </c>
      <c r="J25" s="286">
        <f>[1]BILAN_PA!$J$25</f>
        <v>41</v>
      </c>
      <c r="K25" s="264">
        <f>[1]BILAN_PA!$K$25</f>
        <v>17</v>
      </c>
      <c r="L25" s="264">
        <f>[1]BILAN_PA!$L$25</f>
        <v>2</v>
      </c>
      <c r="M25" s="265">
        <f>[1]BILAN_PA!$M$25</f>
        <v>0</v>
      </c>
      <c r="N25" s="16"/>
      <c r="O25" s="1013"/>
      <c r="P25" s="1013"/>
      <c r="Q25" s="1013"/>
      <c r="R25" s="23"/>
      <c r="S25" s="23"/>
      <c r="T25" s="22"/>
      <c r="U25" s="22"/>
      <c r="V25" s="22"/>
      <c r="W25" s="22"/>
      <c r="X25" s="22"/>
      <c r="Y25" s="22"/>
      <c r="Z25" s="22"/>
      <c r="AA25" s="22"/>
    </row>
    <row r="26" spans="1:27" ht="19.149999999999999" customHeight="1">
      <c r="A26" s="22"/>
      <c r="B26" s="14"/>
      <c r="C26" s="1520"/>
      <c r="D26" s="57" t="s">
        <v>17</v>
      </c>
      <c r="E26" s="504">
        <f>[1]BILAN_PA!$E$26</f>
        <v>11</v>
      </c>
      <c r="F26" s="504">
        <f>[1]BILAN_PA!$F$26</f>
        <v>25</v>
      </c>
      <c r="G26" s="513">
        <f>[1]BILAN_PA!$G$26</f>
        <v>107</v>
      </c>
      <c r="H26" s="515">
        <f>[1]BILAN_PA!$H$26</f>
        <v>69</v>
      </c>
      <c r="I26" s="147">
        <f>[1]BILAN_PA!$I$26</f>
        <v>37</v>
      </c>
      <c r="J26" s="287">
        <f>[1]BILAN_PA!$J$26</f>
        <v>61</v>
      </c>
      <c r="K26" s="266">
        <f>[1]BILAN_PA!$K$26</f>
        <v>29</v>
      </c>
      <c r="L26" s="266">
        <f>[1]BILAN_PA!$L$26</f>
        <v>15</v>
      </c>
      <c r="M26" s="263">
        <f>[1]BILAN_PA!$M$26</f>
        <v>2</v>
      </c>
      <c r="N26" s="16"/>
      <c r="O26" s="1013"/>
      <c r="P26" s="1013"/>
      <c r="Q26" s="37"/>
      <c r="R26" s="23"/>
      <c r="S26" s="23"/>
      <c r="T26" s="22"/>
      <c r="U26" s="22"/>
      <c r="V26" s="22"/>
      <c r="W26" s="22"/>
      <c r="X26" s="22"/>
      <c r="Y26" s="22"/>
      <c r="Z26" s="22"/>
      <c r="AA26" s="22"/>
    </row>
    <row r="27" spans="1:27" ht="19.149999999999999" customHeight="1">
      <c r="A27" s="22"/>
      <c r="B27" s="14"/>
      <c r="C27" s="1520"/>
      <c r="D27" s="57" t="s">
        <v>18</v>
      </c>
      <c r="E27" s="504">
        <f>[1]BILAN_PA!$E$27</f>
        <v>11</v>
      </c>
      <c r="F27" s="504">
        <f>[1]BILAN_PA!$F$27</f>
        <v>22</v>
      </c>
      <c r="G27" s="513">
        <f>[1]BILAN_PA!$G$27</f>
        <v>68</v>
      </c>
      <c r="H27" s="515">
        <f>[1]BILAN_PA!$H$27</f>
        <v>53</v>
      </c>
      <c r="I27" s="147">
        <f>[1]BILAN_PA!$I$27</f>
        <v>15</v>
      </c>
      <c r="J27" s="287">
        <f>[1]BILAN_PA!$J$27</f>
        <v>42</v>
      </c>
      <c r="K27" s="266">
        <f>[1]BILAN_PA!$K$27</f>
        <v>17</v>
      </c>
      <c r="L27" s="266">
        <f>[1]BILAN_PA!$L$27</f>
        <v>8</v>
      </c>
      <c r="M27" s="267">
        <f>[1]BILAN_PA!$M$27</f>
        <v>1</v>
      </c>
      <c r="N27" s="42"/>
      <c r="O27" s="1013"/>
      <c r="P27" s="1013"/>
      <c r="Q27" s="37"/>
      <c r="R27" s="23"/>
      <c r="S27" s="23"/>
      <c r="T27" s="22"/>
      <c r="U27" s="22"/>
      <c r="V27" s="22"/>
      <c r="W27" s="22"/>
      <c r="X27" s="22"/>
      <c r="Y27" s="22"/>
      <c r="Z27" s="22"/>
      <c r="AA27" s="22"/>
    </row>
    <row r="28" spans="1:27" ht="19.149999999999999" customHeight="1">
      <c r="A28" s="22"/>
      <c r="B28" s="14"/>
      <c r="C28" s="1520"/>
      <c r="D28" s="129" t="s">
        <v>19</v>
      </c>
      <c r="E28" s="504">
        <f>[1]BILAN_PA!$E$28</f>
        <v>7</v>
      </c>
      <c r="F28" s="504">
        <f>[1]BILAN_PA!$F$28</f>
        <v>17</v>
      </c>
      <c r="G28" s="513">
        <f>[1]BILAN_PA!$G$28</f>
        <v>45</v>
      </c>
      <c r="H28" s="515">
        <f>[1]BILAN_PA!$H$28</f>
        <v>30</v>
      </c>
      <c r="I28" s="147">
        <f>[1]BILAN_PA!$I$28</f>
        <v>15</v>
      </c>
      <c r="J28" s="288">
        <f>[1]BILAN_PA!$J$28</f>
        <v>34</v>
      </c>
      <c r="K28" s="56">
        <f>[1]BILAN_PA!$K$28</f>
        <v>6</v>
      </c>
      <c r="L28" s="56">
        <f>[1]BILAN_PA!$L$28</f>
        <v>4</v>
      </c>
      <c r="M28" s="272">
        <f>[1]BILAN_PA!$M$28</f>
        <v>0</v>
      </c>
      <c r="N28" s="16"/>
      <c r="O28" s="1013"/>
      <c r="P28" s="1013"/>
      <c r="Q28" s="1013"/>
      <c r="R28" s="23"/>
      <c r="S28" s="23"/>
      <c r="T28" s="22"/>
      <c r="U28" s="22"/>
      <c r="V28" s="22"/>
      <c r="W28" s="22"/>
      <c r="X28" s="22"/>
      <c r="Y28" s="22"/>
      <c r="Z28" s="22"/>
      <c r="AA28" s="22"/>
    </row>
    <row r="29" spans="1:27" ht="19.149999999999999" customHeight="1" thickBot="1">
      <c r="A29" s="22"/>
      <c r="B29" s="14"/>
      <c r="C29" s="135" t="s">
        <v>29</v>
      </c>
      <c r="D29" s="136"/>
      <c r="E29" s="130">
        <f t="shared" ref="E29:M29" si="5">SUM(E25:E28)</f>
        <v>34</v>
      </c>
      <c r="F29" s="130">
        <f t="shared" si="5"/>
        <v>73</v>
      </c>
      <c r="G29" s="289">
        <f t="shared" si="5"/>
        <v>280</v>
      </c>
      <c r="H29" s="281">
        <f>SUM(H25:H28)</f>
        <v>193</v>
      </c>
      <c r="I29" s="131">
        <f>SUM(I25:I28)</f>
        <v>86</v>
      </c>
      <c r="J29" s="281">
        <f t="shared" si="5"/>
        <v>178</v>
      </c>
      <c r="K29" s="130">
        <f t="shared" si="5"/>
        <v>69</v>
      </c>
      <c r="L29" s="130">
        <f t="shared" si="5"/>
        <v>29</v>
      </c>
      <c r="M29" s="131">
        <f t="shared" si="5"/>
        <v>3</v>
      </c>
      <c r="N29" s="16"/>
      <c r="O29" s="1013"/>
      <c r="P29" s="1013"/>
      <c r="Q29" s="1013"/>
      <c r="R29" s="23"/>
      <c r="S29" s="23"/>
      <c r="T29" s="22"/>
      <c r="U29" s="22"/>
      <c r="V29" s="22"/>
      <c r="W29" s="22"/>
      <c r="X29" s="22"/>
      <c r="Y29" s="22"/>
      <c r="Z29" s="22"/>
      <c r="AA29" s="22"/>
    </row>
    <row r="30" spans="1:27" s="594" customFormat="1" ht="19.149999999999999" customHeight="1" thickBot="1">
      <c r="B30" s="14"/>
      <c r="C30" s="126"/>
      <c r="D30" s="51"/>
      <c r="E30" s="127"/>
      <c r="F30" s="127"/>
      <c r="G30" s="127"/>
      <c r="H30" s="127"/>
      <c r="I30" s="127"/>
      <c r="J30" s="127"/>
      <c r="K30" s="127"/>
      <c r="L30" s="127"/>
      <c r="M30" s="127"/>
      <c r="N30" s="16"/>
      <c r="O30" s="1013"/>
      <c r="P30" s="1013"/>
      <c r="Q30" s="1013"/>
      <c r="R30" s="23"/>
      <c r="S30" s="23"/>
      <c r="T30" s="22"/>
      <c r="U30" s="22"/>
      <c r="V30" s="22"/>
      <c r="W30" s="22"/>
      <c r="X30" s="22"/>
      <c r="Y30" s="22"/>
      <c r="Z30" s="22"/>
      <c r="AA30" s="22"/>
    </row>
    <row r="31" spans="1:27" s="594" customFormat="1" ht="19.149999999999999" customHeight="1">
      <c r="B31" s="14"/>
      <c r="C31" s="1547">
        <v>2019</v>
      </c>
      <c r="D31" s="170" t="s">
        <v>16</v>
      </c>
      <c r="E31" s="271">
        <v>11</v>
      </c>
      <c r="F31" s="271">
        <v>40</v>
      </c>
      <c r="G31" s="271">
        <v>69</v>
      </c>
      <c r="H31" s="518">
        <v>53</v>
      </c>
      <c r="I31" s="146">
        <v>16</v>
      </c>
      <c r="J31" s="286">
        <v>54</v>
      </c>
      <c r="K31" s="264">
        <v>12</v>
      </c>
      <c r="L31" s="264">
        <v>3</v>
      </c>
      <c r="M31" s="265">
        <v>0</v>
      </c>
      <c r="N31" s="16"/>
      <c r="O31" s="1013"/>
      <c r="P31" s="1013"/>
      <c r="Q31" s="1013"/>
      <c r="R31" s="23"/>
      <c r="S31" s="23"/>
      <c r="T31" s="22"/>
      <c r="U31" s="22"/>
      <c r="V31" s="22"/>
      <c r="W31" s="22"/>
      <c r="X31" s="22"/>
      <c r="Y31" s="22"/>
      <c r="Z31" s="22"/>
      <c r="AA31" s="22"/>
    </row>
    <row r="32" spans="1:27" s="594" customFormat="1" ht="19.149999999999999" customHeight="1">
      <c r="B32" s="14"/>
      <c r="C32" s="1548"/>
      <c r="D32" s="10" t="s">
        <v>17</v>
      </c>
      <c r="E32" s="534">
        <v>13</v>
      </c>
      <c r="F32" s="534">
        <v>28</v>
      </c>
      <c r="G32" s="525">
        <v>56</v>
      </c>
      <c r="H32" s="515">
        <v>35</v>
      </c>
      <c r="I32" s="147">
        <v>21</v>
      </c>
      <c r="J32" s="287">
        <v>24</v>
      </c>
      <c r="K32" s="266">
        <v>22</v>
      </c>
      <c r="L32" s="266">
        <v>9</v>
      </c>
      <c r="M32" s="263">
        <v>1</v>
      </c>
      <c r="N32" s="16"/>
      <c r="O32" s="1013"/>
      <c r="P32" s="1013"/>
      <c r="Q32" s="1013"/>
      <c r="R32" s="23"/>
      <c r="S32" s="23"/>
      <c r="T32" s="22"/>
      <c r="U32" s="22"/>
      <c r="V32" s="22"/>
      <c r="W32" s="22"/>
      <c r="X32" s="22"/>
      <c r="Y32" s="22"/>
      <c r="Z32" s="22"/>
      <c r="AA32" s="22"/>
    </row>
    <row r="33" spans="1:27" s="594" customFormat="1" ht="19.149999999999999" customHeight="1">
      <c r="B33" s="14"/>
      <c r="C33" s="1548"/>
      <c r="D33" s="10" t="s">
        <v>18</v>
      </c>
      <c r="E33" s="307">
        <v>13</v>
      </c>
      <c r="F33" s="307">
        <v>24</v>
      </c>
      <c r="G33" s="517">
        <v>41</v>
      </c>
      <c r="H33" s="515">
        <v>32</v>
      </c>
      <c r="I33" s="519">
        <v>8</v>
      </c>
      <c r="J33" s="316">
        <v>22</v>
      </c>
      <c r="K33" s="317">
        <v>17</v>
      </c>
      <c r="L33" s="317">
        <v>1</v>
      </c>
      <c r="M33" s="318">
        <v>0</v>
      </c>
      <c r="N33" s="16"/>
      <c r="O33" s="1013"/>
      <c r="P33" s="1013"/>
      <c r="Q33" s="1013"/>
      <c r="R33" s="23"/>
      <c r="S33" s="23"/>
      <c r="T33" s="22"/>
      <c r="U33" s="22"/>
      <c r="V33" s="22"/>
      <c r="W33" s="22"/>
      <c r="X33" s="22"/>
      <c r="Y33" s="22"/>
      <c r="Z33" s="22"/>
      <c r="AA33" s="22"/>
    </row>
    <row r="34" spans="1:27" s="594" customFormat="1" ht="19.149999999999999" customHeight="1">
      <c r="B34" s="14"/>
      <c r="C34" s="1549"/>
      <c r="D34" s="268" t="s">
        <v>19</v>
      </c>
      <c r="E34" s="312">
        <v>13</v>
      </c>
      <c r="F34" s="307">
        <v>42</v>
      </c>
      <c r="G34" s="517">
        <v>57</v>
      </c>
      <c r="H34" s="515">
        <v>53</v>
      </c>
      <c r="I34" s="320">
        <v>3</v>
      </c>
      <c r="J34" s="319">
        <v>28</v>
      </c>
      <c r="K34" s="308">
        <v>22</v>
      </c>
      <c r="L34" s="308">
        <v>6</v>
      </c>
      <c r="M34" s="320">
        <v>0</v>
      </c>
      <c r="N34" s="16"/>
      <c r="O34" s="1013"/>
      <c r="P34" s="1013"/>
      <c r="Q34" s="1013"/>
      <c r="R34" s="23"/>
      <c r="S34" s="23"/>
      <c r="T34" s="22"/>
      <c r="U34" s="22"/>
      <c r="V34" s="22"/>
      <c r="W34" s="22"/>
      <c r="X34" s="22"/>
      <c r="Y34" s="22"/>
      <c r="Z34" s="22"/>
      <c r="AA34" s="22"/>
    </row>
    <row r="35" spans="1:27" s="594" customFormat="1" ht="19.149999999999999" customHeight="1" thickBot="1">
      <c r="B35" s="14"/>
      <c r="C35" s="135" t="s">
        <v>31</v>
      </c>
      <c r="D35" s="136"/>
      <c r="E35" s="164">
        <f t="shared" ref="E35:F35" si="6">SUM(E31:E34)</f>
        <v>50</v>
      </c>
      <c r="F35" s="130">
        <f t="shared" si="6"/>
        <v>134</v>
      </c>
      <c r="G35" s="289">
        <f>SUM(G31:G34)</f>
        <v>223</v>
      </c>
      <c r="H35" s="281">
        <f>SUM(H31:H34)</f>
        <v>173</v>
      </c>
      <c r="I35" s="131">
        <f>SUM(I31:I34)</f>
        <v>48</v>
      </c>
      <c r="J35" s="281">
        <f t="shared" ref="J35:M35" si="7">SUM(J31:J34)</f>
        <v>128</v>
      </c>
      <c r="K35" s="130">
        <f t="shared" si="7"/>
        <v>73</v>
      </c>
      <c r="L35" s="130">
        <f t="shared" si="7"/>
        <v>19</v>
      </c>
      <c r="M35" s="131">
        <f t="shared" si="7"/>
        <v>1</v>
      </c>
      <c r="N35" s="16"/>
      <c r="O35" s="1013"/>
      <c r="P35" s="1013"/>
      <c r="Q35" s="1013"/>
      <c r="R35" s="23"/>
      <c r="S35" s="23"/>
      <c r="T35" s="22"/>
      <c r="U35" s="22"/>
      <c r="V35" s="22"/>
      <c r="W35" s="22"/>
      <c r="X35" s="22"/>
      <c r="Y35" s="22"/>
      <c r="Z35" s="22"/>
      <c r="AA35" s="22"/>
    </row>
    <row r="36" spans="1:27" ht="19.149999999999999" customHeight="1" thickBot="1">
      <c r="A36" s="22"/>
      <c r="B36" s="14"/>
      <c r="C36" s="50"/>
      <c r="D36" s="51"/>
      <c r="E36" s="1025"/>
      <c r="F36" s="1025"/>
      <c r="G36" s="48"/>
      <c r="H36" s="48"/>
      <c r="I36" s="48"/>
      <c r="J36" s="1025"/>
      <c r="K36" s="1025"/>
      <c r="L36" s="1025"/>
      <c r="M36" s="1025"/>
      <c r="N36" s="16"/>
      <c r="O36" s="1013"/>
      <c r="P36" s="1013"/>
      <c r="Q36" s="1013"/>
      <c r="R36" s="23"/>
      <c r="S36" s="23"/>
      <c r="T36" s="22"/>
      <c r="U36" s="22"/>
      <c r="V36" s="22"/>
      <c r="W36" s="22"/>
      <c r="X36" s="22"/>
      <c r="Y36" s="22"/>
      <c r="Z36" s="22"/>
      <c r="AA36" s="22"/>
    </row>
    <row r="37" spans="1:27" ht="19.149999999999999" customHeight="1">
      <c r="A37" s="22"/>
      <c r="B37" s="14"/>
      <c r="C37" s="1547">
        <v>2020</v>
      </c>
      <c r="D37" s="170" t="s">
        <v>16</v>
      </c>
      <c r="E37" s="271">
        <f>SUM(Janv!F148+Fev!F139+Mars!F143)</f>
        <v>12</v>
      </c>
      <c r="F37" s="271">
        <f>SUM(Janv!I148+Fev!I139+Mars!I143)</f>
        <v>46</v>
      </c>
      <c r="G37" s="271">
        <f>Janv!N37+Fev!N31+Mars!N29</f>
        <v>55</v>
      </c>
      <c r="H37" s="518">
        <f>D135</f>
        <v>53</v>
      </c>
      <c r="I37" s="146">
        <f>E135</f>
        <v>2</v>
      </c>
      <c r="J37" s="286">
        <f>SUM(Janv!L135+Fev!L126+Mars!L130)</f>
        <v>29</v>
      </c>
      <c r="K37" s="264">
        <f>SUM(Janv!L136+Fev!L127+Mars!L131)</f>
        <v>20</v>
      </c>
      <c r="L37" s="264">
        <f>SUM(Janv!L137+Fev!L128+Mars!L132)</f>
        <v>3</v>
      </c>
      <c r="M37" s="265">
        <f>SUM(Janv!L138+Fev!L129+Mars!L133)</f>
        <v>3</v>
      </c>
      <c r="N37" s="16"/>
      <c r="O37" s="1013"/>
      <c r="P37" s="1013"/>
      <c r="Q37" s="1013"/>
      <c r="R37" s="23"/>
      <c r="S37" s="23"/>
      <c r="T37" s="22"/>
      <c r="U37" s="22"/>
      <c r="V37" s="22"/>
      <c r="W37" s="22"/>
      <c r="X37" s="22"/>
      <c r="Y37" s="22"/>
      <c r="Z37" s="22"/>
      <c r="AA37" s="22"/>
    </row>
    <row r="38" spans="1:27" ht="19.149999999999999" customHeight="1">
      <c r="A38" s="22"/>
      <c r="B38" s="14"/>
      <c r="C38" s="1548"/>
      <c r="D38" s="10" t="s">
        <v>17</v>
      </c>
      <c r="E38" s="534">
        <f>SUM(Avr!F140+Mai!F150+Juin!F158)</f>
        <v>9</v>
      </c>
      <c r="F38" s="534">
        <f>SUM(Avr!I140+Mai!I150+Juin!I158)</f>
        <v>23</v>
      </c>
      <c r="G38" s="525">
        <f>Avr!N33+Mai!N32+Juin!N36</f>
        <v>49</v>
      </c>
      <c r="H38" s="515">
        <f>G135</f>
        <v>42</v>
      </c>
      <c r="I38" s="147">
        <f>H135</f>
        <v>5</v>
      </c>
      <c r="J38" s="287">
        <f>SUM(Avr!L127+Mai!L137+Juin!L145)</f>
        <v>26</v>
      </c>
      <c r="K38" s="266">
        <f>SUM(Avr!L128+Mai!L138+Juin!L146)</f>
        <v>18</v>
      </c>
      <c r="L38" s="266">
        <f>SUM(Avr!L129+Mai!L139+Juin!L147)</f>
        <v>5</v>
      </c>
      <c r="M38" s="263">
        <f>SUM(Avr!L130+Mai!L140+Juin!L148)</f>
        <v>0</v>
      </c>
      <c r="N38" s="16"/>
      <c r="O38" s="1013"/>
      <c r="P38" s="1013"/>
      <c r="Q38" s="1013"/>
      <c r="R38" s="23"/>
      <c r="S38" s="23"/>
      <c r="T38" s="22"/>
      <c r="U38" s="22"/>
      <c r="V38" s="22"/>
      <c r="W38" s="22"/>
      <c r="X38" s="22"/>
      <c r="Y38" s="22"/>
      <c r="Z38" s="22"/>
      <c r="AA38" s="22"/>
    </row>
    <row r="39" spans="1:27" ht="19.149999999999999" customHeight="1">
      <c r="A39" s="22"/>
      <c r="B39" s="14"/>
      <c r="C39" s="1548"/>
      <c r="D39" s="10" t="s">
        <v>18</v>
      </c>
      <c r="E39" s="307">
        <f>SUM(Juill!F171+Aout!F144+Sept!F152)</f>
        <v>6</v>
      </c>
      <c r="F39" s="307">
        <f>SUM(Juill!I171+Aout!I144+Sept!I152)</f>
        <v>19</v>
      </c>
      <c r="G39" s="517">
        <f>Juill!N46+Aout!N30+Sept!N46</f>
        <v>54</v>
      </c>
      <c r="H39" s="515">
        <f>J135</f>
        <v>53</v>
      </c>
      <c r="I39" s="519">
        <f>K135</f>
        <v>1</v>
      </c>
      <c r="J39" s="316">
        <f>SUM(Juill!L158+Aout!L131+Sept!L139)</f>
        <v>33</v>
      </c>
      <c r="K39" s="317">
        <f>SUM(Juill!L159+Aout!L132+Sept!L140)</f>
        <v>15</v>
      </c>
      <c r="L39" s="317">
        <f>SUM(Juill!L160+Aout!L133+Sept!L141)</f>
        <v>6</v>
      </c>
      <c r="M39" s="318">
        <f>SUM(Juill!L161+Aout!L134+Sept!L142)</f>
        <v>0</v>
      </c>
      <c r="N39" s="16"/>
      <c r="O39" s="1013"/>
      <c r="P39" s="1013"/>
      <c r="Q39" s="1013"/>
      <c r="R39" s="23"/>
      <c r="S39" s="23"/>
      <c r="T39" s="22"/>
      <c r="U39" s="22"/>
      <c r="V39" s="22"/>
      <c r="W39" s="22"/>
      <c r="X39" s="22"/>
      <c r="Y39" s="22"/>
      <c r="Z39" s="22"/>
      <c r="AA39" s="22"/>
    </row>
    <row r="40" spans="1:27" ht="19.149999999999999" customHeight="1">
      <c r="A40" s="22"/>
      <c r="B40" s="14"/>
      <c r="C40" s="1549"/>
      <c r="D40" s="268" t="s">
        <v>19</v>
      </c>
      <c r="E40" s="312">
        <f>SUM(Oct!F232+Nov!F160+Dec!F184)</f>
        <v>15</v>
      </c>
      <c r="F40" s="307">
        <f>SUM(Oct!I232+Nov!I160+Dec!I184)</f>
        <v>86</v>
      </c>
      <c r="G40" s="517">
        <f>Oct!N36+Nov!N44+Dec!N46</f>
        <v>128</v>
      </c>
      <c r="H40" s="515">
        <f>M135</f>
        <v>121</v>
      </c>
      <c r="I40" s="320">
        <f>N135</f>
        <v>4</v>
      </c>
      <c r="J40" s="319">
        <f>SUM(Oct!L219+Nov!L147+Dec!L171)</f>
        <v>58</v>
      </c>
      <c r="K40" s="308">
        <f>SUM(Oct!L220+Nov!L148+Dec!L172)</f>
        <v>33</v>
      </c>
      <c r="L40" s="308">
        <f>SUM(Oct!L221+Nov!L149+Dec!L173)</f>
        <v>32</v>
      </c>
      <c r="M40" s="320">
        <f>SUM(Oct!L222+Nov!L150+Dec!L174)</f>
        <v>5</v>
      </c>
      <c r="N40" s="16"/>
      <c r="O40" s="1013"/>
      <c r="P40" s="1013"/>
      <c r="Q40" s="1013"/>
      <c r="R40" s="23"/>
      <c r="S40" s="23"/>
      <c r="T40" s="22"/>
      <c r="U40" s="22"/>
      <c r="V40" s="22"/>
      <c r="W40" s="22"/>
      <c r="X40" s="22"/>
      <c r="Y40" s="22"/>
      <c r="Z40" s="22"/>
      <c r="AA40" s="22"/>
    </row>
    <row r="41" spans="1:27" ht="19.149999999999999" customHeight="1" thickBot="1">
      <c r="A41" s="22"/>
      <c r="B41" s="14"/>
      <c r="C41" s="135" t="s">
        <v>32</v>
      </c>
      <c r="D41" s="136"/>
      <c r="E41" s="164">
        <f t="shared" ref="E41:F41" si="8">SUM(E37:E40)</f>
        <v>42</v>
      </c>
      <c r="F41" s="130">
        <f t="shared" si="8"/>
        <v>174</v>
      </c>
      <c r="G41" s="289">
        <f>SUM(G37:G40)</f>
        <v>286</v>
      </c>
      <c r="H41" s="281">
        <f>SUM(H37:H40)</f>
        <v>269</v>
      </c>
      <c r="I41" s="131">
        <f>SUM(I37:I40)</f>
        <v>12</v>
      </c>
      <c r="J41" s="281">
        <f t="shared" ref="J41:M41" si="9">SUM(J37:J40)</f>
        <v>146</v>
      </c>
      <c r="K41" s="130">
        <f t="shared" si="9"/>
        <v>86</v>
      </c>
      <c r="L41" s="130">
        <f t="shared" si="9"/>
        <v>46</v>
      </c>
      <c r="M41" s="131">
        <f t="shared" si="9"/>
        <v>8</v>
      </c>
      <c r="N41" s="16"/>
      <c r="O41" s="1013"/>
      <c r="P41" s="1013"/>
      <c r="Q41" s="1013"/>
      <c r="R41" s="23"/>
      <c r="S41" s="23"/>
      <c r="T41" s="22"/>
      <c r="U41" s="22"/>
      <c r="V41" s="22"/>
      <c r="W41" s="22"/>
      <c r="X41" s="22"/>
      <c r="Y41" s="22"/>
      <c r="Z41" s="22"/>
      <c r="AA41" s="22"/>
    </row>
    <row r="42" spans="1:27" ht="19.149999999999999" customHeight="1">
      <c r="A42" s="22"/>
      <c r="B42" s="14"/>
      <c r="C42" s="50"/>
      <c r="D42" s="51"/>
      <c r="E42" s="1025"/>
      <c r="F42" s="1025"/>
      <c r="G42" s="48"/>
      <c r="H42" s="48"/>
      <c r="I42" s="48"/>
      <c r="J42" s="1025"/>
      <c r="K42" s="1025"/>
      <c r="L42" s="1025"/>
      <c r="M42" s="1025"/>
      <c r="N42" s="16"/>
      <c r="O42" s="1013"/>
      <c r="P42" s="1013"/>
      <c r="Q42" s="1013"/>
      <c r="R42" s="23"/>
      <c r="S42" s="23"/>
      <c r="T42" s="22"/>
      <c r="U42" s="22"/>
      <c r="V42" s="22"/>
      <c r="W42" s="22"/>
      <c r="X42" s="22"/>
      <c r="Y42" s="22"/>
      <c r="Z42" s="22"/>
      <c r="AA42" s="22"/>
    </row>
    <row r="43" spans="1:27" ht="19.149999999999999" customHeight="1">
      <c r="A43" s="22"/>
      <c r="B43" s="14"/>
      <c r="C43" s="50"/>
      <c r="D43" s="51"/>
      <c r="E43" s="1025"/>
      <c r="F43" s="1025"/>
      <c r="G43" s="48"/>
      <c r="H43" s="48"/>
      <c r="I43" s="48"/>
      <c r="J43" s="1025"/>
      <c r="K43" s="1025"/>
      <c r="L43" s="1025"/>
      <c r="M43" s="1025"/>
      <c r="N43" s="16"/>
      <c r="O43" s="1013"/>
      <c r="P43" s="1013"/>
      <c r="Q43" s="1013"/>
      <c r="R43" s="23"/>
      <c r="S43" s="23"/>
      <c r="T43" s="22"/>
      <c r="U43" s="22"/>
      <c r="V43" s="22"/>
      <c r="W43" s="22"/>
      <c r="X43" s="22"/>
      <c r="Y43" s="22"/>
      <c r="Z43" s="22"/>
      <c r="AA43" s="22"/>
    </row>
    <row r="44" spans="1:27" ht="39.75" customHeight="1">
      <c r="A44" s="23"/>
      <c r="B44" s="14"/>
      <c r="C44" s="1531" t="s">
        <v>58</v>
      </c>
      <c r="D44" s="1531"/>
      <c r="E44" s="1531"/>
      <c r="F44" s="1531"/>
      <c r="G44" s="1531"/>
      <c r="H44" s="1531"/>
      <c r="I44" s="1531"/>
      <c r="J44" s="1531"/>
      <c r="K44" s="1531"/>
      <c r="L44" s="1531"/>
      <c r="M44" s="1531"/>
      <c r="N44" s="52"/>
      <c r="O44" s="23"/>
      <c r="P44" s="87"/>
      <c r="Q44" s="23"/>
      <c r="R44" s="23"/>
      <c r="S44" s="23"/>
      <c r="T44" s="22"/>
      <c r="U44" s="22"/>
      <c r="V44" s="22"/>
      <c r="W44" s="22"/>
      <c r="X44" s="22"/>
      <c r="Y44" s="22"/>
      <c r="Z44" s="22"/>
      <c r="AA44" s="22"/>
    </row>
    <row r="45" spans="1:27">
      <c r="A45" s="23"/>
      <c r="B45" s="14"/>
      <c r="C45" s="1550"/>
      <c r="D45" s="1550"/>
      <c r="E45" s="1550"/>
      <c r="F45" s="1550"/>
      <c r="G45" s="1550"/>
      <c r="H45" s="1027"/>
      <c r="I45" s="1027"/>
      <c r="J45" s="49"/>
      <c r="K45" s="49"/>
      <c r="L45" s="1550"/>
      <c r="M45" s="1550"/>
      <c r="N45" s="15"/>
      <c r="O45" s="26"/>
      <c r="P45" s="87"/>
      <c r="Q45" s="26"/>
      <c r="R45" s="23"/>
      <c r="S45" s="23"/>
      <c r="T45" s="22"/>
      <c r="U45" s="22"/>
      <c r="V45" s="22"/>
      <c r="W45" s="22"/>
      <c r="X45" s="22"/>
      <c r="Y45" s="22"/>
      <c r="Z45" s="22"/>
      <c r="AA45" s="22"/>
    </row>
    <row r="46" spans="1:27">
      <c r="A46" s="23"/>
      <c r="B46" s="14"/>
      <c r="C46" s="1550"/>
      <c r="D46" s="1550"/>
      <c r="E46" s="1550"/>
      <c r="F46" s="1550"/>
      <c r="G46" s="1550"/>
      <c r="H46" s="1027"/>
      <c r="I46" s="1027"/>
      <c r="J46" s="49"/>
      <c r="K46" s="49"/>
      <c r="L46" s="1550"/>
      <c r="M46" s="1550"/>
      <c r="N46" s="15"/>
      <c r="O46" s="26"/>
      <c r="P46" s="87"/>
      <c r="Q46" s="26"/>
      <c r="R46" s="23"/>
      <c r="S46" s="23"/>
      <c r="T46" s="22"/>
      <c r="U46" s="22"/>
      <c r="V46" s="22"/>
      <c r="W46" s="22"/>
      <c r="X46" s="22"/>
      <c r="Y46" s="22"/>
      <c r="Z46" s="22"/>
      <c r="AA46" s="22"/>
    </row>
    <row r="47" spans="1:27">
      <c r="A47" s="23"/>
      <c r="B47" s="14"/>
      <c r="C47" s="1550"/>
      <c r="D47" s="1550"/>
      <c r="E47" s="1550"/>
      <c r="F47" s="1550"/>
      <c r="G47" s="1550"/>
      <c r="H47" s="1027"/>
      <c r="I47" s="1027"/>
      <c r="J47" s="49"/>
      <c r="K47" s="49"/>
      <c r="L47" s="1550"/>
      <c r="M47" s="1550"/>
      <c r="N47" s="15"/>
      <c r="O47" s="26"/>
      <c r="P47" s="87"/>
      <c r="Q47" s="26"/>
      <c r="R47" s="23"/>
      <c r="S47" s="23"/>
      <c r="T47" s="22"/>
      <c r="U47" s="22"/>
      <c r="V47" s="22"/>
      <c r="W47" s="22"/>
      <c r="X47" s="22"/>
      <c r="Y47" s="22"/>
      <c r="Z47" s="22"/>
      <c r="AA47" s="22"/>
    </row>
    <row r="48" spans="1:27">
      <c r="A48" s="23"/>
      <c r="B48" s="14"/>
      <c r="C48" s="1027"/>
      <c r="D48" s="1027"/>
      <c r="E48" s="1027"/>
      <c r="F48" s="1550"/>
      <c r="G48" s="1550"/>
      <c r="H48" s="1027"/>
      <c r="I48" s="1027"/>
      <c r="J48" s="1027"/>
      <c r="K48" s="1027"/>
      <c r="L48" s="1027"/>
      <c r="M48" s="88"/>
      <c r="N48" s="95"/>
      <c r="O48" s="30"/>
      <c r="P48" s="87"/>
      <c r="Q48" s="30"/>
      <c r="R48" s="23"/>
      <c r="S48" s="23"/>
      <c r="T48" s="22"/>
      <c r="U48" s="22"/>
      <c r="V48" s="22"/>
      <c r="W48" s="22"/>
      <c r="X48" s="22"/>
      <c r="Y48" s="22"/>
      <c r="Z48" s="22"/>
      <c r="AA48" s="22"/>
    </row>
    <row r="49" spans="1:27">
      <c r="A49" s="23"/>
      <c r="B49" s="14"/>
      <c r="C49" s="94"/>
      <c r="D49" s="1025"/>
      <c r="E49" s="1025"/>
      <c r="F49" s="1536"/>
      <c r="G49" s="1536"/>
      <c r="H49" s="1025"/>
      <c r="I49" s="1025"/>
      <c r="J49" s="1025"/>
      <c r="K49" s="88"/>
      <c r="L49" s="90"/>
      <c r="M49" s="1025"/>
      <c r="N49" s="96"/>
      <c r="O49" s="31"/>
      <c r="P49" s="87"/>
      <c r="Q49" s="31"/>
      <c r="R49" s="23"/>
      <c r="S49" s="23"/>
      <c r="T49" s="22"/>
      <c r="U49" s="22"/>
      <c r="V49" s="22"/>
      <c r="W49" s="22"/>
      <c r="X49" s="22"/>
      <c r="Y49" s="22"/>
      <c r="Z49" s="22"/>
      <c r="AA49" s="22"/>
    </row>
    <row r="50" spans="1:27">
      <c r="A50" s="23"/>
      <c r="B50" s="14"/>
      <c r="C50" s="94"/>
      <c r="D50" s="93"/>
      <c r="E50" s="1025"/>
      <c r="F50" s="1536"/>
      <c r="G50" s="1536"/>
      <c r="H50" s="1025"/>
      <c r="I50" s="1025"/>
      <c r="J50" s="1025"/>
      <c r="K50" s="88"/>
      <c r="L50" s="90"/>
      <c r="M50" s="1025"/>
      <c r="N50" s="96"/>
      <c r="O50" s="31"/>
      <c r="P50" s="87"/>
      <c r="Q50" s="31"/>
      <c r="R50" s="23"/>
      <c r="S50" s="23"/>
      <c r="T50" s="22"/>
      <c r="U50" s="22"/>
      <c r="V50" s="22"/>
      <c r="W50" s="22"/>
      <c r="X50" s="22"/>
      <c r="Y50" s="22"/>
      <c r="Z50" s="22"/>
      <c r="AA50" s="22"/>
    </row>
    <row r="51" spans="1:27">
      <c r="A51" s="23"/>
      <c r="B51" s="14"/>
      <c r="C51" s="94"/>
      <c r="D51" s="93"/>
      <c r="E51" s="1025"/>
      <c r="F51" s="1025"/>
      <c r="G51" s="1025"/>
      <c r="H51" s="1025"/>
      <c r="I51" s="1025"/>
      <c r="J51" s="1025"/>
      <c r="K51" s="88"/>
      <c r="L51" s="90"/>
      <c r="M51" s="1025"/>
      <c r="N51" s="96"/>
      <c r="O51" s="31"/>
      <c r="P51" s="87"/>
      <c r="Q51" s="31"/>
      <c r="R51" s="23"/>
      <c r="S51" s="23"/>
      <c r="T51" s="22"/>
      <c r="U51" s="22"/>
      <c r="V51" s="22"/>
      <c r="W51" s="22"/>
      <c r="X51" s="22"/>
      <c r="Y51" s="22"/>
      <c r="Z51" s="22"/>
      <c r="AA51" s="22"/>
    </row>
    <row r="52" spans="1:27">
      <c r="A52" s="23"/>
      <c r="B52" s="14"/>
      <c r="C52" s="94"/>
      <c r="D52" s="93"/>
      <c r="E52" s="1025"/>
      <c r="F52" s="1025"/>
      <c r="G52" s="1025"/>
      <c r="H52" s="1025"/>
      <c r="I52" s="1025"/>
      <c r="J52" s="1025"/>
      <c r="K52" s="88"/>
      <c r="L52" s="90"/>
      <c r="M52" s="1025"/>
      <c r="N52" s="96"/>
      <c r="O52" s="31"/>
      <c r="P52" s="87"/>
      <c r="Q52" s="31"/>
      <c r="R52" s="23"/>
      <c r="S52" s="23"/>
      <c r="T52" s="22"/>
      <c r="U52" s="22"/>
      <c r="V52" s="22"/>
      <c r="W52" s="22"/>
      <c r="X52" s="22"/>
      <c r="Y52" s="22"/>
      <c r="Z52" s="22"/>
      <c r="AA52" s="22"/>
    </row>
    <row r="53" spans="1:27">
      <c r="A53" s="23"/>
      <c r="B53" s="14"/>
      <c r="C53" s="94"/>
      <c r="D53" s="93"/>
      <c r="E53" s="1025"/>
      <c r="F53" s="1025"/>
      <c r="G53" s="1025"/>
      <c r="H53" s="1025"/>
      <c r="I53" s="1025"/>
      <c r="J53" s="1025"/>
      <c r="K53" s="88"/>
      <c r="L53" s="90"/>
      <c r="M53" s="1025"/>
      <c r="N53" s="96"/>
      <c r="O53" s="31"/>
      <c r="P53" s="87"/>
      <c r="Q53" s="31"/>
      <c r="R53" s="23"/>
      <c r="S53" s="23"/>
      <c r="T53" s="22"/>
      <c r="U53" s="22"/>
      <c r="V53" s="22"/>
      <c r="W53" s="22"/>
      <c r="X53" s="22"/>
      <c r="Y53" s="22"/>
      <c r="Z53" s="22"/>
      <c r="AA53" s="22"/>
    </row>
    <row r="54" spans="1:27">
      <c r="A54" s="23"/>
      <c r="B54" s="14"/>
      <c r="C54" s="94"/>
      <c r="D54" s="93"/>
      <c r="E54" s="1025"/>
      <c r="F54" s="1025"/>
      <c r="G54" s="1025"/>
      <c r="H54" s="1025"/>
      <c r="I54" s="1025"/>
      <c r="J54" s="1025"/>
      <c r="K54" s="88"/>
      <c r="L54" s="90"/>
      <c r="M54" s="1025"/>
      <c r="N54" s="96"/>
      <c r="O54" s="31"/>
      <c r="P54" s="87"/>
      <c r="Q54" s="31"/>
      <c r="R54" s="23"/>
      <c r="S54" s="23"/>
      <c r="T54" s="22"/>
      <c r="U54" s="22"/>
      <c r="V54" s="22"/>
      <c r="W54" s="22"/>
      <c r="X54" s="22"/>
      <c r="Y54" s="22"/>
      <c r="Z54" s="22"/>
      <c r="AA54" s="22"/>
    </row>
    <row r="55" spans="1:27">
      <c r="A55" s="23"/>
      <c r="B55" s="14"/>
      <c r="C55" s="94"/>
      <c r="D55" s="93"/>
      <c r="E55" s="1025"/>
      <c r="F55" s="1025"/>
      <c r="G55" s="1025"/>
      <c r="H55" s="1025"/>
      <c r="I55" s="1025"/>
      <c r="J55" s="1025"/>
      <c r="K55" s="88"/>
      <c r="L55" s="90"/>
      <c r="M55" s="1025"/>
      <c r="N55" s="96"/>
      <c r="O55" s="31"/>
      <c r="P55" s="87"/>
      <c r="Q55" s="31"/>
      <c r="R55" s="23"/>
      <c r="S55" s="23"/>
      <c r="T55" s="22"/>
      <c r="U55" s="22"/>
      <c r="V55" s="22"/>
      <c r="W55" s="22"/>
      <c r="X55" s="22"/>
      <c r="Y55" s="22"/>
      <c r="Z55" s="22"/>
      <c r="AA55" s="22"/>
    </row>
    <row r="56" spans="1:27">
      <c r="A56" s="23"/>
      <c r="B56" s="14"/>
      <c r="C56" s="94"/>
      <c r="D56" s="93"/>
      <c r="E56" s="1025"/>
      <c r="F56" s="1025"/>
      <c r="G56" s="1025"/>
      <c r="H56" s="1025"/>
      <c r="I56" s="1025"/>
      <c r="J56" s="1025"/>
      <c r="K56" s="88"/>
      <c r="L56" s="90"/>
      <c r="M56" s="1025"/>
      <c r="N56" s="96"/>
      <c r="O56" s="31"/>
      <c r="P56" s="87"/>
      <c r="Q56" s="31"/>
      <c r="R56" s="23"/>
      <c r="S56" s="23"/>
      <c r="T56" s="22"/>
      <c r="U56" s="22"/>
      <c r="V56" s="22"/>
      <c r="W56" s="22"/>
      <c r="X56" s="22"/>
      <c r="Y56" s="22"/>
      <c r="Z56" s="22"/>
      <c r="AA56" s="22"/>
    </row>
    <row r="57" spans="1:27">
      <c r="A57" s="23"/>
      <c r="B57" s="14"/>
      <c r="C57" s="94"/>
      <c r="D57" s="93"/>
      <c r="E57" s="1025"/>
      <c r="F57" s="1025"/>
      <c r="G57" s="1025"/>
      <c r="H57" s="1025"/>
      <c r="I57" s="1025"/>
      <c r="J57" s="1025"/>
      <c r="K57" s="88"/>
      <c r="L57" s="90"/>
      <c r="M57" s="1025"/>
      <c r="N57" s="96"/>
      <c r="O57" s="31"/>
      <c r="P57" s="87"/>
      <c r="Q57" s="31"/>
      <c r="R57" s="23"/>
      <c r="S57" s="23"/>
      <c r="T57" s="22"/>
      <c r="U57" s="22"/>
      <c r="V57" s="22"/>
      <c r="W57" s="22"/>
      <c r="X57" s="22"/>
      <c r="Y57" s="22"/>
      <c r="Z57" s="22"/>
      <c r="AA57" s="22"/>
    </row>
    <row r="58" spans="1:27">
      <c r="A58" s="23"/>
      <c r="B58" s="14"/>
      <c r="C58" s="94"/>
      <c r="D58" s="93"/>
      <c r="E58" s="1025"/>
      <c r="F58" s="1025"/>
      <c r="G58" s="1025"/>
      <c r="H58" s="1025"/>
      <c r="I58" s="1025"/>
      <c r="J58" s="1025"/>
      <c r="K58" s="88"/>
      <c r="L58" s="90"/>
      <c r="M58" s="1025"/>
      <c r="N58" s="96"/>
      <c r="O58" s="31"/>
      <c r="P58" s="87"/>
      <c r="Q58" s="31"/>
      <c r="R58" s="23"/>
      <c r="S58" s="23"/>
      <c r="T58" s="22"/>
      <c r="U58" s="22"/>
      <c r="V58" s="22"/>
      <c r="W58" s="22"/>
      <c r="X58" s="22"/>
      <c r="Y58" s="22"/>
      <c r="Z58" s="22"/>
      <c r="AA58" s="22"/>
    </row>
    <row r="59" spans="1:27">
      <c r="A59" s="23"/>
      <c r="B59" s="14"/>
      <c r="C59" s="94"/>
      <c r="D59" s="93"/>
      <c r="E59" s="1025"/>
      <c r="F59" s="1025"/>
      <c r="G59" s="1025"/>
      <c r="H59" s="1025"/>
      <c r="I59" s="1025"/>
      <c r="J59" s="1025"/>
      <c r="K59" s="88"/>
      <c r="L59" s="90"/>
      <c r="M59" s="1025"/>
      <c r="N59" s="96"/>
      <c r="O59" s="31"/>
      <c r="P59" s="87"/>
      <c r="Q59" s="31"/>
      <c r="R59" s="23"/>
      <c r="S59" s="23"/>
      <c r="T59" s="22"/>
      <c r="U59" s="22"/>
      <c r="V59" s="22"/>
      <c r="W59" s="22"/>
      <c r="X59" s="22"/>
      <c r="Y59" s="22"/>
      <c r="Z59" s="22"/>
      <c r="AA59" s="22"/>
    </row>
    <row r="60" spans="1:27">
      <c r="A60" s="23"/>
      <c r="B60" s="14"/>
      <c r="C60" s="94"/>
      <c r="D60" s="1025"/>
      <c r="E60" s="1025"/>
      <c r="F60" s="1536"/>
      <c r="G60" s="1536"/>
      <c r="H60" s="1025"/>
      <c r="I60" s="1025"/>
      <c r="J60" s="1025"/>
      <c r="K60" s="88"/>
      <c r="L60" s="90"/>
      <c r="M60" s="1025"/>
      <c r="N60" s="96"/>
      <c r="O60" s="31"/>
      <c r="P60" s="87"/>
      <c r="Q60" s="31"/>
      <c r="R60" s="23"/>
      <c r="S60" s="23"/>
      <c r="T60" s="22"/>
      <c r="U60" s="22"/>
      <c r="V60" s="22"/>
      <c r="W60" s="22"/>
      <c r="X60" s="22"/>
      <c r="Y60" s="22"/>
      <c r="Z60" s="22"/>
      <c r="AA60" s="22"/>
    </row>
    <row r="61" spans="1:27">
      <c r="A61" s="23"/>
      <c r="B61" s="14"/>
      <c r="C61" s="94"/>
      <c r="D61" s="1025"/>
      <c r="E61" s="1025"/>
      <c r="F61" s="1536"/>
      <c r="G61" s="1536"/>
      <c r="H61" s="1025"/>
      <c r="I61" s="1025"/>
      <c r="J61" s="1025"/>
      <c r="K61" s="88"/>
      <c r="L61" s="90"/>
      <c r="M61" s="1025"/>
      <c r="N61" s="96"/>
      <c r="O61" s="31"/>
      <c r="P61" s="87"/>
      <c r="Q61" s="31"/>
      <c r="R61" s="23"/>
      <c r="S61" s="23"/>
      <c r="T61" s="22"/>
      <c r="U61" s="22"/>
      <c r="V61" s="22"/>
      <c r="W61" s="22"/>
      <c r="X61" s="22"/>
      <c r="Y61" s="22"/>
      <c r="Z61" s="22"/>
      <c r="AA61" s="22"/>
    </row>
    <row r="62" spans="1:27">
      <c r="A62" s="23"/>
      <c r="B62" s="14"/>
      <c r="C62" s="94"/>
      <c r="D62" s="1025"/>
      <c r="E62" s="1025"/>
      <c r="F62" s="1025"/>
      <c r="G62" s="1025"/>
      <c r="H62" s="1025"/>
      <c r="I62" s="1025"/>
      <c r="J62" s="1025"/>
      <c r="K62" s="88"/>
      <c r="L62" s="90"/>
      <c r="M62" s="1025"/>
      <c r="N62" s="96"/>
      <c r="O62" s="31"/>
      <c r="P62" s="87"/>
      <c r="Q62" s="31"/>
      <c r="R62" s="23"/>
      <c r="S62" s="23"/>
      <c r="T62" s="22"/>
      <c r="U62" s="22"/>
      <c r="V62" s="22"/>
      <c r="W62" s="22"/>
      <c r="X62" s="22"/>
      <c r="Y62" s="22"/>
      <c r="Z62" s="22"/>
      <c r="AA62" s="22"/>
    </row>
    <row r="63" spans="1:27">
      <c r="A63" s="23"/>
      <c r="B63" s="14"/>
      <c r="C63" s="94"/>
      <c r="D63" s="1025"/>
      <c r="E63" s="1025"/>
      <c r="F63" s="1025"/>
      <c r="G63" s="1025"/>
      <c r="H63" s="1025"/>
      <c r="I63" s="1025"/>
      <c r="J63" s="1025"/>
      <c r="K63" s="88"/>
      <c r="L63" s="90"/>
      <c r="M63" s="1025"/>
      <c r="N63" s="96"/>
      <c r="O63" s="31"/>
      <c r="P63" s="87"/>
      <c r="Q63" s="31"/>
      <c r="R63" s="23"/>
      <c r="S63" s="23"/>
      <c r="T63" s="22"/>
      <c r="U63" s="22"/>
      <c r="V63" s="22"/>
      <c r="W63" s="22"/>
      <c r="X63" s="22"/>
      <c r="Y63" s="22"/>
      <c r="Z63" s="22"/>
      <c r="AA63" s="22"/>
    </row>
    <row r="64" spans="1:27">
      <c r="A64" s="23"/>
      <c r="B64" s="14"/>
      <c r="C64" s="94"/>
      <c r="D64" s="1025"/>
      <c r="E64" s="1025"/>
      <c r="F64" s="1025"/>
      <c r="G64" s="1025"/>
      <c r="H64" s="1025"/>
      <c r="I64" s="1025"/>
      <c r="J64" s="1025"/>
      <c r="K64" s="88"/>
      <c r="L64" s="90"/>
      <c r="M64" s="1025"/>
      <c r="N64" s="96"/>
      <c r="O64" s="31"/>
      <c r="P64" s="87"/>
      <c r="Q64" s="31"/>
      <c r="R64" s="23"/>
      <c r="S64" s="23"/>
      <c r="T64" s="22"/>
      <c r="U64" s="22"/>
      <c r="V64" s="22"/>
      <c r="W64" s="22"/>
      <c r="X64" s="22"/>
      <c r="Y64" s="22"/>
      <c r="Z64" s="22"/>
      <c r="AA64" s="22"/>
    </row>
    <row r="65" spans="1:27">
      <c r="A65" s="23"/>
      <c r="B65" s="14"/>
      <c r="C65" s="94"/>
      <c r="D65" s="1025"/>
      <c r="E65" s="1025"/>
      <c r="F65" s="1025"/>
      <c r="G65" s="1025"/>
      <c r="H65" s="1025"/>
      <c r="I65" s="1025"/>
      <c r="J65" s="1025"/>
      <c r="K65" s="88"/>
      <c r="L65" s="90"/>
      <c r="M65" s="1025"/>
      <c r="N65" s="96"/>
      <c r="O65" s="31"/>
      <c r="P65" s="87"/>
      <c r="Q65" s="31"/>
      <c r="R65" s="23"/>
      <c r="S65" s="23"/>
      <c r="T65" s="22"/>
      <c r="U65" s="22"/>
      <c r="V65" s="22"/>
      <c r="W65" s="22"/>
      <c r="X65" s="22"/>
      <c r="Y65" s="22"/>
      <c r="Z65" s="22"/>
      <c r="AA65" s="22"/>
    </row>
    <row r="66" spans="1:27">
      <c r="A66" s="23"/>
      <c r="B66" s="14"/>
      <c r="C66" s="94"/>
      <c r="D66" s="1025"/>
      <c r="E66" s="1025"/>
      <c r="F66" s="1025"/>
      <c r="G66" s="1025"/>
      <c r="H66" s="1025"/>
      <c r="I66" s="1025"/>
      <c r="J66" s="1025"/>
      <c r="K66" s="88"/>
      <c r="L66" s="90"/>
      <c r="M66" s="1025"/>
      <c r="N66" s="96"/>
      <c r="O66" s="31"/>
      <c r="P66" s="87"/>
      <c r="Q66" s="31"/>
      <c r="R66" s="23"/>
      <c r="S66" s="23"/>
      <c r="T66" s="22"/>
      <c r="U66" s="22"/>
      <c r="V66" s="22"/>
      <c r="W66" s="22"/>
      <c r="X66" s="22"/>
      <c r="Y66" s="22"/>
      <c r="Z66" s="22"/>
      <c r="AA66" s="22"/>
    </row>
    <row r="67" spans="1:27" ht="42" customHeight="1">
      <c r="A67" s="23"/>
      <c r="B67" s="14"/>
      <c r="C67" s="1531" t="s">
        <v>59</v>
      </c>
      <c r="D67" s="1531"/>
      <c r="E67" s="1531"/>
      <c r="F67" s="1531"/>
      <c r="G67" s="1531"/>
      <c r="H67" s="1531"/>
      <c r="I67" s="1531"/>
      <c r="J67" s="1531"/>
      <c r="K67" s="1531"/>
      <c r="L67" s="1531"/>
      <c r="M67" s="1531"/>
      <c r="N67" s="96"/>
      <c r="O67" s="31"/>
      <c r="P67" s="87"/>
      <c r="Q67" s="31"/>
      <c r="R67" s="23"/>
      <c r="S67" s="23"/>
      <c r="T67" s="22"/>
      <c r="U67" s="22"/>
      <c r="V67" s="22"/>
      <c r="W67" s="22"/>
      <c r="X67" s="22"/>
      <c r="Y67" s="22"/>
      <c r="Z67" s="22"/>
      <c r="AA67" s="22"/>
    </row>
    <row r="68" spans="1:27">
      <c r="A68" s="23"/>
      <c r="B68" s="14"/>
      <c r="C68" s="94"/>
      <c r="D68" s="1025"/>
      <c r="E68" s="1025"/>
      <c r="F68" s="1025"/>
      <c r="G68" s="1025"/>
      <c r="H68" s="1025"/>
      <c r="I68" s="1025"/>
      <c r="J68" s="1025"/>
      <c r="K68" s="88"/>
      <c r="L68" s="90"/>
      <c r="M68" s="1025"/>
      <c r="N68" s="96"/>
      <c r="O68" s="31"/>
      <c r="P68" s="87"/>
      <c r="Q68" s="31"/>
      <c r="R68" s="23"/>
      <c r="S68" s="23"/>
      <c r="T68" s="22"/>
      <c r="U68" s="22"/>
      <c r="V68" s="22"/>
      <c r="W68" s="22"/>
      <c r="X68" s="22"/>
      <c r="Y68" s="22"/>
      <c r="Z68" s="22"/>
      <c r="AA68" s="22"/>
    </row>
    <row r="69" spans="1:27">
      <c r="A69" s="23"/>
      <c r="B69" s="14"/>
      <c r="C69" s="94"/>
      <c r="D69" s="1025"/>
      <c r="E69" s="1025"/>
      <c r="F69" s="1025"/>
      <c r="G69" s="1025"/>
      <c r="H69" s="1025"/>
      <c r="I69" s="1025"/>
      <c r="J69" s="1025"/>
      <c r="K69" s="88"/>
      <c r="L69" s="90"/>
      <c r="M69" s="1025"/>
      <c r="N69" s="96"/>
      <c r="O69" s="31"/>
      <c r="P69" s="87"/>
      <c r="Q69" s="31"/>
      <c r="R69" s="23"/>
      <c r="S69" s="23"/>
      <c r="T69" s="22"/>
      <c r="U69" s="22"/>
      <c r="V69" s="22"/>
      <c r="W69" s="22"/>
      <c r="X69" s="22"/>
      <c r="Y69" s="22"/>
      <c r="Z69" s="22"/>
      <c r="AA69" s="22"/>
    </row>
    <row r="70" spans="1:27">
      <c r="A70" s="23"/>
      <c r="B70" s="14"/>
      <c r="C70" s="94"/>
      <c r="D70" s="1025"/>
      <c r="E70" s="1025"/>
      <c r="F70" s="1025"/>
      <c r="G70" s="1025"/>
      <c r="H70" s="1025"/>
      <c r="I70" s="1025"/>
      <c r="J70" s="1025"/>
      <c r="K70" s="88"/>
      <c r="L70" s="90"/>
      <c r="M70" s="1025"/>
      <c r="N70" s="96"/>
      <c r="O70" s="31"/>
      <c r="P70" s="87"/>
      <c r="Q70" s="31"/>
      <c r="R70" s="23"/>
      <c r="S70" s="23"/>
      <c r="T70" s="22"/>
      <c r="U70" s="22"/>
      <c r="V70" s="22"/>
      <c r="W70" s="22"/>
      <c r="X70" s="22"/>
      <c r="Y70" s="22"/>
      <c r="Z70" s="22"/>
      <c r="AA70" s="22"/>
    </row>
    <row r="71" spans="1:27">
      <c r="A71" s="23"/>
      <c r="B71" s="14"/>
      <c r="C71" s="94"/>
      <c r="D71" s="1025"/>
      <c r="E71" s="1025"/>
      <c r="F71" s="1025"/>
      <c r="G71" s="1025"/>
      <c r="H71" s="1025"/>
      <c r="I71" s="1025"/>
      <c r="J71" s="1025"/>
      <c r="K71" s="88"/>
      <c r="L71" s="90"/>
      <c r="M71" s="1025"/>
      <c r="N71" s="96"/>
      <c r="O71" s="31"/>
      <c r="P71" s="87"/>
      <c r="Q71" s="31"/>
      <c r="R71" s="23"/>
      <c r="S71" s="23"/>
      <c r="T71" s="22"/>
      <c r="U71" s="22"/>
      <c r="V71" s="22"/>
      <c r="W71" s="22"/>
      <c r="X71" s="22"/>
      <c r="Y71" s="22"/>
      <c r="Z71" s="22"/>
      <c r="AA71" s="22"/>
    </row>
    <row r="72" spans="1:27">
      <c r="A72" s="23"/>
      <c r="B72" s="14"/>
      <c r="C72" s="94"/>
      <c r="D72" s="1025"/>
      <c r="E72" s="1025"/>
      <c r="F72" s="1025"/>
      <c r="G72" s="1025"/>
      <c r="H72" s="1025"/>
      <c r="I72" s="1025"/>
      <c r="J72" s="1025"/>
      <c r="K72" s="88"/>
      <c r="L72" s="90"/>
      <c r="M72" s="1025"/>
      <c r="N72" s="96"/>
      <c r="O72" s="31"/>
      <c r="P72" s="87"/>
      <c r="Q72" s="31"/>
      <c r="R72" s="23"/>
      <c r="S72" s="23"/>
      <c r="T72" s="22"/>
      <c r="U72" s="22"/>
      <c r="V72" s="22"/>
      <c r="W72" s="22"/>
      <c r="X72" s="22"/>
      <c r="Y72" s="22"/>
      <c r="Z72" s="22"/>
      <c r="AA72" s="22"/>
    </row>
    <row r="73" spans="1:27">
      <c r="A73" s="23"/>
      <c r="B73" s="14"/>
      <c r="C73" s="94"/>
      <c r="D73" s="1025"/>
      <c r="E73" s="1025"/>
      <c r="F73" s="1025"/>
      <c r="G73" s="1025"/>
      <c r="H73" s="1025"/>
      <c r="I73" s="1025"/>
      <c r="J73" s="1025"/>
      <c r="K73" s="88"/>
      <c r="L73" s="90"/>
      <c r="M73" s="1025"/>
      <c r="N73" s="96"/>
      <c r="O73" s="31"/>
      <c r="P73" s="87"/>
      <c r="Q73" s="31"/>
      <c r="R73" s="23"/>
      <c r="S73" s="23"/>
      <c r="T73" s="22"/>
      <c r="U73" s="22"/>
      <c r="V73" s="22"/>
      <c r="W73" s="22"/>
      <c r="X73" s="22"/>
      <c r="Y73" s="22"/>
      <c r="Z73" s="22"/>
      <c r="AA73" s="22"/>
    </row>
    <row r="74" spans="1:27">
      <c r="A74" s="23"/>
      <c r="B74" s="14"/>
      <c r="C74" s="94"/>
      <c r="D74" s="1025"/>
      <c r="E74" s="1025"/>
      <c r="F74" s="1025"/>
      <c r="G74" s="1025"/>
      <c r="H74" s="1025"/>
      <c r="I74" s="1025"/>
      <c r="J74" s="1025"/>
      <c r="K74" s="88"/>
      <c r="L74" s="90"/>
      <c r="M74" s="1025"/>
      <c r="N74" s="96"/>
      <c r="O74" s="31"/>
      <c r="P74" s="87"/>
      <c r="Q74" s="31"/>
      <c r="R74" s="23"/>
      <c r="S74" s="23"/>
      <c r="T74" s="22"/>
      <c r="U74" s="22"/>
      <c r="V74" s="22"/>
      <c r="W74" s="22"/>
      <c r="X74" s="22"/>
      <c r="Y74" s="22"/>
      <c r="Z74" s="22"/>
      <c r="AA74" s="22"/>
    </row>
    <row r="75" spans="1:27">
      <c r="A75" s="23"/>
      <c r="B75" s="14"/>
      <c r="C75" s="94"/>
      <c r="D75" s="1025"/>
      <c r="E75" s="1025"/>
      <c r="F75" s="1025"/>
      <c r="G75" s="1025"/>
      <c r="H75" s="1025"/>
      <c r="I75" s="1025"/>
      <c r="J75" s="1025"/>
      <c r="K75" s="88"/>
      <c r="L75" s="90"/>
      <c r="M75" s="1025"/>
      <c r="N75" s="96"/>
      <c r="O75" s="31"/>
      <c r="P75" s="87"/>
      <c r="Q75" s="31"/>
      <c r="R75" s="23"/>
      <c r="S75" s="23"/>
      <c r="T75" s="22"/>
      <c r="U75" s="22"/>
      <c r="V75" s="22"/>
      <c r="W75" s="22"/>
      <c r="X75" s="22"/>
      <c r="Y75" s="22"/>
      <c r="Z75" s="22"/>
      <c r="AA75" s="22"/>
    </row>
    <row r="76" spans="1:27">
      <c r="A76" s="23"/>
      <c r="B76" s="14"/>
      <c r="C76" s="94"/>
      <c r="D76" s="1025"/>
      <c r="E76" s="1025"/>
      <c r="F76" s="1025"/>
      <c r="G76" s="1025"/>
      <c r="H76" s="1025"/>
      <c r="I76" s="1025"/>
      <c r="J76" s="1025"/>
      <c r="K76" s="88"/>
      <c r="L76" s="90"/>
      <c r="M76" s="1025"/>
      <c r="N76" s="96"/>
      <c r="O76" s="31"/>
      <c r="P76" s="87"/>
      <c r="Q76" s="31"/>
      <c r="R76" s="23"/>
      <c r="S76" s="23"/>
      <c r="T76" s="22"/>
      <c r="U76" s="22"/>
      <c r="V76" s="22"/>
      <c r="W76" s="22"/>
      <c r="X76" s="22"/>
      <c r="Y76" s="22"/>
      <c r="Z76" s="22"/>
      <c r="AA76" s="22"/>
    </row>
    <row r="77" spans="1:27">
      <c r="A77" s="23"/>
      <c r="B77" s="14"/>
      <c r="C77" s="94"/>
      <c r="D77" s="1025"/>
      <c r="E77" s="1025"/>
      <c r="F77" s="1025"/>
      <c r="G77" s="1025"/>
      <c r="H77" s="1025"/>
      <c r="I77" s="1025"/>
      <c r="J77" s="1025"/>
      <c r="K77" s="88"/>
      <c r="L77" s="90"/>
      <c r="M77" s="1025"/>
      <c r="N77" s="96"/>
      <c r="O77" s="31"/>
      <c r="P77" s="87"/>
      <c r="Q77" s="31"/>
      <c r="R77" s="23"/>
      <c r="S77" s="23"/>
      <c r="T77" s="22"/>
      <c r="U77" s="22"/>
      <c r="V77" s="22"/>
      <c r="W77" s="22"/>
      <c r="X77" s="22"/>
      <c r="Y77" s="22"/>
      <c r="Z77" s="22"/>
      <c r="AA77" s="22"/>
    </row>
    <row r="78" spans="1:27">
      <c r="A78" s="23"/>
      <c r="B78" s="14"/>
      <c r="C78" s="94"/>
      <c r="D78" s="1025"/>
      <c r="E78" s="1025"/>
      <c r="F78" s="1025"/>
      <c r="G78" s="1025"/>
      <c r="H78" s="1025"/>
      <c r="I78" s="1025"/>
      <c r="J78" s="1025"/>
      <c r="K78" s="88"/>
      <c r="L78" s="90"/>
      <c r="M78" s="1025"/>
      <c r="N78" s="96"/>
      <c r="O78" s="31"/>
      <c r="P78" s="87"/>
      <c r="Q78" s="31"/>
      <c r="R78" s="23"/>
      <c r="S78" s="23"/>
      <c r="T78" s="22"/>
      <c r="U78" s="22"/>
      <c r="V78" s="22"/>
      <c r="W78" s="22"/>
      <c r="X78" s="22"/>
      <c r="Y78" s="22"/>
      <c r="Z78" s="22"/>
      <c r="AA78" s="22"/>
    </row>
    <row r="79" spans="1:27">
      <c r="A79" s="23"/>
      <c r="B79" s="14"/>
      <c r="C79" s="94"/>
      <c r="D79" s="1025"/>
      <c r="E79" s="1025"/>
      <c r="F79" s="1025"/>
      <c r="G79" s="1025"/>
      <c r="H79" s="1025"/>
      <c r="I79" s="1025"/>
      <c r="J79" s="1025"/>
      <c r="K79" s="88"/>
      <c r="L79" s="90"/>
      <c r="M79" s="1025"/>
      <c r="N79" s="96"/>
      <c r="O79" s="31"/>
      <c r="P79" s="87"/>
      <c r="Q79" s="31"/>
      <c r="R79" s="23"/>
      <c r="S79" s="23"/>
      <c r="T79" s="22"/>
      <c r="U79" s="22"/>
      <c r="V79" s="22"/>
      <c r="W79" s="22"/>
      <c r="X79" s="22"/>
      <c r="Y79" s="22"/>
      <c r="Z79" s="22"/>
      <c r="AA79" s="22"/>
    </row>
    <row r="80" spans="1:27">
      <c r="A80" s="23"/>
      <c r="B80" s="14"/>
      <c r="C80" s="94"/>
      <c r="D80" s="1025"/>
      <c r="E80" s="1025"/>
      <c r="F80" s="1025"/>
      <c r="G80" s="1025"/>
      <c r="H80" s="1025"/>
      <c r="I80" s="1025"/>
      <c r="J80" s="1025"/>
      <c r="K80" s="88"/>
      <c r="L80" s="90"/>
      <c r="M80" s="1025"/>
      <c r="N80" s="96"/>
      <c r="O80" s="31"/>
      <c r="P80" s="87"/>
      <c r="Q80" s="31"/>
      <c r="R80" s="23"/>
      <c r="S80" s="23"/>
      <c r="T80" s="22"/>
      <c r="U80" s="22"/>
      <c r="V80" s="22"/>
      <c r="W80" s="22"/>
      <c r="X80" s="22"/>
      <c r="Y80" s="22"/>
      <c r="Z80" s="22"/>
      <c r="AA80" s="22"/>
    </row>
    <row r="81" spans="1:27">
      <c r="A81" s="23"/>
      <c r="B81" s="14"/>
      <c r="C81" s="94"/>
      <c r="D81" s="1025"/>
      <c r="E81" s="1025"/>
      <c r="F81" s="1025"/>
      <c r="G81" s="1025"/>
      <c r="H81" s="1025"/>
      <c r="I81" s="1025"/>
      <c r="J81" s="1025"/>
      <c r="K81" s="88"/>
      <c r="L81" s="90"/>
      <c r="M81" s="1025"/>
      <c r="N81" s="96"/>
      <c r="O81" s="31"/>
      <c r="P81" s="87"/>
      <c r="Q81" s="31"/>
      <c r="R81" s="23"/>
      <c r="S81" s="23"/>
      <c r="T81" s="22"/>
      <c r="U81" s="22"/>
      <c r="V81" s="22"/>
      <c r="W81" s="22"/>
      <c r="X81" s="22"/>
      <c r="Y81" s="22"/>
      <c r="Z81" s="22"/>
      <c r="AA81" s="22"/>
    </row>
    <row r="82" spans="1:27">
      <c r="A82" s="23"/>
      <c r="B82" s="14"/>
      <c r="C82" s="94"/>
      <c r="D82" s="1025"/>
      <c r="E82" s="1025"/>
      <c r="F82" s="1025"/>
      <c r="G82" s="1025"/>
      <c r="H82" s="1025"/>
      <c r="I82" s="1025"/>
      <c r="J82" s="1025"/>
      <c r="K82" s="88"/>
      <c r="L82" s="90"/>
      <c r="M82" s="1025"/>
      <c r="N82" s="96"/>
      <c r="O82" s="31"/>
      <c r="P82" s="87"/>
      <c r="Q82" s="31"/>
      <c r="R82" s="23"/>
      <c r="S82" s="23"/>
      <c r="T82" s="22"/>
      <c r="U82" s="22"/>
      <c r="V82" s="22"/>
      <c r="W82" s="22"/>
      <c r="X82" s="22"/>
      <c r="Y82" s="22"/>
      <c r="Z82" s="22"/>
      <c r="AA82" s="22"/>
    </row>
    <row r="83" spans="1:27">
      <c r="A83" s="23"/>
      <c r="B83" s="14"/>
      <c r="C83" s="94"/>
      <c r="D83" s="1025"/>
      <c r="E83" s="1025"/>
      <c r="F83" s="1025"/>
      <c r="G83" s="1025"/>
      <c r="H83" s="1025"/>
      <c r="I83" s="1025"/>
      <c r="J83" s="1025"/>
      <c r="K83" s="88"/>
      <c r="L83" s="90"/>
      <c r="M83" s="1025"/>
      <c r="N83" s="96"/>
      <c r="O83" s="31"/>
      <c r="P83" s="87"/>
      <c r="Q83" s="31"/>
      <c r="R83" s="23"/>
      <c r="S83" s="23"/>
      <c r="T83" s="22"/>
      <c r="U83" s="22"/>
      <c r="V83" s="22"/>
      <c r="W83" s="22"/>
      <c r="X83" s="22"/>
      <c r="Y83" s="22"/>
      <c r="Z83" s="22"/>
      <c r="AA83" s="22"/>
    </row>
    <row r="84" spans="1:27">
      <c r="A84" s="23"/>
      <c r="B84" s="14"/>
      <c r="C84" s="94"/>
      <c r="D84" s="1025"/>
      <c r="E84" s="1025"/>
      <c r="F84" s="1025"/>
      <c r="G84" s="1025"/>
      <c r="H84" s="1025"/>
      <c r="I84" s="1025"/>
      <c r="J84" s="1025"/>
      <c r="K84" s="88"/>
      <c r="L84" s="90"/>
      <c r="M84" s="1025"/>
      <c r="N84" s="96"/>
      <c r="O84" s="31"/>
      <c r="P84" s="87"/>
      <c r="Q84" s="31"/>
      <c r="R84" s="23"/>
      <c r="S84" s="23"/>
      <c r="T84" s="22"/>
      <c r="U84" s="22"/>
      <c r="V84" s="22"/>
      <c r="W84" s="22"/>
      <c r="X84" s="22"/>
      <c r="Y84" s="22"/>
      <c r="Z84" s="22"/>
      <c r="AA84" s="22"/>
    </row>
    <row r="85" spans="1:27">
      <c r="A85" s="23"/>
      <c r="B85" s="14"/>
      <c r="C85" s="94"/>
      <c r="D85" s="1025"/>
      <c r="E85" s="1025"/>
      <c r="F85" s="1025"/>
      <c r="G85" s="1025"/>
      <c r="H85" s="1025"/>
      <c r="I85" s="1025"/>
      <c r="J85" s="1025"/>
      <c r="K85" s="88"/>
      <c r="L85" s="90"/>
      <c r="M85" s="1025"/>
      <c r="N85" s="96"/>
      <c r="O85" s="31"/>
      <c r="P85" s="87"/>
      <c r="Q85" s="31"/>
      <c r="R85" s="23"/>
      <c r="S85" s="23"/>
      <c r="T85" s="22"/>
      <c r="U85" s="22"/>
      <c r="V85" s="22"/>
      <c r="W85" s="22"/>
      <c r="X85" s="22"/>
      <c r="Y85" s="22"/>
      <c r="Z85" s="22"/>
      <c r="AA85" s="22"/>
    </row>
    <row r="86" spans="1:27">
      <c r="A86" s="23"/>
      <c r="B86" s="14"/>
      <c r="C86" s="94"/>
      <c r="D86" s="1025"/>
      <c r="E86" s="1025"/>
      <c r="F86" s="1025"/>
      <c r="G86" s="1025"/>
      <c r="H86" s="1025"/>
      <c r="I86" s="1025"/>
      <c r="J86" s="1025"/>
      <c r="K86" s="88"/>
      <c r="L86" s="90"/>
      <c r="M86" s="1025"/>
      <c r="N86" s="96"/>
      <c r="O86" s="31"/>
      <c r="P86" s="87"/>
      <c r="Q86" s="31"/>
      <c r="R86" s="23"/>
      <c r="S86" s="23"/>
      <c r="T86" s="22"/>
      <c r="U86" s="22"/>
      <c r="V86" s="22"/>
      <c r="W86" s="22"/>
      <c r="X86" s="22"/>
      <c r="Y86" s="22"/>
      <c r="Z86" s="22"/>
      <c r="AA86" s="22"/>
    </row>
    <row r="87" spans="1:27">
      <c r="A87" s="23"/>
      <c r="B87" s="14"/>
      <c r="C87" s="94"/>
      <c r="D87" s="1025"/>
      <c r="E87" s="1025"/>
      <c r="F87" s="1025"/>
      <c r="G87" s="1025"/>
      <c r="H87" s="1025"/>
      <c r="I87" s="1025"/>
      <c r="J87" s="1025"/>
      <c r="K87" s="88"/>
      <c r="L87" s="90"/>
      <c r="M87" s="1025"/>
      <c r="N87" s="96"/>
      <c r="O87" s="31"/>
      <c r="P87" s="87"/>
      <c r="Q87" s="31"/>
      <c r="R87" s="23"/>
      <c r="S87" s="23"/>
      <c r="T87" s="22"/>
      <c r="U87" s="22"/>
      <c r="V87" s="22"/>
      <c r="W87" s="22"/>
      <c r="X87" s="22"/>
      <c r="Y87" s="22"/>
      <c r="Z87" s="22"/>
      <c r="AA87" s="22"/>
    </row>
    <row r="88" spans="1:27">
      <c r="A88" s="23"/>
      <c r="B88" s="14"/>
      <c r="C88" s="94"/>
      <c r="D88" s="1025"/>
      <c r="E88" s="1025"/>
      <c r="F88" s="1025"/>
      <c r="G88" s="1025"/>
      <c r="H88" s="1025"/>
      <c r="I88" s="1025"/>
      <c r="J88" s="1025"/>
      <c r="K88" s="88"/>
      <c r="L88" s="90"/>
      <c r="M88" s="1025"/>
      <c r="N88" s="96"/>
      <c r="O88" s="31"/>
      <c r="P88" s="87"/>
      <c r="Q88" s="31"/>
      <c r="R88" s="23"/>
      <c r="S88" s="23"/>
      <c r="T88" s="22"/>
      <c r="U88" s="22"/>
      <c r="V88" s="22"/>
      <c r="W88" s="22"/>
      <c r="X88" s="22"/>
      <c r="Y88" s="22"/>
      <c r="Z88" s="22"/>
      <c r="AA88" s="22"/>
    </row>
    <row r="89" spans="1:27">
      <c r="A89" s="23"/>
      <c r="B89" s="14"/>
      <c r="C89" s="94"/>
      <c r="D89" s="1025"/>
      <c r="E89" s="1025"/>
      <c r="F89" s="1025"/>
      <c r="G89" s="1025"/>
      <c r="H89" s="1025"/>
      <c r="I89" s="1025"/>
      <c r="J89" s="1025"/>
      <c r="K89" s="88"/>
      <c r="L89" s="90"/>
      <c r="M89" s="1025"/>
      <c r="N89" s="96"/>
      <c r="O89" s="31"/>
      <c r="P89" s="87"/>
      <c r="Q89" s="31"/>
      <c r="R89" s="23"/>
      <c r="S89" s="23"/>
      <c r="T89" s="22"/>
      <c r="U89" s="22"/>
      <c r="V89" s="22"/>
      <c r="W89" s="22"/>
      <c r="X89" s="22"/>
      <c r="Y89" s="22"/>
      <c r="Z89" s="22"/>
      <c r="AA89" s="22"/>
    </row>
    <row r="90" spans="1:27">
      <c r="A90" s="23"/>
      <c r="B90" s="14"/>
      <c r="C90" s="94"/>
      <c r="D90" s="1025"/>
      <c r="E90" s="1025"/>
      <c r="F90" s="1025"/>
      <c r="G90" s="1025"/>
      <c r="H90" s="1025"/>
      <c r="I90" s="1025"/>
      <c r="J90" s="1025"/>
      <c r="K90" s="88"/>
      <c r="L90" s="90"/>
      <c r="M90" s="1025"/>
      <c r="N90" s="96"/>
      <c r="O90" s="31"/>
      <c r="P90" s="87"/>
      <c r="Q90" s="31"/>
      <c r="R90" s="23"/>
      <c r="S90" s="23"/>
      <c r="T90" s="22"/>
      <c r="U90" s="22"/>
      <c r="V90" s="22"/>
      <c r="W90" s="22"/>
      <c r="X90" s="22"/>
      <c r="Y90" s="22"/>
      <c r="Z90" s="22"/>
      <c r="AA90" s="22"/>
    </row>
    <row r="91" spans="1:27">
      <c r="A91" s="23"/>
      <c r="B91" s="14"/>
      <c r="C91" s="94"/>
      <c r="D91" s="1025"/>
      <c r="E91" s="1025"/>
      <c r="F91" s="1025"/>
      <c r="G91" s="1025"/>
      <c r="H91" s="1025"/>
      <c r="I91" s="1025"/>
      <c r="J91" s="1025"/>
      <c r="K91" s="88"/>
      <c r="L91" s="90"/>
      <c r="M91" s="1025"/>
      <c r="N91" s="96"/>
      <c r="O91" s="31"/>
      <c r="P91" s="87"/>
      <c r="Q91" s="31"/>
      <c r="R91" s="23"/>
      <c r="S91" s="23"/>
      <c r="T91" s="22"/>
      <c r="U91" s="22"/>
      <c r="V91" s="22"/>
      <c r="W91" s="22"/>
      <c r="X91" s="22"/>
      <c r="Y91" s="22"/>
      <c r="Z91" s="22"/>
      <c r="AA91" s="22"/>
    </row>
    <row r="92" spans="1:27">
      <c r="A92" s="23"/>
      <c r="B92" s="14"/>
      <c r="C92" s="94"/>
      <c r="D92" s="1025"/>
      <c r="E92" s="1025"/>
      <c r="F92" s="1025"/>
      <c r="G92" s="1025"/>
      <c r="H92" s="1025"/>
      <c r="I92" s="1025"/>
      <c r="J92" s="1025"/>
      <c r="K92" s="88"/>
      <c r="L92" s="90"/>
      <c r="M92" s="1025"/>
      <c r="N92" s="96"/>
      <c r="O92" s="31"/>
      <c r="P92" s="87"/>
      <c r="Q92" s="31"/>
      <c r="R92" s="23"/>
      <c r="S92" s="23"/>
      <c r="T92" s="22"/>
      <c r="U92" s="22"/>
      <c r="V92" s="22"/>
      <c r="W92" s="22"/>
      <c r="X92" s="22"/>
      <c r="Y92" s="22"/>
      <c r="Z92" s="22"/>
      <c r="AA92" s="22"/>
    </row>
    <row r="93" spans="1:27">
      <c r="A93" s="23"/>
      <c r="B93" s="14"/>
      <c r="C93" s="94"/>
      <c r="D93" s="1025"/>
      <c r="E93" s="1025"/>
      <c r="F93" s="1025"/>
      <c r="G93" s="1025"/>
      <c r="H93" s="1025"/>
      <c r="I93" s="1025"/>
      <c r="J93" s="1025"/>
      <c r="K93" s="88"/>
      <c r="L93" s="90"/>
      <c r="M93" s="1025"/>
      <c r="N93" s="96"/>
      <c r="O93" s="31"/>
      <c r="P93" s="87"/>
      <c r="Q93" s="31"/>
      <c r="R93" s="23"/>
      <c r="S93" s="23"/>
      <c r="T93" s="22"/>
      <c r="U93" s="22"/>
      <c r="V93" s="22"/>
      <c r="W93" s="22"/>
      <c r="X93" s="22"/>
      <c r="Y93" s="22"/>
      <c r="Z93" s="22"/>
      <c r="AA93" s="22"/>
    </row>
    <row r="94" spans="1:27">
      <c r="A94" s="23"/>
      <c r="B94" s="14"/>
      <c r="C94" s="94"/>
      <c r="D94" s="1025"/>
      <c r="E94" s="1025"/>
      <c r="F94" s="1025"/>
      <c r="G94" s="1025"/>
      <c r="H94" s="1025"/>
      <c r="I94" s="1025"/>
      <c r="J94" s="1025"/>
      <c r="K94" s="88"/>
      <c r="L94" s="90"/>
      <c r="M94" s="1025"/>
      <c r="N94" s="96"/>
      <c r="O94" s="31"/>
      <c r="P94" s="87"/>
      <c r="Q94" s="31"/>
      <c r="R94" s="23"/>
      <c r="S94" s="23"/>
      <c r="T94" s="22"/>
      <c r="U94" s="22"/>
      <c r="V94" s="22"/>
      <c r="W94" s="22"/>
      <c r="X94" s="22"/>
      <c r="Y94" s="22"/>
      <c r="Z94" s="22"/>
      <c r="AA94" s="22"/>
    </row>
    <row r="95" spans="1:27">
      <c r="A95" s="23"/>
      <c r="B95" s="14"/>
      <c r="C95" s="94"/>
      <c r="D95" s="1025"/>
      <c r="E95" s="1025"/>
      <c r="F95" s="1025"/>
      <c r="G95" s="1025"/>
      <c r="H95" s="1025"/>
      <c r="I95" s="1025"/>
      <c r="J95" s="1025"/>
      <c r="K95" s="88"/>
      <c r="L95" s="90"/>
      <c r="M95" s="1025"/>
      <c r="N95" s="96"/>
      <c r="O95" s="31"/>
      <c r="P95" s="87"/>
      <c r="Q95" s="31"/>
      <c r="R95" s="23"/>
      <c r="S95" s="23"/>
      <c r="T95" s="22"/>
      <c r="U95" s="22"/>
      <c r="V95" s="22"/>
      <c r="W95" s="22"/>
      <c r="X95" s="22"/>
      <c r="Y95" s="22"/>
      <c r="Z95" s="22"/>
      <c r="AA95" s="22"/>
    </row>
    <row r="96" spans="1:27">
      <c r="A96" s="23"/>
      <c r="B96" s="14"/>
      <c r="C96" s="94"/>
      <c r="D96" s="1025"/>
      <c r="E96" s="1025"/>
      <c r="F96" s="1025"/>
      <c r="G96" s="1025"/>
      <c r="H96" s="1025"/>
      <c r="I96" s="1025"/>
      <c r="J96" s="1025"/>
      <c r="K96" s="88"/>
      <c r="L96" s="90"/>
      <c r="M96" s="1025"/>
      <c r="N96" s="96"/>
      <c r="O96" s="31"/>
      <c r="P96" s="87"/>
      <c r="Q96" s="31"/>
      <c r="R96" s="23"/>
      <c r="S96" s="23"/>
      <c r="T96" s="22"/>
      <c r="U96" s="22"/>
      <c r="V96" s="22"/>
      <c r="W96" s="22"/>
      <c r="X96" s="22"/>
      <c r="Y96" s="22"/>
      <c r="Z96" s="22"/>
      <c r="AA96" s="22"/>
    </row>
    <row r="97" spans="1:27">
      <c r="A97" s="23"/>
      <c r="B97" s="14"/>
      <c r="C97" s="94"/>
      <c r="D97" s="1025"/>
      <c r="E97" s="1025"/>
      <c r="F97" s="1025"/>
      <c r="G97" s="1025"/>
      <c r="H97" s="1025"/>
      <c r="I97" s="1025"/>
      <c r="J97" s="1025"/>
      <c r="K97" s="88"/>
      <c r="L97" s="90"/>
      <c r="M97" s="1025"/>
      <c r="N97" s="96"/>
      <c r="O97" s="31"/>
      <c r="P97" s="87"/>
      <c r="Q97" s="31"/>
      <c r="R97" s="23"/>
      <c r="S97" s="23"/>
      <c r="T97" s="22"/>
      <c r="U97" s="22"/>
      <c r="V97" s="22"/>
      <c r="W97" s="22"/>
      <c r="X97" s="22"/>
      <c r="Y97" s="22"/>
      <c r="Z97" s="22"/>
      <c r="AA97" s="22"/>
    </row>
    <row r="98" spans="1:27">
      <c r="A98" s="23"/>
      <c r="B98" s="14"/>
      <c r="C98" s="94"/>
      <c r="D98" s="1025"/>
      <c r="E98" s="1025"/>
      <c r="F98" s="1025"/>
      <c r="G98" s="1025"/>
      <c r="H98" s="1025"/>
      <c r="I98" s="1025"/>
      <c r="J98" s="1025"/>
      <c r="K98" s="88"/>
      <c r="L98" s="90"/>
      <c r="M98" s="1025"/>
      <c r="N98" s="96"/>
      <c r="O98" s="31"/>
      <c r="P98" s="87"/>
      <c r="Q98" s="31"/>
      <c r="R98" s="23"/>
      <c r="S98" s="23"/>
      <c r="T98" s="22"/>
      <c r="U98" s="22"/>
      <c r="V98" s="22"/>
      <c r="W98" s="22"/>
      <c r="X98" s="22"/>
      <c r="Y98" s="22"/>
      <c r="Z98" s="22"/>
      <c r="AA98" s="22"/>
    </row>
    <row r="99" spans="1:27">
      <c r="A99" s="23"/>
      <c r="B99" s="14"/>
      <c r="C99" s="94"/>
      <c r="D99" s="1025"/>
      <c r="E99" s="1025"/>
      <c r="F99" s="1025"/>
      <c r="G99" s="1025"/>
      <c r="H99" s="1025"/>
      <c r="I99" s="1025"/>
      <c r="J99" s="1025"/>
      <c r="K99" s="88"/>
      <c r="L99" s="90"/>
      <c r="M99" s="1025"/>
      <c r="N99" s="96"/>
      <c r="O99" s="31"/>
      <c r="P99" s="87"/>
      <c r="Q99" s="31"/>
      <c r="R99" s="23"/>
      <c r="S99" s="23"/>
      <c r="T99" s="22"/>
      <c r="U99" s="22"/>
      <c r="V99" s="22"/>
      <c r="W99" s="22"/>
      <c r="X99" s="22"/>
      <c r="Y99" s="22"/>
      <c r="Z99" s="22"/>
      <c r="AA99" s="22"/>
    </row>
    <row r="100" spans="1:27">
      <c r="A100" s="23"/>
      <c r="B100" s="14"/>
      <c r="C100" s="94"/>
      <c r="D100" s="1025"/>
      <c r="E100" s="1025"/>
      <c r="F100" s="1025"/>
      <c r="G100" s="1025"/>
      <c r="H100" s="1025"/>
      <c r="I100" s="1025"/>
      <c r="J100" s="1025"/>
      <c r="K100" s="88"/>
      <c r="L100" s="90"/>
      <c r="M100" s="1025"/>
      <c r="N100" s="96"/>
      <c r="O100" s="31"/>
      <c r="P100" s="87"/>
      <c r="Q100" s="31"/>
      <c r="R100" s="23"/>
      <c r="S100" s="23"/>
      <c r="T100" s="22"/>
      <c r="U100" s="22"/>
      <c r="V100" s="22"/>
      <c r="W100" s="22"/>
      <c r="X100" s="22"/>
      <c r="Y100" s="22"/>
      <c r="Z100" s="22"/>
      <c r="AA100" s="22"/>
    </row>
    <row r="101" spans="1:27">
      <c r="A101" s="23"/>
      <c r="B101" s="14"/>
      <c r="C101" s="94"/>
      <c r="D101" s="1025"/>
      <c r="E101" s="1025"/>
      <c r="F101" s="1025"/>
      <c r="G101" s="1025"/>
      <c r="H101" s="1025"/>
      <c r="I101" s="1025"/>
      <c r="J101" s="1025"/>
      <c r="K101" s="88"/>
      <c r="L101" s="90"/>
      <c r="M101" s="1025"/>
      <c r="N101" s="96"/>
      <c r="O101" s="31"/>
      <c r="P101" s="87"/>
      <c r="Q101" s="31"/>
      <c r="R101" s="23"/>
      <c r="S101" s="23"/>
      <c r="T101" s="22"/>
      <c r="U101" s="22"/>
      <c r="V101" s="22"/>
      <c r="W101" s="22"/>
      <c r="X101" s="22"/>
      <c r="Y101" s="22"/>
      <c r="Z101" s="22"/>
      <c r="AA101" s="22"/>
    </row>
    <row r="102" spans="1:27">
      <c r="A102" s="23"/>
      <c r="B102" s="14"/>
      <c r="C102" s="94"/>
      <c r="D102" s="1025"/>
      <c r="E102" s="1025"/>
      <c r="F102" s="1025"/>
      <c r="G102" s="1025"/>
      <c r="H102" s="1025"/>
      <c r="I102" s="1025"/>
      <c r="J102" s="1025"/>
      <c r="K102" s="88"/>
      <c r="L102" s="90"/>
      <c r="M102" s="1025"/>
      <c r="N102" s="96"/>
      <c r="O102" s="31"/>
      <c r="P102" s="87"/>
      <c r="Q102" s="31"/>
      <c r="R102" s="23"/>
      <c r="S102" s="23"/>
      <c r="T102" s="22"/>
      <c r="U102" s="22"/>
      <c r="V102" s="22"/>
      <c r="W102" s="22"/>
      <c r="X102" s="22"/>
      <c r="Y102" s="22"/>
      <c r="Z102" s="22"/>
      <c r="AA102" s="22"/>
    </row>
    <row r="103" spans="1:27">
      <c r="A103" s="23"/>
      <c r="B103" s="14"/>
      <c r="C103" s="94"/>
      <c r="D103" s="1025"/>
      <c r="E103" s="1025"/>
      <c r="F103" s="1025"/>
      <c r="G103" s="1025"/>
      <c r="H103" s="1025"/>
      <c r="I103" s="1025"/>
      <c r="J103" s="1025"/>
      <c r="K103" s="88"/>
      <c r="L103" s="90"/>
      <c r="M103" s="1025"/>
      <c r="N103" s="96"/>
      <c r="O103" s="31"/>
      <c r="P103" s="87"/>
      <c r="Q103" s="31"/>
      <c r="R103" s="23"/>
      <c r="S103" s="23"/>
      <c r="T103" s="22"/>
      <c r="U103" s="22"/>
      <c r="V103" s="22"/>
      <c r="W103" s="22"/>
      <c r="X103" s="22"/>
      <c r="Y103" s="22"/>
      <c r="Z103" s="22"/>
      <c r="AA103" s="22"/>
    </row>
    <row r="104" spans="1:27">
      <c r="A104" s="23"/>
      <c r="B104" s="14"/>
      <c r="C104" s="94"/>
      <c r="D104" s="1025"/>
      <c r="E104" s="1025"/>
      <c r="F104" s="1025"/>
      <c r="G104" s="1025"/>
      <c r="H104" s="1025"/>
      <c r="I104" s="1025"/>
      <c r="J104" s="1025"/>
      <c r="K104" s="88"/>
      <c r="L104" s="90"/>
      <c r="M104" s="1025"/>
      <c r="N104" s="96"/>
      <c r="O104" s="31"/>
      <c r="P104" s="87"/>
      <c r="Q104" s="31"/>
      <c r="R104" s="23"/>
      <c r="S104" s="23"/>
      <c r="T104" s="22"/>
      <c r="U104" s="22"/>
      <c r="V104" s="22"/>
      <c r="W104" s="22"/>
      <c r="X104" s="22"/>
      <c r="Y104" s="22"/>
      <c r="Z104" s="22"/>
      <c r="AA104" s="22"/>
    </row>
    <row r="105" spans="1:27">
      <c r="A105" s="23"/>
      <c r="B105" s="14"/>
      <c r="C105" s="94"/>
      <c r="D105" s="1025"/>
      <c r="E105" s="1025"/>
      <c r="F105" s="1536"/>
      <c r="G105" s="1536"/>
      <c r="H105" s="1025"/>
      <c r="I105" s="1025"/>
      <c r="J105" s="1025"/>
      <c r="K105" s="1025"/>
      <c r="L105" s="1025"/>
      <c r="M105" s="1025"/>
      <c r="N105" s="96"/>
      <c r="O105" s="31"/>
      <c r="P105" s="87"/>
      <c r="Q105" s="31"/>
      <c r="R105" s="23"/>
      <c r="S105" s="23"/>
      <c r="T105" s="22"/>
      <c r="U105" s="22"/>
      <c r="V105" s="22"/>
      <c r="W105" s="22"/>
      <c r="X105" s="22"/>
      <c r="Y105" s="22"/>
      <c r="Z105" s="22"/>
      <c r="AA105" s="22"/>
    </row>
    <row r="106" spans="1:27" ht="16.5" thickBot="1">
      <c r="A106" s="23"/>
      <c r="B106" s="17"/>
      <c r="C106" s="97"/>
      <c r="D106" s="1026"/>
      <c r="E106" s="1026"/>
      <c r="F106" s="1537"/>
      <c r="G106" s="1537"/>
      <c r="H106" s="1026"/>
      <c r="I106" s="1026"/>
      <c r="J106" s="1026"/>
      <c r="K106" s="1026"/>
      <c r="L106" s="1026"/>
      <c r="M106" s="1026"/>
      <c r="N106" s="98"/>
      <c r="O106" s="31"/>
      <c r="P106" s="87"/>
      <c r="Q106" s="31"/>
      <c r="R106" s="23"/>
      <c r="S106" s="23"/>
      <c r="T106" s="22"/>
      <c r="U106" s="22"/>
      <c r="V106" s="22"/>
      <c r="W106" s="22"/>
      <c r="X106" s="22"/>
      <c r="Y106" s="22"/>
      <c r="Z106" s="22"/>
      <c r="AA106" s="22"/>
    </row>
    <row r="107" spans="1:27">
      <c r="A107" s="23"/>
      <c r="B107" s="23"/>
      <c r="C107" s="46"/>
      <c r="D107" s="1013"/>
      <c r="E107" s="1013"/>
      <c r="F107" s="1501"/>
      <c r="G107" s="1501"/>
      <c r="H107" s="1013"/>
      <c r="I107" s="1013"/>
      <c r="J107" s="1013"/>
      <c r="K107" s="1013"/>
      <c r="L107" s="1013"/>
      <c r="M107" s="1013"/>
      <c r="N107" s="31"/>
      <c r="O107" s="31"/>
      <c r="P107" s="87"/>
      <c r="Q107" s="31"/>
      <c r="R107" s="23"/>
      <c r="S107" s="23"/>
      <c r="T107" s="22"/>
      <c r="U107" s="22"/>
      <c r="V107" s="22"/>
      <c r="W107" s="22"/>
      <c r="X107" s="22"/>
      <c r="Y107" s="22"/>
      <c r="Z107" s="22"/>
      <c r="AA107" s="22"/>
    </row>
    <row r="108" spans="1:27">
      <c r="A108" s="23"/>
      <c r="B108" s="23"/>
      <c r="C108" s="33"/>
      <c r="D108" s="1013"/>
      <c r="E108" s="1013"/>
      <c r="F108" s="1501"/>
      <c r="G108" s="1501"/>
      <c r="H108" s="1013"/>
      <c r="I108" s="1013"/>
      <c r="J108" s="1013"/>
      <c r="K108" s="1013"/>
      <c r="L108" s="1013"/>
      <c r="M108" s="1013"/>
      <c r="N108" s="31"/>
      <c r="O108" s="31"/>
      <c r="P108" s="87"/>
      <c r="Q108" s="31"/>
      <c r="R108" s="23"/>
      <c r="S108" s="23"/>
      <c r="T108" s="22"/>
      <c r="U108" s="22"/>
      <c r="V108" s="22"/>
      <c r="W108" s="22"/>
      <c r="X108" s="22"/>
      <c r="Y108" s="22"/>
      <c r="Z108" s="22"/>
      <c r="AA108" s="22"/>
    </row>
    <row r="109" spans="1:27">
      <c r="A109" s="23"/>
      <c r="B109" s="23"/>
      <c r="C109" s="33"/>
      <c r="D109" s="1013"/>
      <c r="E109" s="1013"/>
      <c r="F109" s="1013"/>
      <c r="G109" s="1013"/>
      <c r="H109" s="1013"/>
      <c r="I109" s="1013"/>
      <c r="J109" s="1013"/>
      <c r="K109" s="1013"/>
      <c r="L109" s="1013"/>
      <c r="M109" s="1013"/>
      <c r="N109" s="31"/>
      <c r="O109" s="31"/>
      <c r="P109" s="87"/>
      <c r="Q109" s="31"/>
      <c r="R109" s="23"/>
      <c r="S109" s="23"/>
      <c r="T109" s="22"/>
      <c r="U109" s="22"/>
      <c r="V109" s="22"/>
      <c r="W109" s="22"/>
      <c r="X109" s="22"/>
      <c r="Y109" s="22"/>
      <c r="Z109" s="22"/>
      <c r="AA109" s="22"/>
    </row>
    <row r="110" spans="1:27">
      <c r="A110" s="23"/>
      <c r="B110" s="23"/>
      <c r="C110" s="33"/>
      <c r="D110" s="1013"/>
      <c r="E110" s="1013"/>
      <c r="F110" s="1013"/>
      <c r="G110" s="1013"/>
      <c r="H110" s="1013"/>
      <c r="I110" s="1013"/>
      <c r="J110" s="1013"/>
      <c r="K110" s="1013"/>
      <c r="L110" s="1013"/>
      <c r="M110" s="1013"/>
      <c r="N110" s="31"/>
      <c r="O110" s="31"/>
      <c r="P110" s="87"/>
      <c r="Q110" s="31"/>
      <c r="R110" s="23"/>
      <c r="S110" s="23"/>
      <c r="T110" s="22"/>
      <c r="U110" s="22"/>
      <c r="V110" s="22"/>
      <c r="W110" s="22"/>
      <c r="X110" s="22"/>
      <c r="Y110" s="22"/>
      <c r="Z110" s="22"/>
      <c r="AA110" s="22"/>
    </row>
    <row r="111" spans="1:27">
      <c r="A111" s="23"/>
      <c r="B111" s="23"/>
      <c r="C111" s="33"/>
      <c r="D111" s="1013"/>
      <c r="E111" s="1013"/>
      <c r="F111" s="1013"/>
      <c r="G111" s="1013"/>
      <c r="H111" s="1013"/>
      <c r="I111" s="1013"/>
      <c r="J111" s="1013"/>
      <c r="K111" s="1013"/>
      <c r="L111" s="1013"/>
      <c r="M111" s="1013"/>
      <c r="N111" s="31"/>
      <c r="O111" s="31"/>
      <c r="P111" s="87"/>
      <c r="Q111" s="31"/>
      <c r="R111" s="23"/>
      <c r="S111" s="23"/>
      <c r="T111" s="22"/>
      <c r="U111" s="22"/>
      <c r="V111" s="22"/>
      <c r="W111" s="22"/>
      <c r="X111" s="22"/>
      <c r="Y111" s="22"/>
      <c r="Z111" s="22"/>
      <c r="AA111" s="22"/>
    </row>
    <row r="112" spans="1:27">
      <c r="A112" s="23"/>
      <c r="B112" s="23"/>
      <c r="C112" s="33"/>
      <c r="D112" s="1013"/>
      <c r="E112" s="1013"/>
      <c r="F112" s="1013"/>
      <c r="G112" s="1013"/>
      <c r="H112" s="1013"/>
      <c r="I112" s="1013"/>
      <c r="J112" s="1013"/>
      <c r="K112" s="1013"/>
      <c r="L112" s="1013"/>
      <c r="M112" s="1013"/>
      <c r="N112" s="31"/>
      <c r="O112" s="31"/>
      <c r="P112" s="87"/>
      <c r="Q112" s="31"/>
      <c r="R112" s="23"/>
      <c r="S112" s="23"/>
      <c r="T112" s="22"/>
      <c r="U112" s="22"/>
      <c r="V112" s="22"/>
      <c r="W112" s="22"/>
      <c r="X112" s="22"/>
      <c r="Y112" s="22"/>
      <c r="Z112" s="22"/>
      <c r="AA112" s="22"/>
    </row>
    <row r="113" spans="1:27">
      <c r="A113" s="23"/>
      <c r="B113" s="23"/>
      <c r="C113" s="33"/>
      <c r="D113" s="1013"/>
      <c r="E113" s="1013"/>
      <c r="F113" s="1013"/>
      <c r="G113" s="1013"/>
      <c r="H113" s="1013"/>
      <c r="I113" s="1013"/>
      <c r="J113" s="1013"/>
      <c r="K113" s="1013"/>
      <c r="L113" s="1013"/>
      <c r="M113" s="1013"/>
      <c r="N113" s="31"/>
      <c r="O113" s="31"/>
      <c r="P113" s="87"/>
      <c r="Q113" s="31"/>
      <c r="R113" s="23"/>
      <c r="S113" s="23"/>
      <c r="T113" s="22"/>
      <c r="U113" s="22"/>
      <c r="V113" s="22"/>
      <c r="W113" s="22"/>
      <c r="X113" s="22"/>
      <c r="Y113" s="22"/>
      <c r="Z113" s="22"/>
      <c r="AA113" s="22"/>
    </row>
    <row r="114" spans="1:27">
      <c r="A114" s="23"/>
      <c r="B114" s="23"/>
      <c r="C114" s="33"/>
      <c r="D114" s="1013"/>
      <c r="E114" s="1013"/>
      <c r="F114" s="1013"/>
      <c r="G114" s="1013"/>
      <c r="H114" s="1013"/>
      <c r="I114" s="1013"/>
      <c r="J114" s="1013"/>
      <c r="K114" s="1013"/>
      <c r="L114" s="1013"/>
      <c r="M114" s="1013"/>
      <c r="N114" s="31"/>
      <c r="O114" s="31"/>
      <c r="P114" s="87"/>
      <c r="Q114" s="31"/>
      <c r="R114" s="23"/>
      <c r="S114" s="23"/>
      <c r="T114" s="22"/>
      <c r="U114" s="22"/>
      <c r="V114" s="22"/>
      <c r="W114" s="22"/>
      <c r="X114" s="22"/>
      <c r="Y114" s="22"/>
      <c r="Z114" s="22"/>
      <c r="AA114" s="22"/>
    </row>
    <row r="115" spans="1:27">
      <c r="A115" s="23"/>
      <c r="B115" s="23"/>
      <c r="C115" s="33"/>
      <c r="D115" s="1013"/>
      <c r="E115" s="1013"/>
      <c r="F115" s="1013"/>
      <c r="G115" s="1013"/>
      <c r="H115" s="1013"/>
      <c r="I115" s="1013"/>
      <c r="J115" s="1013"/>
      <c r="K115" s="1013"/>
      <c r="L115" s="1013"/>
      <c r="M115" s="1013"/>
      <c r="N115" s="31"/>
      <c r="O115" s="31"/>
      <c r="P115" s="87"/>
      <c r="Q115" s="31"/>
      <c r="R115" s="23"/>
      <c r="S115" s="23"/>
      <c r="T115" s="22"/>
      <c r="U115" s="22"/>
      <c r="V115" s="22"/>
      <c r="W115" s="22"/>
      <c r="X115" s="22"/>
      <c r="Y115" s="22"/>
      <c r="Z115" s="22"/>
      <c r="AA115" s="22"/>
    </row>
    <row r="116" spans="1:27">
      <c r="A116" s="23"/>
      <c r="B116" s="23"/>
      <c r="C116" s="33"/>
      <c r="D116" s="1013"/>
      <c r="E116" s="1013"/>
      <c r="F116" s="1013"/>
      <c r="G116" s="1013"/>
      <c r="H116" s="1013"/>
      <c r="I116" s="1013"/>
      <c r="J116" s="1013"/>
      <c r="K116" s="1013"/>
      <c r="L116" s="1013"/>
      <c r="M116" s="1013"/>
      <c r="N116" s="31"/>
      <c r="O116" s="31"/>
      <c r="P116" s="87"/>
      <c r="Q116" s="31"/>
      <c r="R116" s="23"/>
      <c r="S116" s="23"/>
      <c r="T116" s="22"/>
      <c r="U116" s="22"/>
      <c r="V116" s="22"/>
      <c r="W116" s="22"/>
      <c r="X116" s="22"/>
      <c r="Y116" s="22"/>
      <c r="Z116" s="22"/>
      <c r="AA116" s="22"/>
    </row>
    <row r="117" spans="1:27">
      <c r="A117" s="23"/>
      <c r="B117" s="23"/>
      <c r="C117" s="33"/>
      <c r="D117" s="1013"/>
      <c r="E117" s="1013"/>
      <c r="F117" s="1013"/>
      <c r="G117" s="1013"/>
      <c r="H117" s="1013"/>
      <c r="I117" s="1013"/>
      <c r="J117" s="1013"/>
      <c r="K117" s="1013"/>
      <c r="L117" s="1013"/>
      <c r="M117" s="1013"/>
      <c r="N117" s="31"/>
      <c r="O117" s="31"/>
      <c r="P117" s="87"/>
      <c r="Q117" s="31"/>
      <c r="R117" s="23"/>
      <c r="S117" s="23"/>
      <c r="T117" s="22"/>
      <c r="U117" s="22"/>
      <c r="V117" s="22"/>
      <c r="W117" s="22"/>
      <c r="X117" s="22"/>
      <c r="Y117" s="22"/>
      <c r="Z117" s="22"/>
      <c r="AA117" s="22"/>
    </row>
    <row r="118" spans="1:27">
      <c r="A118" s="23"/>
      <c r="B118" s="23"/>
      <c r="C118" s="33"/>
      <c r="D118" s="1013"/>
      <c r="E118" s="1013"/>
      <c r="F118" s="1013"/>
      <c r="G118" s="1013"/>
      <c r="H118" s="1013"/>
      <c r="I118" s="1013"/>
      <c r="J118" s="1013"/>
      <c r="K118" s="1013"/>
      <c r="L118" s="1013"/>
      <c r="M118" s="1013"/>
      <c r="N118" s="1013"/>
      <c r="O118" s="1013"/>
      <c r="P118" s="31"/>
      <c r="Q118" s="31"/>
      <c r="R118" s="87"/>
      <c r="S118" s="31"/>
      <c r="T118" s="23"/>
      <c r="U118" s="22"/>
      <c r="V118" s="22"/>
      <c r="W118" s="22"/>
      <c r="X118" s="22"/>
      <c r="Y118" s="22"/>
      <c r="Z118" s="22"/>
      <c r="AA118" s="22"/>
    </row>
    <row r="119" spans="1:27">
      <c r="A119" s="23"/>
      <c r="B119" s="23"/>
      <c r="C119" s="33"/>
      <c r="D119" s="1013"/>
      <c r="E119" s="1013"/>
      <c r="F119" s="1013"/>
      <c r="G119" s="1013"/>
      <c r="H119" s="1013"/>
      <c r="I119" s="1013"/>
      <c r="J119" s="1013"/>
      <c r="K119" s="1013"/>
      <c r="L119" s="1013"/>
      <c r="M119" s="1013"/>
      <c r="N119" s="1013"/>
      <c r="O119" s="1013"/>
      <c r="P119" s="31"/>
      <c r="Q119" s="31"/>
      <c r="R119" s="87"/>
      <c r="S119" s="31"/>
      <c r="T119" s="23"/>
      <c r="U119" s="22"/>
      <c r="V119" s="22"/>
      <c r="W119" s="22"/>
      <c r="X119" s="22"/>
      <c r="Y119" s="22"/>
      <c r="Z119" s="22"/>
      <c r="AA119" s="22"/>
    </row>
    <row r="120" spans="1:27">
      <c r="A120" s="23"/>
      <c r="B120" s="23"/>
      <c r="C120" s="33"/>
      <c r="D120" s="1013"/>
      <c r="E120" s="1013"/>
      <c r="F120" s="1013"/>
      <c r="G120" s="1013"/>
      <c r="H120" s="1013"/>
      <c r="I120" s="1013"/>
      <c r="J120" s="1013"/>
      <c r="K120" s="1013"/>
      <c r="L120" s="1013"/>
      <c r="M120" s="1013"/>
      <c r="N120" s="31"/>
      <c r="O120" s="31"/>
      <c r="P120" s="87"/>
      <c r="Q120" s="31"/>
      <c r="R120" s="23"/>
      <c r="S120" s="23"/>
      <c r="T120" s="22"/>
      <c r="U120" s="22"/>
      <c r="V120" s="22"/>
      <c r="W120" s="22"/>
      <c r="X120" s="22"/>
      <c r="Y120" s="22"/>
      <c r="Z120" s="22"/>
      <c r="AA120" s="22"/>
    </row>
    <row r="121" spans="1:27">
      <c r="A121" s="23"/>
      <c r="B121" s="23"/>
      <c r="C121" s="33"/>
      <c r="D121" s="1013"/>
      <c r="E121" s="1013"/>
      <c r="F121" s="1013"/>
      <c r="G121" s="1013"/>
      <c r="H121" s="1013"/>
      <c r="I121" s="1013"/>
      <c r="J121" s="1013"/>
      <c r="K121" s="1013"/>
      <c r="L121" s="1013"/>
      <c r="M121" s="1013"/>
      <c r="N121" s="31"/>
      <c r="O121" s="31"/>
      <c r="P121" s="87"/>
      <c r="Q121" s="31"/>
      <c r="R121" s="23"/>
      <c r="S121" s="23"/>
      <c r="T121" s="22"/>
      <c r="U121" s="22"/>
      <c r="V121" s="22"/>
      <c r="W121" s="22"/>
      <c r="X121" s="22"/>
      <c r="Y121" s="22"/>
      <c r="Z121" s="22"/>
      <c r="AA121" s="22"/>
    </row>
    <row r="122" spans="1:27">
      <c r="A122" s="23"/>
      <c r="B122" s="23"/>
      <c r="C122" s="33"/>
      <c r="D122" s="1013"/>
      <c r="E122" s="1013"/>
      <c r="F122" s="1013"/>
      <c r="G122" s="1013"/>
      <c r="H122" s="1013"/>
      <c r="I122" s="1013"/>
      <c r="J122" s="1013"/>
      <c r="K122" s="1013"/>
      <c r="L122" s="1013"/>
      <c r="M122" s="1013"/>
      <c r="N122" s="31"/>
      <c r="O122" s="31"/>
      <c r="P122" s="87"/>
      <c r="Q122" s="31"/>
      <c r="R122" s="23"/>
      <c r="S122" s="23"/>
      <c r="T122" s="22"/>
      <c r="U122" s="22"/>
      <c r="V122" s="22"/>
      <c r="W122" s="22"/>
      <c r="X122" s="22"/>
      <c r="Y122" s="22"/>
      <c r="Z122" s="22"/>
      <c r="AA122" s="22"/>
    </row>
    <row r="123" spans="1:27" ht="16.5" thickBot="1">
      <c r="A123" s="23"/>
      <c r="B123" s="23"/>
      <c r="C123" s="33"/>
      <c r="D123" s="1013"/>
      <c r="E123" s="1013"/>
      <c r="F123" s="1013"/>
      <c r="G123" s="1013"/>
      <c r="H123" s="1013"/>
      <c r="I123" s="1013"/>
      <c r="J123" s="1013"/>
      <c r="K123" s="1013"/>
      <c r="L123" s="1013"/>
      <c r="M123" s="1013"/>
      <c r="N123" s="31"/>
      <c r="O123" s="31"/>
      <c r="P123" s="87"/>
      <c r="Q123" s="31"/>
      <c r="R123" s="23"/>
      <c r="S123" s="23"/>
      <c r="T123" s="22"/>
      <c r="U123" s="22"/>
      <c r="V123" s="22"/>
      <c r="W123" s="22"/>
      <c r="X123" s="22"/>
      <c r="Y123" s="22"/>
      <c r="Z123" s="22"/>
      <c r="AA123" s="22"/>
    </row>
    <row r="124" spans="1:27">
      <c r="A124" s="23"/>
      <c r="B124" s="23"/>
      <c r="C124" s="1490" t="s">
        <v>60</v>
      </c>
      <c r="D124" s="1491"/>
      <c r="E124" s="1491"/>
      <c r="F124" s="1491"/>
      <c r="G124" s="1491"/>
      <c r="H124" s="1491"/>
      <c r="I124" s="1491"/>
      <c r="J124" s="1491"/>
      <c r="K124" s="1491"/>
      <c r="L124" s="1491"/>
      <c r="M124" s="1491"/>
      <c r="N124" s="1491"/>
      <c r="O124" s="1491"/>
      <c r="P124" s="1491"/>
      <c r="Q124" s="1491"/>
      <c r="R124" s="1492"/>
      <c r="S124" s="23"/>
      <c r="T124" s="22"/>
      <c r="U124" s="22"/>
      <c r="V124" s="22"/>
      <c r="W124" s="22"/>
      <c r="X124" s="22"/>
      <c r="Y124" s="22"/>
      <c r="Z124" s="22"/>
      <c r="AA124" s="22"/>
    </row>
    <row r="125" spans="1:27" ht="16.5" thickBot="1">
      <c r="A125" s="23"/>
      <c r="B125" s="23"/>
      <c r="C125" s="1493"/>
      <c r="D125" s="1494"/>
      <c r="E125" s="1494"/>
      <c r="F125" s="1494"/>
      <c r="G125" s="1494"/>
      <c r="H125" s="1494"/>
      <c r="I125" s="1494"/>
      <c r="J125" s="1494"/>
      <c r="K125" s="1494"/>
      <c r="L125" s="1494"/>
      <c r="M125" s="1494"/>
      <c r="N125" s="1494"/>
      <c r="O125" s="1494"/>
      <c r="P125" s="1494"/>
      <c r="Q125" s="1494"/>
      <c r="R125" s="1495"/>
      <c r="S125" s="23"/>
      <c r="T125" s="22"/>
      <c r="U125" s="22"/>
      <c r="V125" s="22"/>
      <c r="W125" s="22"/>
      <c r="X125" s="22"/>
      <c r="Y125" s="22"/>
      <c r="Z125" s="22"/>
      <c r="AA125" s="22"/>
    </row>
    <row r="126" spans="1:27">
      <c r="A126" s="23"/>
      <c r="B126" s="23"/>
      <c r="C126" s="251"/>
      <c r="D126" s="248" t="s">
        <v>38</v>
      </c>
      <c r="E126" s="249"/>
      <c r="F126" s="252"/>
      <c r="G126" s="248" t="s">
        <v>40</v>
      </c>
      <c r="H126" s="249"/>
      <c r="I126" s="252"/>
      <c r="J126" s="248" t="s">
        <v>41</v>
      </c>
      <c r="K126" s="249"/>
      <c r="L126" s="252"/>
      <c r="M126" s="273" t="s">
        <v>42</v>
      </c>
      <c r="N126" s="274"/>
      <c r="O126" s="18"/>
      <c r="P126" s="248" t="s">
        <v>46</v>
      </c>
      <c r="Q126" s="249"/>
      <c r="R126" s="250"/>
      <c r="S126" s="23"/>
      <c r="T126" s="22"/>
      <c r="U126" s="22"/>
      <c r="V126" s="22"/>
      <c r="W126" s="22"/>
      <c r="X126" s="22"/>
      <c r="Y126" s="22"/>
      <c r="Z126" s="22"/>
      <c r="AA126" s="22"/>
    </row>
    <row r="127" spans="1:27">
      <c r="A127" s="23"/>
      <c r="B127" s="23"/>
      <c r="C127" s="253" t="s">
        <v>47</v>
      </c>
      <c r="D127" s="1044">
        <f>SUM(Janv!L170+Fev!L161+Mars!L165)</f>
        <v>7</v>
      </c>
      <c r="E127" s="1045">
        <f>SUM(Janv!M170+Fev!M161+Mars!M165)</f>
        <v>0</v>
      </c>
      <c r="F127" s="1046">
        <f>SUM(D127:E127)</f>
        <v>7</v>
      </c>
      <c r="G127" s="1047">
        <f>SUM(Avr!L162+Mai!L172+Juin!L180)</f>
        <v>0</v>
      </c>
      <c r="H127" s="1048">
        <f>SUM(Avr!M162+Mai!M172+Juin!M180)</f>
        <v>0</v>
      </c>
      <c r="I127" s="1046">
        <f t="shared" ref="I127:I134" si="10">SUM(G127:H127)</f>
        <v>0</v>
      </c>
      <c r="J127" s="1047">
        <f>Juill!L193+Aout!L166+Sept!L174</f>
        <v>0</v>
      </c>
      <c r="K127" s="1048">
        <f>Juill!M193+Aout!M166+Sept!M174</f>
        <v>0</v>
      </c>
      <c r="L127" s="1046">
        <f>SUM(J127:K127)</f>
        <v>0</v>
      </c>
      <c r="M127" s="1044">
        <f>Oct!L254+Nov!L182+Dec!L206</f>
        <v>9</v>
      </c>
      <c r="N127" s="1045">
        <f>Oct!M254+Nov!M182+Dec!M206</f>
        <v>0</v>
      </c>
      <c r="O127" s="1046">
        <f t="shared" ref="O127:O134" si="11">SUM(M127:N127)</f>
        <v>9</v>
      </c>
      <c r="P127" s="1044">
        <f t="shared" ref="P127:Q134" si="12">SUM(D127,G127,J127,M127)</f>
        <v>16</v>
      </c>
      <c r="Q127" s="1045">
        <f t="shared" si="12"/>
        <v>0</v>
      </c>
      <c r="R127" s="1050">
        <f>SUM(P127:Q127)</f>
        <v>16</v>
      </c>
      <c r="S127" s="23"/>
      <c r="T127" s="22"/>
      <c r="U127" s="22"/>
      <c r="V127" s="22"/>
      <c r="W127" s="22"/>
      <c r="X127" s="22"/>
      <c r="Y127" s="22"/>
      <c r="Z127" s="22"/>
      <c r="AA127" s="22"/>
    </row>
    <row r="128" spans="1:27">
      <c r="A128" s="23"/>
      <c r="B128" s="23"/>
      <c r="C128" s="253" t="s">
        <v>48</v>
      </c>
      <c r="D128" s="1044">
        <f>SUM(Janv!L171+Fev!L162+Mars!L166)</f>
        <v>0</v>
      </c>
      <c r="E128" s="1045">
        <f>SUM(Janv!M171+Fev!M162+Mars!M166)</f>
        <v>0</v>
      </c>
      <c r="F128" s="1046">
        <f t="shared" ref="F128:F134" si="13">SUM(D128:E128)</f>
        <v>0</v>
      </c>
      <c r="G128" s="1047">
        <f>SUM(Avr!L163+Mai!L173+Juin!L181)</f>
        <v>0</v>
      </c>
      <c r="H128" s="1048">
        <f>SUM(Avr!M163+Mai!M173+Juin!M181)</f>
        <v>1</v>
      </c>
      <c r="I128" s="1046">
        <f t="shared" si="10"/>
        <v>1</v>
      </c>
      <c r="J128" s="1047">
        <f>Juill!L194+Aout!L167+Sept!L175</f>
        <v>0</v>
      </c>
      <c r="K128" s="1048">
        <f>Juill!M194+Aout!M167+Sept!M175</f>
        <v>0</v>
      </c>
      <c r="L128" s="1046">
        <f t="shared" ref="L128:L134" si="14">SUM(J128:K128)</f>
        <v>0</v>
      </c>
      <c r="M128" s="1044">
        <f>Oct!L255+Nov!L183+Dec!L207</f>
        <v>0</v>
      </c>
      <c r="N128" s="1045">
        <f>Oct!M255+Nov!M183+Dec!M207</f>
        <v>0</v>
      </c>
      <c r="O128" s="1046">
        <f t="shared" si="11"/>
        <v>0</v>
      </c>
      <c r="P128" s="1044">
        <f t="shared" si="12"/>
        <v>0</v>
      </c>
      <c r="Q128" s="1045">
        <f t="shared" si="12"/>
        <v>1</v>
      </c>
      <c r="R128" s="1050">
        <f t="shared" ref="R128:R135" si="15">SUM(P128:Q128)</f>
        <v>1</v>
      </c>
      <c r="S128" s="23"/>
      <c r="T128" s="22"/>
      <c r="U128" s="22"/>
      <c r="V128" s="22"/>
      <c r="W128" s="22"/>
      <c r="X128" s="22"/>
      <c r="Y128" s="22"/>
      <c r="Z128" s="22"/>
      <c r="AA128" s="22"/>
    </row>
    <row r="129" spans="1:27">
      <c r="A129" s="23"/>
      <c r="B129" s="23"/>
      <c r="C129" s="253" t="s">
        <v>49</v>
      </c>
      <c r="D129" s="1044">
        <f>SUM(Janv!L172+Fev!L163+Mars!L167)</f>
        <v>2</v>
      </c>
      <c r="E129" s="1045">
        <f>SUM(Janv!M172+Fev!M163+Mars!M167)</f>
        <v>0</v>
      </c>
      <c r="F129" s="1046">
        <f t="shared" si="13"/>
        <v>2</v>
      </c>
      <c r="G129" s="1047">
        <f>SUM(Avr!L164+Mai!L174+Juin!L182)</f>
        <v>0</v>
      </c>
      <c r="H129" s="1048">
        <f>SUM(Avr!M164+Mai!M174+Juin!M182)</f>
        <v>0</v>
      </c>
      <c r="I129" s="1046">
        <f t="shared" si="10"/>
        <v>0</v>
      </c>
      <c r="J129" s="1047">
        <f>Juill!L195+Aout!L168+Sept!L176</f>
        <v>5</v>
      </c>
      <c r="K129" s="1048">
        <f>Juill!M195+Aout!M168+Sept!M176</f>
        <v>0</v>
      </c>
      <c r="L129" s="1046">
        <f t="shared" si="14"/>
        <v>5</v>
      </c>
      <c r="M129" s="1044">
        <f>Oct!L256+Nov!L184+Dec!L208</f>
        <v>23</v>
      </c>
      <c r="N129" s="1045">
        <f>Oct!M256+Nov!M184+Dec!M208</f>
        <v>0</v>
      </c>
      <c r="O129" s="1046">
        <f t="shared" si="11"/>
        <v>23</v>
      </c>
      <c r="P129" s="1044">
        <f t="shared" si="12"/>
        <v>30</v>
      </c>
      <c r="Q129" s="1045">
        <f t="shared" si="12"/>
        <v>0</v>
      </c>
      <c r="R129" s="1050">
        <f t="shared" si="15"/>
        <v>30</v>
      </c>
      <c r="S129" s="23"/>
      <c r="T129" s="22"/>
      <c r="U129" s="22"/>
      <c r="V129" s="22"/>
      <c r="W129" s="22"/>
      <c r="X129" s="22"/>
      <c r="Y129" s="22"/>
      <c r="Z129" s="22"/>
      <c r="AA129" s="22"/>
    </row>
    <row r="130" spans="1:27">
      <c r="A130" s="23"/>
      <c r="B130" s="23"/>
      <c r="C130" s="253" t="s">
        <v>50</v>
      </c>
      <c r="D130" s="1044">
        <f>SUM(Janv!L173+Fev!L164+Mars!L168)</f>
        <v>2</v>
      </c>
      <c r="E130" s="1045">
        <f>SUM(Janv!M173+Fev!M164+Mars!M168)</f>
        <v>1</v>
      </c>
      <c r="F130" s="1046">
        <f t="shared" si="13"/>
        <v>3</v>
      </c>
      <c r="G130" s="1047">
        <f>SUM(Avr!L165+Mai!L175+Juin!L183)</f>
        <v>18</v>
      </c>
      <c r="H130" s="1048">
        <f>SUM(Avr!M165+Mai!M175+Juin!M183)</f>
        <v>0</v>
      </c>
      <c r="I130" s="1046">
        <f t="shared" si="10"/>
        <v>18</v>
      </c>
      <c r="J130" s="1047">
        <f>Juill!L196+Aout!L169+Sept!L177</f>
        <v>4</v>
      </c>
      <c r="K130" s="1048">
        <f>Juill!M196+Aout!M169+Sept!M177</f>
        <v>0</v>
      </c>
      <c r="L130" s="1046">
        <f t="shared" si="14"/>
        <v>4</v>
      </c>
      <c r="M130" s="1044">
        <f>Oct!L257+Nov!L185+Dec!L209</f>
        <v>6</v>
      </c>
      <c r="N130" s="1045">
        <f>Oct!M257+Nov!M185+Dec!M209</f>
        <v>0</v>
      </c>
      <c r="O130" s="1046">
        <f t="shared" si="11"/>
        <v>6</v>
      </c>
      <c r="P130" s="1044">
        <f t="shared" si="12"/>
        <v>30</v>
      </c>
      <c r="Q130" s="1045">
        <f t="shared" si="12"/>
        <v>1</v>
      </c>
      <c r="R130" s="1050">
        <f t="shared" si="15"/>
        <v>31</v>
      </c>
      <c r="S130" s="23"/>
      <c r="T130" s="22"/>
      <c r="U130" s="22"/>
      <c r="V130" s="22"/>
      <c r="W130" s="22"/>
      <c r="X130" s="22"/>
      <c r="Y130" s="22"/>
      <c r="Z130" s="22"/>
      <c r="AA130" s="22"/>
    </row>
    <row r="131" spans="1:27">
      <c r="A131" s="23"/>
      <c r="B131" s="23"/>
      <c r="C131" s="253" t="s">
        <v>51</v>
      </c>
      <c r="D131" s="1044">
        <f>SUM(Janv!L174+Fev!L165+Mars!L169)</f>
        <v>39</v>
      </c>
      <c r="E131" s="1045">
        <f>SUM(Janv!M174+Fev!M165+Mars!M169)</f>
        <v>1</v>
      </c>
      <c r="F131" s="1046">
        <f t="shared" si="13"/>
        <v>40</v>
      </c>
      <c r="G131" s="1047">
        <f>SUM(Avr!L166+Mai!L176+Juin!L184)</f>
        <v>8</v>
      </c>
      <c r="H131" s="1048">
        <f>SUM(Avr!M166+Mai!M176+Juin!M184)</f>
        <v>0</v>
      </c>
      <c r="I131" s="1046">
        <f t="shared" si="10"/>
        <v>8</v>
      </c>
      <c r="J131" s="1047">
        <f>Juill!L197+Aout!L170+Sept!L178</f>
        <v>24</v>
      </c>
      <c r="K131" s="1048">
        <f>Juill!M197+Aout!M170+Sept!M178</f>
        <v>1</v>
      </c>
      <c r="L131" s="1046">
        <f t="shared" si="14"/>
        <v>25</v>
      </c>
      <c r="M131" s="1044">
        <f>Oct!L258+Nov!L186+Dec!L210</f>
        <v>57</v>
      </c>
      <c r="N131" s="1045">
        <f>Oct!M258+Nov!M186+Dec!M210</f>
        <v>0</v>
      </c>
      <c r="O131" s="1046">
        <f t="shared" si="11"/>
        <v>57</v>
      </c>
      <c r="P131" s="1044">
        <f t="shared" si="12"/>
        <v>128</v>
      </c>
      <c r="Q131" s="1045">
        <f t="shared" si="12"/>
        <v>2</v>
      </c>
      <c r="R131" s="1050">
        <f t="shared" si="15"/>
        <v>130</v>
      </c>
      <c r="S131" s="23"/>
      <c r="T131" s="22"/>
      <c r="U131" s="22"/>
      <c r="V131" s="22"/>
      <c r="W131" s="22"/>
      <c r="X131" s="22"/>
      <c r="Y131" s="22"/>
      <c r="Z131" s="22"/>
      <c r="AA131" s="22"/>
    </row>
    <row r="132" spans="1:27">
      <c r="A132" s="23"/>
      <c r="B132" s="23"/>
      <c r="C132" s="253" t="s">
        <v>52</v>
      </c>
      <c r="D132" s="1044">
        <f>SUM(Janv!L175+Fev!L166+Mars!L170)</f>
        <v>1</v>
      </c>
      <c r="E132" s="1045">
        <f>SUM(Janv!M175+Fev!M166+Mars!M170)</f>
        <v>0</v>
      </c>
      <c r="F132" s="1046">
        <f t="shared" si="13"/>
        <v>1</v>
      </c>
      <c r="G132" s="1047">
        <f>SUM(Avr!L167+Mai!L177+Juin!L185)</f>
        <v>13</v>
      </c>
      <c r="H132" s="1048">
        <f>SUM(Avr!M167+Mai!M177+Juin!M185)</f>
        <v>0</v>
      </c>
      <c r="I132" s="1046">
        <f t="shared" si="10"/>
        <v>13</v>
      </c>
      <c r="J132" s="1047">
        <f>Juill!L198+Aout!L171+Sept!L179</f>
        <v>13</v>
      </c>
      <c r="K132" s="1048">
        <f>Juill!M198+Aout!M171+Sept!M179</f>
        <v>0</v>
      </c>
      <c r="L132" s="1046">
        <f t="shared" si="14"/>
        <v>13</v>
      </c>
      <c r="M132" s="1044">
        <f>Oct!L259+Nov!L187+Dec!L211</f>
        <v>16</v>
      </c>
      <c r="N132" s="1045">
        <f>Oct!M259+Nov!M187+Dec!M211</f>
        <v>2</v>
      </c>
      <c r="O132" s="1046">
        <f t="shared" si="11"/>
        <v>18</v>
      </c>
      <c r="P132" s="1044">
        <f t="shared" si="12"/>
        <v>43</v>
      </c>
      <c r="Q132" s="1045">
        <f t="shared" si="12"/>
        <v>2</v>
      </c>
      <c r="R132" s="1050">
        <f t="shared" si="15"/>
        <v>45</v>
      </c>
      <c r="S132" s="23"/>
      <c r="T132" s="22"/>
      <c r="U132" s="22"/>
      <c r="V132" s="22"/>
      <c r="W132" s="22"/>
      <c r="X132" s="22"/>
      <c r="Y132" s="22"/>
      <c r="Z132" s="22"/>
      <c r="AA132" s="22"/>
    </row>
    <row r="133" spans="1:27">
      <c r="A133" s="23"/>
      <c r="B133" s="23"/>
      <c r="C133" s="253" t="s">
        <v>53</v>
      </c>
      <c r="D133" s="1044">
        <f>SUM(Janv!L176+Fev!L167+Mars!L171)</f>
        <v>1</v>
      </c>
      <c r="E133" s="1045">
        <f>SUM(Janv!M176+Fev!M167+Mars!M171)</f>
        <v>0</v>
      </c>
      <c r="F133" s="1046">
        <f t="shared" si="13"/>
        <v>1</v>
      </c>
      <c r="G133" s="1047">
        <f>SUM(Avr!L168+Mai!L178+Juin!L186)</f>
        <v>3</v>
      </c>
      <c r="H133" s="1048">
        <f>SUM(Avr!M168+Mai!M178+Juin!M186)</f>
        <v>4</v>
      </c>
      <c r="I133" s="1046">
        <f t="shared" si="10"/>
        <v>7</v>
      </c>
      <c r="J133" s="1047">
        <f>Juill!L199+Aout!L172+Sept!L180</f>
        <v>7</v>
      </c>
      <c r="K133" s="1048">
        <f>Juill!M199+Aout!M172+Sept!M180</f>
        <v>0</v>
      </c>
      <c r="L133" s="1046">
        <f t="shared" si="14"/>
        <v>7</v>
      </c>
      <c r="M133" s="1044">
        <f>Oct!L260+Nov!L188+Dec!L212</f>
        <v>9</v>
      </c>
      <c r="N133" s="1045">
        <f>Oct!M260+Nov!M188+Dec!M212</f>
        <v>2</v>
      </c>
      <c r="O133" s="1046">
        <f t="shared" si="11"/>
        <v>11</v>
      </c>
      <c r="P133" s="1044">
        <f t="shared" si="12"/>
        <v>20</v>
      </c>
      <c r="Q133" s="1045">
        <f t="shared" si="12"/>
        <v>6</v>
      </c>
      <c r="R133" s="1050">
        <f t="shared" si="15"/>
        <v>26</v>
      </c>
      <c r="S133" s="23"/>
      <c r="T133" s="22"/>
      <c r="U133" s="22"/>
      <c r="V133" s="22"/>
      <c r="W133" s="22"/>
      <c r="X133" s="22"/>
      <c r="Y133" s="22"/>
      <c r="Z133" s="22"/>
      <c r="AA133" s="22"/>
    </row>
    <row r="134" spans="1:27" ht="16.5" thickBot="1">
      <c r="A134" s="23"/>
      <c r="B134" s="23"/>
      <c r="C134" s="247" t="s">
        <v>54</v>
      </c>
      <c r="D134" s="1044">
        <f>SUM(Janv!L177+Fev!L168+Mars!L172)</f>
        <v>1</v>
      </c>
      <c r="E134" s="1045">
        <f>SUM(Janv!M177+Fev!M168+Mars!M172)</f>
        <v>0</v>
      </c>
      <c r="F134" s="1051">
        <f t="shared" si="13"/>
        <v>1</v>
      </c>
      <c r="G134" s="1047">
        <f>SUM(Avr!L169+Mai!L179+Juin!L187)</f>
        <v>0</v>
      </c>
      <c r="H134" s="1048">
        <f>SUM(Avr!M169+Mai!M179+Juin!M187)</f>
        <v>0</v>
      </c>
      <c r="I134" s="1046">
        <f t="shared" si="10"/>
        <v>0</v>
      </c>
      <c r="J134" s="1047">
        <f>Juill!L200+Aout!L173+Sept!L181</f>
        <v>0</v>
      </c>
      <c r="K134" s="1048">
        <f>Juill!M200+Aout!M173+Sept!M181</f>
        <v>0</v>
      </c>
      <c r="L134" s="1046">
        <f t="shared" si="14"/>
        <v>0</v>
      </c>
      <c r="M134" s="1044">
        <f>Oct!L261+Nov!L189+Dec!L213</f>
        <v>1</v>
      </c>
      <c r="N134" s="1045">
        <f>Oct!M261+Nov!M189+Dec!M213</f>
        <v>0</v>
      </c>
      <c r="O134" s="1046">
        <f t="shared" si="11"/>
        <v>1</v>
      </c>
      <c r="P134" s="1055">
        <f t="shared" si="12"/>
        <v>2</v>
      </c>
      <c r="Q134" s="1056">
        <f t="shared" si="12"/>
        <v>0</v>
      </c>
      <c r="R134" s="1054">
        <f t="shared" si="15"/>
        <v>2</v>
      </c>
      <c r="S134" s="23"/>
      <c r="T134" s="22"/>
      <c r="U134" s="22"/>
      <c r="V134" s="22"/>
      <c r="W134" s="22"/>
      <c r="X134" s="22"/>
      <c r="Y134" s="22"/>
      <c r="Z134" s="22"/>
      <c r="AA134" s="22"/>
    </row>
    <row r="135" spans="1:27">
      <c r="A135" s="23"/>
      <c r="B135" s="23"/>
      <c r="C135" s="1022"/>
      <c r="D135" s="255">
        <f>SUM(D127:D134)</f>
        <v>53</v>
      </c>
      <c r="E135" s="255">
        <f>SUM(E127:E134)</f>
        <v>2</v>
      </c>
      <c r="F135" s="1023"/>
      <c r="G135" s="255">
        <f>SUM(G127:G134)</f>
        <v>42</v>
      </c>
      <c r="H135" s="255">
        <f>SUM(H127:H134)</f>
        <v>5</v>
      </c>
      <c r="I135" s="1023"/>
      <c r="J135" s="255">
        <f>SUM(J127:J134)</f>
        <v>53</v>
      </c>
      <c r="K135" s="255">
        <f>SUM(K127:K134)</f>
        <v>1</v>
      </c>
      <c r="L135" s="1023"/>
      <c r="M135" s="255">
        <f>SUM(M127:M134)</f>
        <v>121</v>
      </c>
      <c r="N135" s="255">
        <f>SUM(N127:N134)</f>
        <v>4</v>
      </c>
      <c r="O135" s="254"/>
      <c r="P135" s="255">
        <f>SUM(P127:P134)</f>
        <v>269</v>
      </c>
      <c r="Q135" s="255">
        <f>SUM(Q127:Q134)</f>
        <v>12</v>
      </c>
      <c r="R135" s="262">
        <f t="shared" si="15"/>
        <v>281</v>
      </c>
      <c r="S135" s="23"/>
      <c r="T135" s="22"/>
      <c r="U135" s="22"/>
      <c r="V135" s="22"/>
      <c r="W135" s="22"/>
      <c r="X135" s="22"/>
      <c r="Y135" s="22"/>
      <c r="Z135" s="22"/>
      <c r="AA135" s="22"/>
    </row>
    <row r="136" spans="1:27" ht="16.5" thickBot="1">
      <c r="A136" s="23"/>
      <c r="B136" s="23"/>
      <c r="C136" s="256"/>
      <c r="D136" s="257"/>
      <c r="E136" s="258"/>
      <c r="F136" s="257"/>
      <c r="G136" s="257"/>
      <c r="H136" s="258"/>
      <c r="I136" s="258"/>
      <c r="J136" s="258"/>
      <c r="K136" s="259"/>
      <c r="L136" s="258"/>
      <c r="M136" s="258"/>
      <c r="N136" s="257"/>
      <c r="O136" s="257"/>
      <c r="P136" s="260"/>
      <c r="Q136" s="257"/>
      <c r="R136" s="261"/>
      <c r="S136" s="23"/>
      <c r="T136" s="22"/>
      <c r="U136" s="22"/>
      <c r="V136" s="22"/>
      <c r="W136" s="22"/>
      <c r="X136" s="22"/>
      <c r="Y136" s="22"/>
      <c r="Z136" s="22"/>
      <c r="AA136" s="22"/>
    </row>
    <row r="137" spans="1:27">
      <c r="A137" s="23"/>
      <c r="B137" s="23"/>
      <c r="C137" s="33"/>
      <c r="D137" s="1013"/>
      <c r="E137" s="1013"/>
      <c r="F137" s="1013"/>
      <c r="G137" s="1013"/>
      <c r="H137" s="1013"/>
      <c r="I137" s="1013"/>
      <c r="J137" s="1013"/>
      <c r="K137" s="1013"/>
      <c r="L137" s="1013"/>
      <c r="M137" s="1013"/>
      <c r="N137" s="31"/>
      <c r="O137" s="31"/>
      <c r="P137" s="87"/>
      <c r="Q137" s="31"/>
      <c r="R137" s="23"/>
      <c r="S137" s="23"/>
      <c r="T137" s="22"/>
      <c r="U137" s="22"/>
      <c r="V137" s="22"/>
      <c r="W137" s="22"/>
      <c r="X137" s="22"/>
      <c r="Y137" s="22"/>
      <c r="Z137" s="22"/>
      <c r="AA137" s="22"/>
    </row>
    <row r="138" spans="1:27">
      <c r="A138" s="23"/>
      <c r="B138" s="23"/>
      <c r="C138" s="33"/>
      <c r="D138" s="1013"/>
      <c r="E138" s="1013"/>
      <c r="F138" s="1013"/>
      <c r="G138" s="1013"/>
      <c r="H138" s="1013"/>
      <c r="I138" s="1013"/>
      <c r="J138" s="1013"/>
      <c r="K138" s="1013"/>
      <c r="L138" s="1013"/>
      <c r="M138" s="1013"/>
      <c r="N138" s="31"/>
      <c r="O138" s="31"/>
      <c r="P138" s="87"/>
      <c r="Q138" s="31"/>
      <c r="R138" s="23"/>
      <c r="S138" s="23"/>
      <c r="T138" s="22"/>
      <c r="U138" s="22"/>
      <c r="V138" s="22"/>
      <c r="W138" s="22"/>
      <c r="X138" s="22"/>
      <c r="Y138" s="22"/>
      <c r="Z138" s="22"/>
      <c r="AA138" s="22"/>
    </row>
    <row r="139" spans="1:27">
      <c r="A139" s="23"/>
      <c r="B139" s="23"/>
      <c r="C139" s="33"/>
      <c r="D139" s="1013"/>
      <c r="E139" s="1013"/>
      <c r="F139" s="1013"/>
      <c r="G139" s="1013"/>
      <c r="H139" s="1013"/>
      <c r="I139" s="1013"/>
      <c r="J139" s="1013"/>
      <c r="K139" s="1013"/>
      <c r="L139" s="1013"/>
      <c r="M139" s="1013"/>
      <c r="N139" s="31"/>
      <c r="O139" s="31"/>
      <c r="P139" s="87"/>
      <c r="Q139" s="31"/>
      <c r="R139" s="23"/>
      <c r="S139" s="23"/>
      <c r="T139" s="22"/>
      <c r="U139" s="22"/>
      <c r="V139" s="22"/>
      <c r="W139" s="22"/>
      <c r="X139" s="22"/>
      <c r="Y139" s="22"/>
      <c r="Z139" s="22"/>
      <c r="AA139" s="22"/>
    </row>
    <row r="140" spans="1:27">
      <c r="A140" s="23"/>
      <c r="B140" s="23"/>
      <c r="C140" s="33"/>
      <c r="D140" s="1013"/>
      <c r="E140" s="1013"/>
      <c r="F140" s="1013"/>
      <c r="G140" s="1013"/>
      <c r="H140" s="1013"/>
      <c r="I140" s="1013"/>
      <c r="J140" s="1013"/>
      <c r="K140" s="1013"/>
      <c r="L140" s="1013"/>
      <c r="M140" s="1013"/>
      <c r="N140" s="31"/>
      <c r="O140" s="31"/>
      <c r="P140" s="87"/>
      <c r="Q140" s="31"/>
      <c r="R140" s="23"/>
      <c r="S140" s="23"/>
      <c r="T140" s="22"/>
      <c r="U140" s="22"/>
      <c r="V140" s="22"/>
      <c r="W140" s="22"/>
      <c r="X140" s="22"/>
      <c r="Y140" s="22"/>
      <c r="Z140" s="22"/>
      <c r="AA140" s="22"/>
    </row>
    <row r="141" spans="1:27">
      <c r="A141" s="23"/>
      <c r="B141" s="23"/>
      <c r="C141" s="33"/>
      <c r="D141" s="1013"/>
      <c r="E141" s="1013"/>
      <c r="F141" s="1013"/>
      <c r="G141" s="1013"/>
      <c r="H141" s="1013"/>
      <c r="I141" s="1013"/>
      <c r="J141" s="1013"/>
      <c r="K141" s="1013"/>
      <c r="L141" s="1013"/>
      <c r="M141" s="1013"/>
      <c r="N141" s="1013"/>
      <c r="O141" s="1013"/>
      <c r="P141" s="31"/>
      <c r="Q141" s="31"/>
      <c r="R141" s="87"/>
      <c r="S141" s="31"/>
      <c r="T141" s="23"/>
      <c r="U141" s="22"/>
      <c r="V141" s="22"/>
      <c r="W141" s="22"/>
      <c r="X141" s="22"/>
      <c r="Y141" s="22"/>
      <c r="Z141" s="22"/>
      <c r="AA141" s="22"/>
    </row>
    <row r="142" spans="1:27">
      <c r="A142" s="23"/>
      <c r="B142" s="23"/>
      <c r="C142" s="33"/>
      <c r="D142" s="1013"/>
      <c r="E142" s="1013"/>
      <c r="F142" s="1013"/>
      <c r="G142" s="1013"/>
      <c r="H142" s="1013"/>
      <c r="I142" s="1013"/>
      <c r="J142" s="1013"/>
      <c r="K142" s="1013"/>
      <c r="L142" s="1013"/>
      <c r="M142" s="1013"/>
      <c r="N142" s="1013"/>
      <c r="O142" s="1013"/>
      <c r="P142" s="31"/>
      <c r="Q142" s="31"/>
      <c r="R142" s="87"/>
      <c r="S142" s="31"/>
      <c r="T142" s="23"/>
      <c r="U142" s="22"/>
      <c r="V142" s="22"/>
      <c r="W142" s="22"/>
      <c r="X142" s="22"/>
      <c r="Y142" s="22"/>
      <c r="Z142" s="22"/>
      <c r="AA142" s="22"/>
    </row>
    <row r="143" spans="1:27">
      <c r="A143" s="23"/>
      <c r="B143" s="23"/>
      <c r="C143" s="33"/>
      <c r="D143" s="1013"/>
      <c r="E143" s="1013"/>
      <c r="F143" s="1013"/>
      <c r="G143" s="1013"/>
      <c r="H143" s="1013"/>
      <c r="I143" s="1013"/>
      <c r="J143" s="1013"/>
      <c r="K143" s="1013"/>
      <c r="L143" s="1013"/>
      <c r="M143" s="1013"/>
      <c r="N143" s="1013"/>
      <c r="O143" s="1013"/>
      <c r="P143" s="31"/>
      <c r="Q143" s="31"/>
      <c r="R143" s="87"/>
      <c r="S143" s="31"/>
      <c r="T143" s="23"/>
      <c r="U143" s="22"/>
      <c r="V143" s="22"/>
      <c r="W143" s="22"/>
      <c r="X143" s="22"/>
      <c r="Y143" s="22"/>
      <c r="Z143" s="22"/>
      <c r="AA143" s="22"/>
    </row>
    <row r="144" spans="1:27">
      <c r="A144" s="23"/>
      <c r="B144" s="23"/>
      <c r="C144" s="33"/>
      <c r="D144" s="1013"/>
      <c r="E144" s="1013"/>
      <c r="F144" s="1013"/>
      <c r="G144" s="1013"/>
      <c r="H144" s="1013"/>
      <c r="I144" s="1013"/>
      <c r="J144" s="1013"/>
      <c r="K144" s="1013"/>
      <c r="L144" s="1013"/>
      <c r="M144" s="1013"/>
      <c r="N144" s="1013"/>
      <c r="O144" s="1013"/>
      <c r="P144" s="31"/>
      <c r="Q144" s="31"/>
      <c r="R144" s="87"/>
      <c r="S144" s="31"/>
      <c r="T144" s="23"/>
      <c r="U144" s="22"/>
      <c r="V144" s="22"/>
      <c r="W144" s="22"/>
      <c r="X144" s="22"/>
      <c r="Y144" s="22"/>
      <c r="Z144" s="22"/>
      <c r="AA144" s="22"/>
    </row>
    <row r="145" spans="1:27">
      <c r="A145" s="23"/>
      <c r="B145" s="23"/>
      <c r="C145" s="46"/>
      <c r="D145" s="1013"/>
      <c r="E145" s="1013"/>
      <c r="F145" s="1501"/>
      <c r="G145" s="1501"/>
      <c r="H145" s="1013"/>
      <c r="I145" s="1013"/>
      <c r="J145" s="1013"/>
      <c r="K145" s="1013"/>
      <c r="L145" s="1013"/>
      <c r="M145" s="1013"/>
      <c r="N145" s="1013"/>
      <c r="O145" s="1013"/>
      <c r="P145" s="31"/>
      <c r="Q145" s="31"/>
      <c r="R145" s="87"/>
      <c r="S145" s="31"/>
      <c r="T145" s="23"/>
      <c r="U145" s="22"/>
      <c r="V145" s="22"/>
      <c r="W145" s="22"/>
      <c r="X145" s="22"/>
      <c r="Y145" s="22"/>
      <c r="Z145" s="22"/>
      <c r="AA145" s="22"/>
    </row>
    <row r="146" spans="1:27">
      <c r="A146" s="23"/>
      <c r="B146" s="1043"/>
      <c r="C146" s="1043"/>
      <c r="D146" s="1043"/>
      <c r="E146" s="1043"/>
      <c r="F146" s="1043"/>
      <c r="G146" s="1043"/>
      <c r="H146" s="1043"/>
      <c r="I146" s="1043"/>
      <c r="J146" s="1043"/>
      <c r="K146" s="1043"/>
      <c r="L146" s="1043"/>
      <c r="M146" s="1013"/>
      <c r="N146" s="1013"/>
      <c r="O146" s="1013"/>
      <c r="P146" s="23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>
      <c r="A147" s="23"/>
      <c r="B147" s="1043"/>
      <c r="C147" s="1534"/>
      <c r="D147" s="1534"/>
      <c r="E147" s="1534"/>
      <c r="F147" s="1534"/>
      <c r="G147" s="1534"/>
      <c r="H147" s="1534"/>
      <c r="I147" s="1534"/>
      <c r="J147" s="1534"/>
      <c r="K147" s="1534"/>
      <c r="L147" s="1534"/>
      <c r="M147" s="1013"/>
      <c r="N147" s="1013"/>
      <c r="O147" s="1013"/>
      <c r="P147" s="23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>
      <c r="A148" s="23"/>
      <c r="B148" s="1043"/>
      <c r="C148" s="1532"/>
      <c r="D148" s="1532"/>
      <c r="E148" s="1024"/>
      <c r="F148" s="1024"/>
      <c r="G148" s="1024"/>
      <c r="H148" s="1024"/>
      <c r="I148" s="1024"/>
      <c r="J148" s="1535"/>
      <c r="K148" s="1535"/>
      <c r="L148" s="1024"/>
      <c r="M148" s="1013"/>
      <c r="N148" s="1013"/>
      <c r="O148" s="1013"/>
      <c r="P148" s="23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>
      <c r="A149" s="23"/>
      <c r="B149" s="1043"/>
      <c r="C149" s="1498"/>
      <c r="D149" s="1498"/>
      <c r="E149" s="1057"/>
      <c r="F149" s="1057"/>
      <c r="G149" s="1057"/>
      <c r="H149" s="1057"/>
      <c r="I149" s="1057"/>
      <c r="J149" s="1533"/>
      <c r="K149" s="1533"/>
      <c r="L149" s="1057"/>
      <c r="M149" s="1013"/>
      <c r="N149" s="1013"/>
      <c r="O149" s="1013"/>
      <c r="P149" s="23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9.5" customHeight="1">
      <c r="A150" s="23"/>
      <c r="B150" s="1043"/>
      <c r="C150" s="1501"/>
      <c r="D150" s="1501"/>
      <c r="E150" s="1057"/>
      <c r="F150" s="1057"/>
      <c r="G150" s="1057"/>
      <c r="H150" s="1057"/>
      <c r="I150" s="1057"/>
      <c r="J150" s="1533"/>
      <c r="K150" s="1533"/>
      <c r="L150" s="1057"/>
      <c r="M150" s="1013"/>
      <c r="N150" s="1013"/>
      <c r="O150" s="1013"/>
      <c r="P150" s="23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>
      <c r="A151" s="23"/>
      <c r="B151" s="1043"/>
      <c r="C151" s="1501"/>
      <c r="D151" s="1501"/>
      <c r="E151" s="1057"/>
      <c r="F151" s="1057"/>
      <c r="G151" s="1057"/>
      <c r="H151" s="1057"/>
      <c r="I151" s="1057"/>
      <c r="J151" s="1533"/>
      <c r="K151" s="1533"/>
      <c r="L151" s="1057"/>
      <c r="M151" s="23"/>
      <c r="N151" s="23"/>
      <c r="O151" s="23"/>
      <c r="P151" s="23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>
      <c r="A152" s="23"/>
      <c r="B152" s="1043"/>
      <c r="C152" s="1501"/>
      <c r="D152" s="1501"/>
      <c r="E152" s="1057"/>
      <c r="F152" s="1057"/>
      <c r="G152" s="1057"/>
      <c r="H152" s="1057"/>
      <c r="I152" s="1057"/>
      <c r="J152" s="1533"/>
      <c r="K152" s="1533"/>
      <c r="L152" s="1057"/>
      <c r="M152" s="26"/>
      <c r="N152" s="26"/>
      <c r="O152" s="26"/>
      <c r="P152" s="23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>
      <c r="A153" s="23"/>
      <c r="B153" s="1043"/>
      <c r="C153" s="1501"/>
      <c r="D153" s="1501"/>
      <c r="E153" s="1057"/>
      <c r="F153" s="1057"/>
      <c r="G153" s="1057"/>
      <c r="H153" s="1057"/>
      <c r="I153" s="1057"/>
      <c r="J153" s="1533"/>
      <c r="K153" s="1533"/>
      <c r="L153" s="1057"/>
      <c r="M153" s="26"/>
      <c r="N153" s="26"/>
      <c r="O153" s="26"/>
      <c r="P153" s="23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21" customHeight="1">
      <c r="A154" s="23"/>
      <c r="B154" s="1043"/>
      <c r="C154" s="1501"/>
      <c r="D154" s="1501"/>
      <c r="E154" s="1057"/>
      <c r="F154" s="1057"/>
      <c r="G154" s="1057"/>
      <c r="H154" s="1057"/>
      <c r="I154" s="1057"/>
      <c r="J154" s="1533"/>
      <c r="K154" s="1533"/>
      <c r="L154" s="1057"/>
      <c r="M154" s="26"/>
      <c r="N154" s="26"/>
      <c r="O154" s="26"/>
      <c r="P154" s="23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21.75" customHeight="1">
      <c r="A155" s="23"/>
      <c r="B155" s="1043"/>
      <c r="C155" s="1501"/>
      <c r="D155" s="1501"/>
      <c r="E155" s="1057"/>
      <c r="F155" s="1057"/>
      <c r="G155" s="1057"/>
      <c r="H155" s="1057"/>
      <c r="I155" s="1057"/>
      <c r="J155" s="1533"/>
      <c r="K155" s="1533"/>
      <c r="L155" s="1057"/>
      <c r="M155" s="1021"/>
      <c r="N155" s="1021"/>
      <c r="O155" s="1021"/>
      <c r="P155" s="23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>
      <c r="A156" s="23"/>
      <c r="B156" s="1043"/>
      <c r="C156" s="1501"/>
      <c r="D156" s="1501"/>
      <c r="E156" s="1057"/>
      <c r="F156" s="1057"/>
      <c r="G156" s="1057"/>
      <c r="H156" s="1057"/>
      <c r="I156" s="1057"/>
      <c r="J156" s="1533"/>
      <c r="K156" s="1533"/>
      <c r="L156" s="1057"/>
      <c r="M156" s="219"/>
      <c r="N156" s="219"/>
      <c r="O156" s="219"/>
      <c r="P156" s="23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31.5" customHeight="1">
      <c r="A157" s="23"/>
      <c r="B157" s="1043"/>
      <c r="C157" s="1043"/>
      <c r="D157" s="1043"/>
      <c r="E157" s="1043"/>
      <c r="F157" s="1057"/>
      <c r="G157" s="1057"/>
      <c r="H157" s="1533"/>
      <c r="I157" s="1533"/>
      <c r="J157" s="1057"/>
      <c r="K157" s="219"/>
      <c r="L157" s="219"/>
      <c r="M157" s="219"/>
      <c r="N157" s="23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>
      <c r="A158" s="23"/>
      <c r="B158" s="1043"/>
      <c r="C158" s="1043"/>
      <c r="D158" s="1043"/>
      <c r="E158" s="1043"/>
      <c r="F158" s="1043"/>
      <c r="G158" s="1043"/>
      <c r="H158" s="1043"/>
      <c r="I158" s="1043"/>
      <c r="J158" s="1043"/>
      <c r="K158" s="219"/>
      <c r="L158" s="219"/>
      <c r="M158" s="219"/>
      <c r="N158" s="23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>
      <c r="A159" s="23"/>
      <c r="B159" s="23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87"/>
      <c r="Q159" s="26"/>
      <c r="R159" s="23"/>
      <c r="S159" s="23"/>
      <c r="T159" s="22"/>
      <c r="U159" s="22"/>
      <c r="V159" s="22"/>
      <c r="W159" s="22"/>
      <c r="X159" s="22"/>
      <c r="Y159" s="22"/>
      <c r="Z159" s="22"/>
      <c r="AA159" s="22"/>
    </row>
    <row r="160" spans="1:27">
      <c r="A160" s="23"/>
      <c r="B160" s="23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87"/>
      <c r="Q160" s="26"/>
      <c r="R160" s="23"/>
      <c r="S160" s="23"/>
      <c r="T160" s="22"/>
      <c r="U160" s="22"/>
      <c r="V160" s="22"/>
      <c r="W160" s="22"/>
      <c r="X160" s="22"/>
      <c r="Y160" s="22"/>
      <c r="Z160" s="22"/>
      <c r="AA160" s="22"/>
    </row>
    <row r="161" spans="1:27">
      <c r="A161" s="23"/>
      <c r="B161" s="23"/>
      <c r="C161" s="1021"/>
      <c r="D161" s="1021"/>
      <c r="E161" s="1021"/>
      <c r="F161" s="1502"/>
      <c r="G161" s="1502"/>
      <c r="H161" s="1021"/>
      <c r="I161" s="1021"/>
      <c r="J161" s="1021"/>
      <c r="K161" s="219"/>
      <c r="L161" s="219"/>
      <c r="M161" s="219"/>
      <c r="N161" s="30"/>
      <c r="O161" s="30"/>
      <c r="P161" s="87"/>
      <c r="Q161" s="30"/>
      <c r="R161" s="23"/>
      <c r="S161" s="23"/>
      <c r="T161" s="22"/>
      <c r="U161" s="22"/>
      <c r="V161" s="22"/>
      <c r="W161" s="22"/>
      <c r="X161" s="22"/>
      <c r="Y161" s="22"/>
      <c r="Z161" s="22"/>
      <c r="AA161" s="22"/>
    </row>
    <row r="162" spans="1:27">
      <c r="A162" s="23"/>
      <c r="B162" s="23"/>
      <c r="C162" s="33"/>
      <c r="D162" s="31"/>
      <c r="E162" s="1013"/>
      <c r="F162" s="1501"/>
      <c r="G162" s="1501"/>
      <c r="H162" s="1013"/>
      <c r="I162" s="219"/>
      <c r="J162" s="1013"/>
      <c r="K162" s="1013"/>
      <c r="L162" s="1013"/>
      <c r="M162" s="1013"/>
      <c r="N162" s="31"/>
      <c r="O162" s="31"/>
      <c r="P162" s="87"/>
      <c r="Q162" s="31"/>
      <c r="R162" s="23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>
      <c r="A163" s="23"/>
      <c r="B163" s="23"/>
      <c r="C163" s="33"/>
      <c r="D163" s="31"/>
      <c r="E163" s="1013"/>
      <c r="F163" s="1501"/>
      <c r="G163" s="1501"/>
      <c r="H163" s="1013"/>
      <c r="I163" s="219"/>
      <c r="J163" s="1013"/>
      <c r="K163" s="1013"/>
      <c r="L163" s="1013"/>
      <c r="M163" s="1013"/>
      <c r="N163" s="31"/>
      <c r="O163" s="31"/>
      <c r="P163" s="87"/>
      <c r="Q163" s="31"/>
      <c r="R163" s="23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>
      <c r="A164" s="23"/>
      <c r="B164" s="23"/>
      <c r="C164" s="33"/>
      <c r="D164" s="31"/>
      <c r="E164" s="1013"/>
      <c r="F164" s="1501"/>
      <c r="G164" s="1501"/>
      <c r="H164" s="1013"/>
      <c r="I164" s="219"/>
      <c r="J164" s="1013"/>
      <c r="K164" s="1013"/>
      <c r="L164" s="1013"/>
      <c r="M164" s="1013"/>
      <c r="N164" s="31"/>
      <c r="O164" s="31"/>
      <c r="P164" s="87"/>
      <c r="Q164" s="31"/>
      <c r="R164" s="23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>
      <c r="A165" s="23"/>
      <c r="B165" s="23"/>
      <c r="C165" s="33"/>
      <c r="D165" s="31"/>
      <c r="E165" s="1013"/>
      <c r="F165" s="1501"/>
      <c r="G165" s="1501"/>
      <c r="H165" s="1013"/>
      <c r="I165" s="219"/>
      <c r="J165" s="35"/>
      <c r="K165" s="1013"/>
      <c r="L165" s="1013"/>
      <c r="M165" s="1013"/>
      <c r="N165" s="31"/>
      <c r="O165" s="31"/>
      <c r="P165" s="87"/>
      <c r="Q165" s="31"/>
      <c r="R165" s="23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>
      <c r="A166" s="23"/>
      <c r="B166" s="23"/>
      <c r="C166" s="33"/>
      <c r="D166" s="31"/>
      <c r="E166" s="1013"/>
      <c r="F166" s="1501"/>
      <c r="G166" s="1501"/>
      <c r="H166" s="1013"/>
      <c r="I166" s="1013"/>
      <c r="J166" s="1013"/>
      <c r="K166" s="1013"/>
      <c r="L166" s="1013"/>
      <c r="M166" s="1013"/>
      <c r="N166" s="31"/>
      <c r="O166" s="31"/>
      <c r="P166" s="87"/>
      <c r="Q166" s="31"/>
      <c r="R166" s="23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>
      <c r="A167" s="23"/>
      <c r="B167" s="23"/>
      <c r="C167" s="33"/>
      <c r="D167" s="31"/>
      <c r="E167" s="1013"/>
      <c r="F167" s="1501"/>
      <c r="G167" s="1501"/>
      <c r="H167" s="1013"/>
      <c r="I167" s="1013"/>
      <c r="J167" s="1013"/>
      <c r="K167" s="1013"/>
      <c r="L167" s="1013"/>
      <c r="M167" s="1013"/>
      <c r="N167" s="31"/>
      <c r="O167" s="31"/>
      <c r="P167" s="87"/>
      <c r="Q167" s="31"/>
      <c r="R167" s="23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>
      <c r="A168" s="23"/>
      <c r="B168" s="23"/>
      <c r="C168" s="33"/>
      <c r="D168" s="31"/>
      <c r="E168" s="1013"/>
      <c r="F168" s="1501"/>
      <c r="G168" s="1501"/>
      <c r="H168" s="1013"/>
      <c r="I168" s="1013"/>
      <c r="J168" s="31"/>
      <c r="K168" s="31"/>
      <c r="L168" s="31"/>
      <c r="M168" s="31"/>
      <c r="N168" s="31"/>
      <c r="O168" s="31"/>
      <c r="P168" s="87"/>
      <c r="Q168" s="31"/>
      <c r="R168" s="23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87"/>
      <c r="Q169" s="23"/>
      <c r="R169" s="23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3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3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3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</sheetData>
  <mergeCells count="50">
    <mergeCell ref="J155:K155"/>
    <mergeCell ref="J156:K156"/>
    <mergeCell ref="C153:D153"/>
    <mergeCell ref="C151:D151"/>
    <mergeCell ref="C152:D152"/>
    <mergeCell ref="J152:K152"/>
    <mergeCell ref="J153:K153"/>
    <mergeCell ref="J148:K148"/>
    <mergeCell ref="J149:K149"/>
    <mergeCell ref="J150:K150"/>
    <mergeCell ref="J151:K151"/>
    <mergeCell ref="J154:K154"/>
    <mergeCell ref="H157:I157"/>
    <mergeCell ref="C156:D156"/>
    <mergeCell ref="C154:D154"/>
    <mergeCell ref="C155:D155"/>
    <mergeCell ref="F168:G168"/>
    <mergeCell ref="F162:G162"/>
    <mergeCell ref="F163:G163"/>
    <mergeCell ref="F164:G164"/>
    <mergeCell ref="F165:G165"/>
    <mergeCell ref="F166:G166"/>
    <mergeCell ref="F167:G167"/>
    <mergeCell ref="F161:G161"/>
    <mergeCell ref="B2:N4"/>
    <mergeCell ref="P7:Q7"/>
    <mergeCell ref="C19:C22"/>
    <mergeCell ref="C25:C28"/>
    <mergeCell ref="C45:G47"/>
    <mergeCell ref="C13:C16"/>
    <mergeCell ref="C44:M44"/>
    <mergeCell ref="L45:M47"/>
    <mergeCell ref="C37:C40"/>
    <mergeCell ref="C31:C34"/>
    <mergeCell ref="F48:G48"/>
    <mergeCell ref="C150:D150"/>
    <mergeCell ref="F49:G49"/>
    <mergeCell ref="F50:G50"/>
    <mergeCell ref="F60:G60"/>
    <mergeCell ref="F61:G61"/>
    <mergeCell ref="F105:G105"/>
    <mergeCell ref="C67:M67"/>
    <mergeCell ref="F106:G106"/>
    <mergeCell ref="F107:G107"/>
    <mergeCell ref="C124:R125"/>
    <mergeCell ref="F108:G108"/>
    <mergeCell ref="F145:G145"/>
    <mergeCell ref="C148:D148"/>
    <mergeCell ref="C149:D149"/>
    <mergeCell ref="C147:L14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AM186"/>
  <sheetViews>
    <sheetView topLeftCell="G10" zoomScale="70" zoomScaleNormal="70" workbookViewId="0">
      <selection activeCell="R16" sqref="R16"/>
    </sheetView>
  </sheetViews>
  <sheetFormatPr defaultColWidth="11" defaultRowHeight="15.75"/>
  <cols>
    <col min="1" max="1" width="4.25" style="329" customWidth="1"/>
    <col min="2" max="2" width="4.75" style="329" customWidth="1"/>
    <col min="3" max="3" width="8.25" style="400" customWidth="1"/>
    <col min="4" max="4" width="5.25" style="401" customWidth="1"/>
    <col min="5" max="5" width="73.5" style="402" customWidth="1"/>
    <col min="6" max="6" width="8.625" style="566" customWidth="1"/>
    <col min="7" max="7" width="6.5" style="570" customWidth="1"/>
    <col min="8" max="8" width="34.25" style="329" customWidth="1"/>
    <col min="9" max="9" width="20.125" style="329" customWidth="1"/>
    <col min="10" max="10" width="9.625" style="400" customWidth="1"/>
    <col min="11" max="11" width="7.5" style="329" customWidth="1"/>
    <col min="12" max="12" width="6.125" style="362" customWidth="1"/>
    <col min="13" max="13" width="16.75" style="404" customWidth="1"/>
    <col min="14" max="14" width="7.75" style="329" customWidth="1"/>
    <col min="15" max="15" width="63.875" style="329" customWidth="1"/>
    <col min="16" max="16" width="18.375" style="329" customWidth="1"/>
    <col min="17" max="17" width="6.75" style="329" customWidth="1"/>
    <col min="18" max="18" width="12.625" style="329" customWidth="1"/>
    <col min="19" max="19" width="6.25" style="329" customWidth="1"/>
    <col min="20" max="20" width="11.625" style="329" customWidth="1"/>
    <col min="21" max="21" width="5.75" style="329" customWidth="1"/>
    <col min="22" max="22" width="11" style="329"/>
    <col min="23" max="23" width="11" style="321"/>
    <col min="24" max="24" width="37.125" style="329" customWidth="1"/>
    <col min="25" max="25" width="9.75" style="329" customWidth="1"/>
    <col min="26" max="26" width="24.125" style="329" customWidth="1"/>
    <col min="27" max="27" width="13" style="329" customWidth="1"/>
    <col min="28" max="28" width="16.125" style="329" customWidth="1"/>
    <col min="29" max="29" width="14.625" style="329" customWidth="1"/>
    <col min="30" max="30" width="15.75" style="329" customWidth="1"/>
    <col min="31" max="16384" width="11" style="329"/>
  </cols>
  <sheetData>
    <row r="1" spans="1:39" ht="16.5" thickBot="1">
      <c r="A1" s="321"/>
      <c r="B1" s="321"/>
      <c r="C1" s="322"/>
      <c r="D1" s="323"/>
      <c r="E1" s="324"/>
      <c r="F1" s="560"/>
      <c r="G1" s="567"/>
      <c r="H1" s="321"/>
      <c r="I1" s="321"/>
      <c r="J1" s="322"/>
      <c r="K1" s="326"/>
      <c r="L1" s="327"/>
      <c r="M1" s="328"/>
      <c r="N1" s="321"/>
      <c r="O1" s="321"/>
      <c r="P1" s="321"/>
      <c r="Q1" s="321"/>
      <c r="R1" s="321"/>
      <c r="S1" s="321"/>
      <c r="T1" s="321"/>
      <c r="U1" s="321"/>
      <c r="V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446"/>
      <c r="AK1" s="321"/>
      <c r="AL1" s="321"/>
      <c r="AM1" s="321"/>
    </row>
    <row r="2" spans="1:39" ht="15.75" customHeight="1">
      <c r="A2" s="321"/>
      <c r="B2" s="1557" t="s">
        <v>63</v>
      </c>
      <c r="C2" s="1558"/>
      <c r="D2" s="1558"/>
      <c r="E2" s="1558"/>
      <c r="F2" s="1558"/>
      <c r="G2" s="1558"/>
      <c r="H2" s="1558"/>
      <c r="I2" s="1558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  <c r="V2" s="321"/>
      <c r="X2" s="321"/>
      <c r="Y2" s="321"/>
      <c r="Z2" s="321"/>
      <c r="AA2" s="321"/>
      <c r="AB2" s="321"/>
      <c r="AC2" s="321"/>
      <c r="AD2" s="321"/>
      <c r="AE2" s="321"/>
      <c r="AF2" s="321"/>
      <c r="AG2" s="321"/>
      <c r="AH2" s="321"/>
      <c r="AI2" s="321"/>
      <c r="AJ2" s="446"/>
      <c r="AK2" s="321"/>
      <c r="AL2" s="321"/>
      <c r="AM2" s="321"/>
    </row>
    <row r="3" spans="1:39" ht="15.75" customHeight="1">
      <c r="A3" s="321"/>
      <c r="B3" s="1560"/>
      <c r="C3" s="1561"/>
      <c r="D3" s="1561"/>
      <c r="E3" s="1561"/>
      <c r="F3" s="1561"/>
      <c r="G3" s="1561"/>
      <c r="H3" s="1561"/>
      <c r="I3" s="1561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  <c r="V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446"/>
      <c r="AK3" s="321"/>
      <c r="AL3" s="321"/>
      <c r="AM3" s="321"/>
    </row>
    <row r="4" spans="1:39" ht="15.75" customHeight="1" thickBot="1">
      <c r="A4" s="321"/>
      <c r="B4" s="1563"/>
      <c r="C4" s="1564"/>
      <c r="D4" s="1564"/>
      <c r="E4" s="1564"/>
      <c r="F4" s="1564"/>
      <c r="G4" s="1564"/>
      <c r="H4" s="1564"/>
      <c r="I4" s="1564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  <c r="V4" s="321"/>
      <c r="X4" s="321"/>
      <c r="Y4" s="321"/>
      <c r="Z4" s="321"/>
      <c r="AA4" s="321"/>
      <c r="AB4" s="321"/>
      <c r="AC4" s="321"/>
      <c r="AD4" s="321"/>
      <c r="AE4" s="321"/>
      <c r="AF4" s="321"/>
      <c r="AG4" s="321"/>
      <c r="AH4" s="321"/>
      <c r="AI4" s="321"/>
      <c r="AJ4" s="446"/>
      <c r="AK4" s="321"/>
      <c r="AL4" s="321"/>
      <c r="AM4" s="321"/>
    </row>
    <row r="5" spans="1:39" ht="15.75" customHeight="1">
      <c r="A5" s="321"/>
      <c r="B5" s="326"/>
      <c r="C5" s="330"/>
      <c r="D5" s="331"/>
      <c r="E5" s="330"/>
      <c r="F5" s="561"/>
      <c r="G5" s="561"/>
      <c r="H5" s="330"/>
      <c r="I5" s="330"/>
      <c r="J5" s="330"/>
      <c r="K5" s="332"/>
      <c r="L5" s="332"/>
      <c r="M5" s="326"/>
      <c r="N5" s="321"/>
      <c r="O5" s="321"/>
      <c r="P5" s="321"/>
      <c r="Q5" s="321"/>
      <c r="R5" s="321"/>
      <c r="S5" s="321"/>
      <c r="T5" s="321"/>
      <c r="U5" s="321"/>
      <c r="V5" s="321"/>
      <c r="X5" s="321"/>
      <c r="Y5" s="321"/>
      <c r="Z5" s="321"/>
      <c r="AA5" s="321"/>
      <c r="AB5" s="321"/>
      <c r="AC5" s="321"/>
      <c r="AD5" s="321"/>
      <c r="AE5" s="321"/>
      <c r="AF5" s="321"/>
      <c r="AG5" s="321"/>
      <c r="AH5" s="321"/>
      <c r="AI5" s="321"/>
      <c r="AJ5" s="446"/>
      <c r="AK5" s="321"/>
      <c r="AL5" s="321"/>
      <c r="AM5" s="321"/>
    </row>
    <row r="6" spans="1:39" ht="15.75" customHeight="1" thickBot="1">
      <c r="A6" s="321"/>
      <c r="B6" s="326"/>
      <c r="C6" s="330"/>
      <c r="D6" s="331"/>
      <c r="E6" s="330"/>
      <c r="F6" s="561"/>
      <c r="G6" s="561"/>
      <c r="H6" s="330"/>
      <c r="I6" s="330"/>
      <c r="J6" s="330"/>
      <c r="K6" s="332"/>
      <c r="L6" s="332"/>
      <c r="M6" s="326"/>
      <c r="N6" s="321"/>
      <c r="O6" s="321"/>
      <c r="P6" s="321"/>
      <c r="Q6" s="321"/>
      <c r="R6" s="321"/>
      <c r="S6" s="321"/>
      <c r="T6" s="321"/>
      <c r="U6" s="321"/>
      <c r="V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1"/>
      <c r="AI6" s="321"/>
      <c r="AJ6" s="446"/>
      <c r="AK6" s="321"/>
      <c r="AL6" s="321"/>
      <c r="AM6" s="321"/>
    </row>
    <row r="7" spans="1:39" ht="30" customHeight="1" thickBot="1">
      <c r="A7" s="321"/>
      <c r="B7" s="333"/>
      <c r="C7" s="334"/>
      <c r="D7" s="335"/>
      <c r="E7" s="334"/>
      <c r="F7" s="562"/>
      <c r="G7" s="562"/>
      <c r="H7" s="334"/>
      <c r="I7" s="334"/>
      <c r="J7" s="334"/>
      <c r="K7" s="336"/>
      <c r="L7" s="336"/>
      <c r="M7" s="337"/>
      <c r="N7" s="337"/>
      <c r="O7" s="337"/>
      <c r="P7" s="337"/>
      <c r="Q7" s="337"/>
      <c r="R7" s="337"/>
      <c r="S7" s="337"/>
      <c r="T7" s="337"/>
      <c r="U7" s="338"/>
      <c r="V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446"/>
      <c r="AK7" s="321"/>
      <c r="AL7" s="321"/>
      <c r="AM7" s="321"/>
    </row>
    <row r="8" spans="1:39" ht="15.75" customHeight="1">
      <c r="A8" s="321"/>
      <c r="B8" s="339"/>
      <c r="C8" s="1569" t="s">
        <v>64</v>
      </c>
      <c r="D8" s="1570"/>
      <c r="E8" s="1570"/>
      <c r="F8" s="1570"/>
      <c r="G8" s="1570"/>
      <c r="H8" s="1570"/>
      <c r="I8" s="1570"/>
      <c r="J8" s="1570"/>
      <c r="K8" s="1571"/>
      <c r="L8" s="340"/>
      <c r="M8" s="1551" t="s">
        <v>65</v>
      </c>
      <c r="N8" s="1552"/>
      <c r="O8" s="1552"/>
      <c r="P8" s="1552"/>
      <c r="Q8" s="1552"/>
      <c r="R8" s="1552"/>
      <c r="S8" s="1552"/>
      <c r="T8" s="1553"/>
      <c r="U8" s="341"/>
      <c r="V8" s="321"/>
      <c r="X8" s="321"/>
      <c r="Y8" s="321"/>
      <c r="Z8" s="321"/>
      <c r="AA8" s="321"/>
      <c r="AB8" s="321"/>
      <c r="AC8" s="321"/>
      <c r="AD8" s="321"/>
      <c r="AE8" s="321"/>
      <c r="AF8" s="321"/>
      <c r="AG8" s="321"/>
      <c r="AH8" s="321"/>
      <c r="AI8" s="321"/>
      <c r="AJ8" s="446"/>
      <c r="AK8" s="321"/>
      <c r="AL8" s="321"/>
      <c r="AM8" s="321"/>
    </row>
    <row r="9" spans="1:39" ht="15.75" customHeight="1">
      <c r="A9" s="321"/>
      <c r="B9" s="339"/>
      <c r="C9" s="1572"/>
      <c r="D9" s="1573"/>
      <c r="E9" s="1573"/>
      <c r="F9" s="1573"/>
      <c r="G9" s="1573"/>
      <c r="H9" s="1573"/>
      <c r="I9" s="1573"/>
      <c r="J9" s="1573"/>
      <c r="K9" s="1574"/>
      <c r="L9" s="340"/>
      <c r="M9" s="1554"/>
      <c r="N9" s="1555"/>
      <c r="O9" s="1555"/>
      <c r="P9" s="1555"/>
      <c r="Q9" s="1555"/>
      <c r="R9" s="1555"/>
      <c r="S9" s="1555"/>
      <c r="T9" s="1556"/>
      <c r="U9" s="341"/>
      <c r="V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321"/>
      <c r="AJ9" s="446"/>
      <c r="AK9" s="321"/>
      <c r="AL9" s="321"/>
      <c r="AM9" s="321"/>
    </row>
    <row r="10" spans="1:39" ht="30" customHeight="1">
      <c r="A10" s="321"/>
      <c r="B10" s="339"/>
      <c r="C10" s="797" t="s">
        <v>66</v>
      </c>
      <c r="D10" s="798" t="s">
        <v>67</v>
      </c>
      <c r="E10" s="799" t="s">
        <v>68</v>
      </c>
      <c r="F10" s="800" t="s">
        <v>69</v>
      </c>
      <c r="G10" s="800" t="s">
        <v>70</v>
      </c>
      <c r="H10" s="801" t="s">
        <v>71</v>
      </c>
      <c r="I10" s="801" t="s">
        <v>72</v>
      </c>
      <c r="J10" s="802" t="s">
        <v>73</v>
      </c>
      <c r="K10" s="803" t="s">
        <v>74</v>
      </c>
      <c r="L10" s="346"/>
      <c r="M10" s="735" t="s">
        <v>75</v>
      </c>
      <c r="N10" s="348" t="s">
        <v>76</v>
      </c>
      <c r="O10" s="349" t="s">
        <v>77</v>
      </c>
      <c r="P10" s="349" t="s">
        <v>69</v>
      </c>
      <c r="Q10" s="349" t="s">
        <v>70</v>
      </c>
      <c r="R10" s="349" t="s">
        <v>72</v>
      </c>
      <c r="S10" s="349" t="s">
        <v>74</v>
      </c>
      <c r="T10" s="350" t="s">
        <v>64</v>
      </c>
      <c r="U10" s="341"/>
      <c r="V10" s="321"/>
      <c r="X10" s="321"/>
      <c r="Y10" s="321"/>
      <c r="Z10" s="321"/>
      <c r="AA10" s="321"/>
      <c r="AB10" s="321"/>
      <c r="AC10" s="321"/>
      <c r="AD10" s="321"/>
      <c r="AE10" s="321"/>
      <c r="AF10" s="321"/>
      <c r="AG10" s="321"/>
      <c r="AH10" s="321"/>
      <c r="AI10" s="321"/>
      <c r="AJ10" s="446"/>
      <c r="AK10" s="321"/>
      <c r="AL10" s="321"/>
      <c r="AM10" s="321"/>
    </row>
    <row r="11" spans="1:39" s="357" customFormat="1" ht="16.5" customHeight="1">
      <c r="A11" s="351"/>
      <c r="B11" s="352"/>
      <c r="C11" s="1058">
        <v>43831</v>
      </c>
      <c r="D11" s="1059"/>
      <c r="E11" s="1060" t="s">
        <v>78</v>
      </c>
      <c r="F11" s="1059" t="s">
        <v>8</v>
      </c>
      <c r="G11" s="1061">
        <v>65</v>
      </c>
      <c r="H11" s="1062" t="s">
        <v>79</v>
      </c>
      <c r="I11" s="1062" t="s">
        <v>52</v>
      </c>
      <c r="J11" s="1063" t="s">
        <v>80</v>
      </c>
      <c r="K11" s="804" t="s">
        <v>81</v>
      </c>
      <c r="L11" s="353"/>
      <c r="M11" s="1064">
        <v>43844</v>
      </c>
      <c r="N11" s="1065">
        <v>1</v>
      </c>
      <c r="O11" s="1066" t="s">
        <v>82</v>
      </c>
      <c r="P11" s="1008" t="s">
        <v>83</v>
      </c>
      <c r="Q11" s="1067">
        <v>64</v>
      </c>
      <c r="R11" s="1008" t="s">
        <v>50</v>
      </c>
      <c r="S11" s="1035" t="s">
        <v>83</v>
      </c>
      <c r="T11" s="1068">
        <f>COUNTIF(D:D,N11)+COUNTIF(Fev!D:D,N11)</f>
        <v>3</v>
      </c>
      <c r="U11" s="356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351"/>
      <c r="AJ11" s="538"/>
      <c r="AK11" s="351"/>
      <c r="AL11" s="351"/>
      <c r="AM11" s="351"/>
    </row>
    <row r="12" spans="1:39" s="357" customFormat="1" ht="16.5" customHeight="1">
      <c r="A12" s="351"/>
      <c r="B12" s="352"/>
      <c r="C12" s="1058">
        <v>43839</v>
      </c>
      <c r="D12" s="1059">
        <v>61</v>
      </c>
      <c r="E12" s="1069" t="s">
        <v>84</v>
      </c>
      <c r="F12" s="1059" t="s">
        <v>8</v>
      </c>
      <c r="G12" s="1061">
        <v>40</v>
      </c>
      <c r="H12" s="1062" t="s">
        <v>85</v>
      </c>
      <c r="I12" s="1062" t="s">
        <v>52</v>
      </c>
      <c r="J12" s="1063" t="s">
        <v>80</v>
      </c>
      <c r="K12" s="804" t="s">
        <v>81</v>
      </c>
      <c r="L12" s="353"/>
      <c r="M12" s="1064">
        <v>43845</v>
      </c>
      <c r="N12" s="1065">
        <v>2</v>
      </c>
      <c r="O12" s="1066" t="s">
        <v>86</v>
      </c>
      <c r="P12" s="1008" t="s">
        <v>83</v>
      </c>
      <c r="Q12" s="1067">
        <v>64</v>
      </c>
      <c r="R12" s="1008" t="s">
        <v>52</v>
      </c>
      <c r="S12" s="1035" t="s">
        <v>83</v>
      </c>
      <c r="T12" s="1068">
        <f>COUNTIF(D:D,N12)+COUNTIF(Fev!D:D,N12)</f>
        <v>3</v>
      </c>
      <c r="U12" s="356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  <c r="AG12" s="351"/>
      <c r="AH12" s="351"/>
      <c r="AI12" s="351"/>
      <c r="AJ12" s="538"/>
      <c r="AK12" s="351"/>
      <c r="AL12" s="351"/>
      <c r="AM12" s="351"/>
    </row>
    <row r="13" spans="1:39" s="357" customFormat="1" ht="15.75" customHeight="1">
      <c r="A13" s="351"/>
      <c r="B13" s="352"/>
      <c r="C13" s="1058">
        <v>43837</v>
      </c>
      <c r="D13" s="1059"/>
      <c r="E13" s="1070" t="s">
        <v>87</v>
      </c>
      <c r="F13" s="1059" t="s">
        <v>8</v>
      </c>
      <c r="G13" s="1061">
        <v>64</v>
      </c>
      <c r="H13" s="1062" t="s">
        <v>88</v>
      </c>
      <c r="I13" s="1062" t="s">
        <v>50</v>
      </c>
      <c r="J13" s="1063" t="s">
        <v>80</v>
      </c>
      <c r="K13" s="804" t="s">
        <v>81</v>
      </c>
      <c r="L13" s="358"/>
      <c r="M13" s="1064">
        <v>43847</v>
      </c>
      <c r="N13" s="1065">
        <v>3</v>
      </c>
      <c r="O13" s="1066" t="s">
        <v>89</v>
      </c>
      <c r="P13" s="1008" t="s">
        <v>83</v>
      </c>
      <c r="Q13" s="1067">
        <v>64</v>
      </c>
      <c r="R13" s="1008" t="s">
        <v>51</v>
      </c>
      <c r="S13" s="1035" t="s">
        <v>83</v>
      </c>
      <c r="T13" s="1068">
        <f>COUNTIF(D:D,N13)+COUNTIF(Fev!D:D,N13)+COUNTIF(Mars!D:D,N13)+COUNTIF(Avr!D:D,N13)+COUNTIF(Mai!D:D,N13)</f>
        <v>0</v>
      </c>
      <c r="U13" s="34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351"/>
      <c r="AJ13" s="538"/>
      <c r="AK13" s="351"/>
      <c r="AL13" s="351"/>
      <c r="AM13" s="351"/>
    </row>
    <row r="14" spans="1:39">
      <c r="A14" s="321"/>
      <c r="B14" s="339"/>
      <c r="C14" s="1058">
        <v>43845</v>
      </c>
      <c r="D14" s="1059">
        <v>62</v>
      </c>
      <c r="E14" s="1071" t="s">
        <v>90</v>
      </c>
      <c r="F14" s="1059" t="s">
        <v>8</v>
      </c>
      <c r="G14" s="1061">
        <v>65</v>
      </c>
      <c r="H14" s="1062" t="s">
        <v>91</v>
      </c>
      <c r="I14" s="1062" t="s">
        <v>53</v>
      </c>
      <c r="J14" s="1063" t="s">
        <v>92</v>
      </c>
      <c r="K14" s="804" t="s">
        <v>81</v>
      </c>
      <c r="L14" s="359"/>
      <c r="M14" s="1064">
        <v>43860</v>
      </c>
      <c r="N14" s="1065">
        <v>4</v>
      </c>
      <c r="O14" s="1066" t="s">
        <v>93</v>
      </c>
      <c r="P14" s="1008" t="s">
        <v>94</v>
      </c>
      <c r="Q14" s="1067">
        <v>64</v>
      </c>
      <c r="R14" s="1008" t="s">
        <v>47</v>
      </c>
      <c r="S14" s="1035" t="s">
        <v>94</v>
      </c>
      <c r="T14" s="1068">
        <f>COUNTIF(D:D,N14)+COUNTIF(Fev!D:D,N14)</f>
        <v>7</v>
      </c>
      <c r="U14" s="341"/>
      <c r="V14" s="321"/>
      <c r="X14" s="321"/>
      <c r="Y14" s="321"/>
      <c r="Z14" s="321"/>
      <c r="AA14" s="321"/>
      <c r="AB14" s="321"/>
      <c r="AC14" s="321"/>
      <c r="AD14" s="321"/>
      <c r="AE14" s="321"/>
      <c r="AF14" s="321"/>
      <c r="AG14" s="321"/>
      <c r="AH14" s="321"/>
      <c r="AI14" s="321"/>
      <c r="AJ14" s="446"/>
      <c r="AK14" s="321"/>
      <c r="AL14" s="321"/>
      <c r="AM14" s="321"/>
    </row>
    <row r="15" spans="1:39" s="362" customFormat="1">
      <c r="A15" s="360"/>
      <c r="B15" s="361"/>
      <c r="C15" s="1058">
        <v>43845</v>
      </c>
      <c r="D15" s="1059">
        <v>62</v>
      </c>
      <c r="E15" s="1071" t="s">
        <v>90</v>
      </c>
      <c r="F15" s="1059" t="s">
        <v>8</v>
      </c>
      <c r="G15" s="1061">
        <v>65</v>
      </c>
      <c r="H15" s="1062" t="s">
        <v>79</v>
      </c>
      <c r="I15" s="1062" t="s">
        <v>53</v>
      </c>
      <c r="J15" s="1063" t="s">
        <v>92</v>
      </c>
      <c r="K15" s="804" t="s">
        <v>81</v>
      </c>
      <c r="L15" s="358"/>
      <c r="M15" s="1064">
        <v>43852</v>
      </c>
      <c r="N15" s="1065">
        <v>5</v>
      </c>
      <c r="O15" s="726" t="s">
        <v>95</v>
      </c>
      <c r="P15" s="1008" t="s">
        <v>94</v>
      </c>
      <c r="Q15" s="1067">
        <v>65</v>
      </c>
      <c r="R15" s="1008" t="s">
        <v>47</v>
      </c>
      <c r="S15" s="1035" t="s">
        <v>94</v>
      </c>
      <c r="T15" s="1068">
        <f>COUNTIF(D:D,N15)+COUNTIF(Fev!D:D,N15)</f>
        <v>4</v>
      </c>
      <c r="U15" s="341"/>
      <c r="V15" s="360"/>
      <c r="W15" s="360"/>
      <c r="X15" s="360"/>
      <c r="Y15" s="360"/>
      <c r="Z15" s="360"/>
      <c r="AA15" s="360"/>
      <c r="AB15" s="360"/>
      <c r="AC15" s="360"/>
      <c r="AD15" s="360"/>
      <c r="AE15" s="360"/>
      <c r="AF15" s="360"/>
      <c r="AG15" s="360"/>
      <c r="AH15" s="360"/>
      <c r="AI15" s="360"/>
      <c r="AJ15" s="488"/>
      <c r="AK15" s="360"/>
      <c r="AL15" s="360"/>
      <c r="AM15" s="360"/>
    </row>
    <row r="16" spans="1:39" s="362" customFormat="1" ht="30">
      <c r="A16" s="360"/>
      <c r="B16" s="361"/>
      <c r="C16" s="1058">
        <v>43845</v>
      </c>
      <c r="D16" s="1059">
        <v>62</v>
      </c>
      <c r="E16" s="1071" t="s">
        <v>90</v>
      </c>
      <c r="F16" s="1059" t="s">
        <v>9</v>
      </c>
      <c r="G16" s="1061">
        <v>65</v>
      </c>
      <c r="H16" s="1062" t="s">
        <v>79</v>
      </c>
      <c r="I16" s="1062" t="s">
        <v>52</v>
      </c>
      <c r="J16" s="1063" t="s">
        <v>92</v>
      </c>
      <c r="K16" s="804" t="s">
        <v>96</v>
      </c>
      <c r="L16" s="358"/>
      <c r="M16" s="1064">
        <v>43861</v>
      </c>
      <c r="N16" s="1065">
        <v>6</v>
      </c>
      <c r="O16" s="726" t="s">
        <v>97</v>
      </c>
      <c r="P16" s="1008" t="s">
        <v>94</v>
      </c>
      <c r="Q16" s="1067">
        <v>65</v>
      </c>
      <c r="R16" s="1008" t="s">
        <v>52</v>
      </c>
      <c r="S16" s="1035" t="s">
        <v>94</v>
      </c>
      <c r="T16" s="1068">
        <f>COUNTIF(D:D,N16)+COUNTIF(Fev!D:D,N16)</f>
        <v>7</v>
      </c>
      <c r="U16" s="341"/>
      <c r="V16" s="360"/>
      <c r="W16" s="360"/>
      <c r="X16" s="360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360"/>
      <c r="AJ16" s="488"/>
      <c r="AK16" s="360"/>
      <c r="AL16" s="360"/>
      <c r="AM16" s="360"/>
    </row>
    <row r="17" spans="1:39" s="362" customFormat="1" ht="16.5" thickBot="1">
      <c r="A17" s="360"/>
      <c r="B17" s="361"/>
      <c r="C17" s="1058">
        <v>43845</v>
      </c>
      <c r="D17" s="1059">
        <v>63</v>
      </c>
      <c r="E17" s="1072" t="s">
        <v>98</v>
      </c>
      <c r="F17" s="1059" t="s">
        <v>8</v>
      </c>
      <c r="G17" s="1061">
        <v>65</v>
      </c>
      <c r="H17" s="1062" t="s">
        <v>91</v>
      </c>
      <c r="I17" s="1062" t="s">
        <v>50</v>
      </c>
      <c r="J17" s="1063" t="s">
        <v>80</v>
      </c>
      <c r="K17" s="804" t="s">
        <v>81</v>
      </c>
      <c r="L17" s="358"/>
      <c r="M17" s="1073">
        <v>43839</v>
      </c>
      <c r="N17" s="1074">
        <v>61</v>
      </c>
      <c r="O17" s="1075" t="s">
        <v>99</v>
      </c>
      <c r="P17" s="1076" t="s">
        <v>100</v>
      </c>
      <c r="Q17" s="1077">
        <v>40</v>
      </c>
      <c r="R17" s="1075" t="s">
        <v>52</v>
      </c>
      <c r="S17" s="1035" t="s">
        <v>83</v>
      </c>
      <c r="T17" s="1068">
        <f>COUNTIF(D:D,N17)+COUNTIF(Fev!D:D,N17)</f>
        <v>2</v>
      </c>
      <c r="U17" s="341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488"/>
      <c r="AK17" s="360"/>
      <c r="AL17" s="360"/>
      <c r="AM17" s="360"/>
    </row>
    <row r="18" spans="1:39" s="362" customFormat="1" ht="16.5" thickBot="1">
      <c r="A18" s="360"/>
      <c r="B18" s="361"/>
      <c r="C18" s="1058">
        <v>43845</v>
      </c>
      <c r="D18" s="1059">
        <v>63</v>
      </c>
      <c r="E18" s="1072" t="s">
        <v>98</v>
      </c>
      <c r="F18" s="1059" t="s">
        <v>8</v>
      </c>
      <c r="G18" s="1061">
        <v>65</v>
      </c>
      <c r="H18" s="1062" t="s">
        <v>79</v>
      </c>
      <c r="I18" s="1062" t="s">
        <v>50</v>
      </c>
      <c r="J18" s="1063" t="s">
        <v>80</v>
      </c>
      <c r="K18" s="804" t="s">
        <v>81</v>
      </c>
      <c r="L18" s="358"/>
      <c r="M18" s="1073">
        <v>43839</v>
      </c>
      <c r="N18" s="1074">
        <v>62</v>
      </c>
      <c r="O18" s="1075" t="s">
        <v>101</v>
      </c>
      <c r="P18" s="1076" t="s">
        <v>102</v>
      </c>
      <c r="Q18" s="1077">
        <v>65</v>
      </c>
      <c r="R18" s="1075" t="s">
        <v>103</v>
      </c>
      <c r="S18" s="1035" t="s">
        <v>104</v>
      </c>
      <c r="T18" s="1068">
        <f>COUNTIF(D:D,N18)+COUNTIF(Fev!D:D,N18)</f>
        <v>3</v>
      </c>
      <c r="U18" s="341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488"/>
      <c r="AK18" s="360"/>
      <c r="AL18" s="360"/>
      <c r="AM18" s="360"/>
    </row>
    <row r="19" spans="1:39" s="365" customFormat="1" ht="16.5" thickBot="1">
      <c r="A19" s="363"/>
      <c r="B19" s="364"/>
      <c r="C19" s="1058">
        <v>43845</v>
      </c>
      <c r="D19" s="1059">
        <v>63</v>
      </c>
      <c r="E19" s="1072" t="s">
        <v>98</v>
      </c>
      <c r="F19" s="1059" t="s">
        <v>9</v>
      </c>
      <c r="G19" s="1061">
        <v>65</v>
      </c>
      <c r="H19" s="1078" t="s">
        <v>105</v>
      </c>
      <c r="I19" s="1062" t="s">
        <v>50</v>
      </c>
      <c r="J19" s="1063" t="s">
        <v>80</v>
      </c>
      <c r="K19" s="804" t="s">
        <v>96</v>
      </c>
      <c r="L19" s="353"/>
      <c r="M19" s="1073">
        <v>43845</v>
      </c>
      <c r="N19" s="1074">
        <v>63</v>
      </c>
      <c r="O19" s="1075" t="s">
        <v>106</v>
      </c>
      <c r="P19" s="1076" t="s">
        <v>102</v>
      </c>
      <c r="Q19" s="1077">
        <v>65</v>
      </c>
      <c r="R19" s="1075" t="s">
        <v>50</v>
      </c>
      <c r="S19" s="1035" t="s">
        <v>107</v>
      </c>
      <c r="T19" s="1068">
        <f>COUNTIF(D:D,N19)+COUNTIF(Fev!D:D,N19)</f>
        <v>3</v>
      </c>
      <c r="U19" s="341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  <c r="AH19" s="363"/>
      <c r="AI19" s="363"/>
      <c r="AJ19" s="539"/>
      <c r="AK19" s="363"/>
      <c r="AL19" s="363"/>
      <c r="AM19" s="363"/>
    </row>
    <row r="20" spans="1:39" s="362" customFormat="1" ht="16.5" thickBot="1">
      <c r="A20" s="360"/>
      <c r="B20" s="361"/>
      <c r="C20" s="1058">
        <v>43846</v>
      </c>
      <c r="D20" s="1059">
        <v>2</v>
      </c>
      <c r="E20" s="1071" t="s">
        <v>108</v>
      </c>
      <c r="F20" s="1059" t="s">
        <v>8</v>
      </c>
      <c r="G20" s="1061">
        <v>64</v>
      </c>
      <c r="H20" s="1062" t="s">
        <v>109</v>
      </c>
      <c r="I20" s="1062" t="s">
        <v>51</v>
      </c>
      <c r="J20" s="1063" t="s">
        <v>80</v>
      </c>
      <c r="K20" s="804" t="s">
        <v>81</v>
      </c>
      <c r="L20" s="353"/>
      <c r="M20" s="1073">
        <v>43845</v>
      </c>
      <c r="N20" s="1074">
        <v>64</v>
      </c>
      <c r="O20" s="1075" t="s">
        <v>110</v>
      </c>
      <c r="P20" s="1076" t="s">
        <v>111</v>
      </c>
      <c r="Q20" s="1077">
        <v>40</v>
      </c>
      <c r="R20" s="1075" t="s">
        <v>50</v>
      </c>
      <c r="S20" s="1035" t="s">
        <v>107</v>
      </c>
      <c r="T20" s="1068">
        <f>COUNTIF(D:D,N20)+COUNTIF(Fev!D:D,N20)</f>
        <v>4</v>
      </c>
      <c r="U20" s="341"/>
      <c r="V20" s="360"/>
      <c r="W20" s="360"/>
      <c r="X20" s="360"/>
      <c r="Y20" s="360"/>
      <c r="Z20" s="360"/>
      <c r="AA20" s="360"/>
      <c r="AB20" s="360"/>
      <c r="AC20" s="360"/>
      <c r="AD20" s="360"/>
      <c r="AE20" s="360"/>
      <c r="AF20" s="360"/>
      <c r="AG20" s="360"/>
      <c r="AH20" s="360"/>
      <c r="AI20" s="360"/>
      <c r="AJ20" s="488"/>
      <c r="AK20" s="360"/>
      <c r="AL20" s="360"/>
      <c r="AM20" s="360"/>
    </row>
    <row r="21" spans="1:39" ht="16.5" thickBot="1">
      <c r="A21" s="321"/>
      <c r="B21" s="339"/>
      <c r="C21" s="1058">
        <v>43845</v>
      </c>
      <c r="D21" s="1059">
        <v>1</v>
      </c>
      <c r="E21" s="1071" t="s">
        <v>112</v>
      </c>
      <c r="F21" s="1059" t="s">
        <v>8</v>
      </c>
      <c r="G21" s="1061">
        <v>64</v>
      </c>
      <c r="H21" s="1062" t="s">
        <v>88</v>
      </c>
      <c r="I21" s="1062" t="s">
        <v>51</v>
      </c>
      <c r="J21" s="1063" t="s">
        <v>80</v>
      </c>
      <c r="K21" s="804" t="s">
        <v>81</v>
      </c>
      <c r="L21" s="353"/>
      <c r="M21" s="1073">
        <v>43859</v>
      </c>
      <c r="N21" s="1074">
        <v>65</v>
      </c>
      <c r="O21" s="1075" t="s">
        <v>113</v>
      </c>
      <c r="P21" s="1076" t="s">
        <v>114</v>
      </c>
      <c r="Q21" s="1077">
        <v>40</v>
      </c>
      <c r="R21" s="1075" t="s">
        <v>47</v>
      </c>
      <c r="S21" s="1035" t="s">
        <v>107</v>
      </c>
      <c r="T21" s="1068">
        <f>COUNTIF(D:D,N21)+COUNTIF(Fev!D:D,N21)</f>
        <v>1</v>
      </c>
      <c r="U21" s="341"/>
      <c r="V21" s="321"/>
      <c r="X21" s="321"/>
      <c r="Y21" s="321"/>
      <c r="Z21" s="321"/>
      <c r="AA21" s="321"/>
      <c r="AB21" s="321"/>
      <c r="AC21" s="321"/>
      <c r="AD21" s="321"/>
      <c r="AE21" s="321"/>
      <c r="AF21" s="321"/>
      <c r="AG21" s="321"/>
      <c r="AH21" s="321"/>
      <c r="AI21" s="321"/>
      <c r="AJ21" s="446"/>
      <c r="AK21" s="321"/>
      <c r="AL21" s="321"/>
      <c r="AM21" s="321"/>
    </row>
    <row r="22" spans="1:39" s="365" customFormat="1">
      <c r="A22" s="363"/>
      <c r="B22" s="364"/>
      <c r="C22" s="1058">
        <v>43845</v>
      </c>
      <c r="D22" s="1059">
        <v>2</v>
      </c>
      <c r="E22" s="1071" t="s">
        <v>115</v>
      </c>
      <c r="F22" s="1059" t="s">
        <v>9</v>
      </c>
      <c r="G22" s="1061">
        <v>64</v>
      </c>
      <c r="H22" s="1062" t="s">
        <v>116</v>
      </c>
      <c r="I22" s="1062" t="s">
        <v>51</v>
      </c>
      <c r="J22" s="1063" t="s">
        <v>80</v>
      </c>
      <c r="K22" s="804" t="s">
        <v>96</v>
      </c>
      <c r="L22" s="353"/>
      <c r="M22" s="707"/>
      <c r="N22" s="712"/>
      <c r="O22" s="713"/>
      <c r="P22" s="373"/>
      <c r="Q22" s="373"/>
      <c r="R22" s="353"/>
      <c r="S22" s="532"/>
      <c r="T22" s="378"/>
      <c r="U22" s="341"/>
      <c r="V22" s="363"/>
      <c r="W22" s="363"/>
      <c r="X22" s="363"/>
      <c r="Y22" s="363"/>
      <c r="Z22" s="363"/>
      <c r="AA22" s="363"/>
      <c r="AB22" s="363"/>
      <c r="AC22" s="363"/>
      <c r="AD22" s="363"/>
      <c r="AE22" s="363"/>
      <c r="AF22" s="363"/>
      <c r="AG22" s="363"/>
      <c r="AH22" s="363"/>
      <c r="AI22" s="363"/>
      <c r="AJ22" s="539"/>
      <c r="AK22" s="363"/>
      <c r="AL22" s="363"/>
      <c r="AM22" s="363"/>
    </row>
    <row r="23" spans="1:39" s="362" customFormat="1">
      <c r="A23" s="360"/>
      <c r="B23" s="361"/>
      <c r="C23" s="1058">
        <v>43845</v>
      </c>
      <c r="D23" s="1059">
        <v>2</v>
      </c>
      <c r="E23" s="1071" t="s">
        <v>117</v>
      </c>
      <c r="F23" s="1059" t="s">
        <v>9</v>
      </c>
      <c r="G23" s="1061">
        <v>64</v>
      </c>
      <c r="H23" s="1078" t="s">
        <v>118</v>
      </c>
      <c r="I23" s="1062" t="s">
        <v>51</v>
      </c>
      <c r="J23" s="1063" t="s">
        <v>80</v>
      </c>
      <c r="K23" s="804" t="s">
        <v>96</v>
      </c>
      <c r="L23" s="358"/>
      <c r="M23" s="707"/>
      <c r="N23" s="712"/>
      <c r="O23" s="714"/>
      <c r="P23" s="373"/>
      <c r="Q23" s="373"/>
      <c r="R23" s="353"/>
      <c r="S23" s="496"/>
      <c r="T23" s="378"/>
      <c r="U23" s="341"/>
      <c r="V23" s="360"/>
      <c r="W23" s="360"/>
      <c r="X23" s="360"/>
      <c r="Y23" s="360"/>
      <c r="Z23" s="360"/>
      <c r="AA23" s="360"/>
      <c r="AB23" s="360"/>
      <c r="AC23" s="360"/>
      <c r="AD23" s="360"/>
      <c r="AE23" s="360"/>
      <c r="AF23" s="360"/>
      <c r="AG23" s="360"/>
      <c r="AH23" s="360"/>
      <c r="AI23" s="360"/>
      <c r="AJ23" s="488"/>
      <c r="AK23" s="360"/>
      <c r="AL23" s="360"/>
      <c r="AM23" s="360"/>
    </row>
    <row r="24" spans="1:39" s="362" customFormat="1">
      <c r="A24" s="360"/>
      <c r="B24" s="361"/>
      <c r="C24" s="1058">
        <v>43845</v>
      </c>
      <c r="D24" s="1059">
        <v>1</v>
      </c>
      <c r="E24" s="1079" t="s">
        <v>119</v>
      </c>
      <c r="F24" s="1059" t="s">
        <v>8</v>
      </c>
      <c r="G24" s="1061">
        <v>64</v>
      </c>
      <c r="H24" s="1062" t="s">
        <v>88</v>
      </c>
      <c r="I24" s="1062" t="s">
        <v>52</v>
      </c>
      <c r="J24" s="1063" t="s">
        <v>80</v>
      </c>
      <c r="K24" s="804" t="s">
        <v>81</v>
      </c>
      <c r="L24" s="370"/>
      <c r="U24" s="341"/>
      <c r="V24" s="360"/>
      <c r="W24" s="360"/>
      <c r="X24" s="360"/>
      <c r="Y24" s="360"/>
      <c r="Z24" s="360"/>
      <c r="AA24" s="360"/>
      <c r="AB24" s="360"/>
      <c r="AC24" s="360"/>
      <c r="AD24" s="360"/>
      <c r="AE24" s="360"/>
      <c r="AF24" s="360"/>
      <c r="AG24" s="360"/>
      <c r="AH24" s="360"/>
      <c r="AI24" s="360"/>
      <c r="AJ24" s="488"/>
      <c r="AK24" s="360"/>
      <c r="AL24" s="360"/>
      <c r="AM24" s="360"/>
    </row>
    <row r="25" spans="1:39">
      <c r="A25" s="321"/>
      <c r="B25" s="339"/>
      <c r="C25" s="1058">
        <v>43845</v>
      </c>
      <c r="D25" s="1061">
        <v>1</v>
      </c>
      <c r="E25" s="1071" t="s">
        <v>112</v>
      </c>
      <c r="F25" s="1059" t="s">
        <v>9</v>
      </c>
      <c r="G25" s="1061">
        <v>64</v>
      </c>
      <c r="H25" s="1062" t="s">
        <v>118</v>
      </c>
      <c r="I25" s="1062" t="s">
        <v>51</v>
      </c>
      <c r="J25" s="1063" t="s">
        <v>80</v>
      </c>
      <c r="K25" s="804" t="s">
        <v>96</v>
      </c>
      <c r="L25" s="370"/>
      <c r="M25" s="369"/>
      <c r="N25" s="369"/>
      <c r="O25" s="346"/>
      <c r="P25" s="346"/>
      <c r="Q25" s="346"/>
      <c r="R25" s="346"/>
      <c r="S25" s="346"/>
      <c r="T25" s="346"/>
      <c r="U25" s="341"/>
      <c r="V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1"/>
      <c r="AI25" s="321"/>
      <c r="AJ25" s="446"/>
      <c r="AK25" s="321"/>
      <c r="AL25" s="321"/>
      <c r="AM25" s="321"/>
    </row>
    <row r="26" spans="1:39">
      <c r="A26" s="321"/>
      <c r="B26" s="339"/>
      <c r="C26" s="1058">
        <v>43841</v>
      </c>
      <c r="D26" s="1061"/>
      <c r="E26" s="1078" t="s">
        <v>120</v>
      </c>
      <c r="F26" s="1059" t="s">
        <v>8</v>
      </c>
      <c r="G26" s="1061">
        <v>64</v>
      </c>
      <c r="H26" s="1062" t="s">
        <v>88</v>
      </c>
      <c r="I26" s="1062" t="s">
        <v>50</v>
      </c>
      <c r="J26" s="1080" t="s">
        <v>92</v>
      </c>
      <c r="K26" s="804" t="s">
        <v>81</v>
      </c>
      <c r="L26" s="370"/>
      <c r="U26" s="341"/>
      <c r="V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446"/>
      <c r="AK26" s="321"/>
      <c r="AL26" s="321"/>
      <c r="AM26" s="321"/>
    </row>
    <row r="27" spans="1:39">
      <c r="A27" s="321"/>
      <c r="B27" s="339"/>
      <c r="C27" s="1058">
        <v>43850</v>
      </c>
      <c r="D27" s="1061"/>
      <c r="E27" s="1078" t="s">
        <v>121</v>
      </c>
      <c r="F27" s="1059" t="s">
        <v>8</v>
      </c>
      <c r="G27" s="1061">
        <v>64</v>
      </c>
      <c r="H27" s="1062" t="s">
        <v>88</v>
      </c>
      <c r="I27" s="1062" t="s">
        <v>49</v>
      </c>
      <c r="J27" s="1063" t="s">
        <v>80</v>
      </c>
      <c r="K27" s="804" t="s">
        <v>81</v>
      </c>
      <c r="L27" s="358"/>
      <c r="M27" s="346"/>
      <c r="N27" s="346"/>
      <c r="O27" s="346"/>
      <c r="P27" s="346"/>
      <c r="Q27" s="346"/>
      <c r="R27" s="346"/>
      <c r="S27" s="346"/>
      <c r="T27" s="346"/>
      <c r="U27" s="341"/>
      <c r="V27" s="321"/>
      <c r="X27" s="321"/>
      <c r="Y27" s="321"/>
      <c r="Z27" s="321"/>
      <c r="AA27" s="321"/>
      <c r="AB27" s="321"/>
      <c r="AC27" s="321"/>
      <c r="AD27" s="321"/>
      <c r="AE27" s="321"/>
      <c r="AF27" s="321"/>
      <c r="AG27" s="321"/>
      <c r="AH27" s="321"/>
      <c r="AI27" s="321"/>
      <c r="AJ27" s="446"/>
      <c r="AK27" s="321"/>
      <c r="AL27" s="321"/>
      <c r="AM27" s="321"/>
    </row>
    <row r="28" spans="1:39" s="362" customFormat="1">
      <c r="A28" s="360"/>
      <c r="B28" s="361"/>
      <c r="C28" s="1058">
        <v>43850</v>
      </c>
      <c r="D28" s="1061"/>
      <c r="E28" s="1078" t="s">
        <v>121</v>
      </c>
      <c r="F28" s="1059" t="s">
        <v>9</v>
      </c>
      <c r="G28" s="1061">
        <v>64</v>
      </c>
      <c r="H28" s="1062" t="s">
        <v>118</v>
      </c>
      <c r="I28" s="1062" t="s">
        <v>49</v>
      </c>
      <c r="J28" s="1063" t="s">
        <v>80</v>
      </c>
      <c r="K28" s="804" t="s">
        <v>96</v>
      </c>
      <c r="L28" s="370"/>
      <c r="M28" s="346"/>
      <c r="N28" s="346"/>
      <c r="O28" s="346"/>
      <c r="P28" s="346"/>
      <c r="Q28" s="346"/>
      <c r="R28" s="369"/>
      <c r="S28" s="346"/>
      <c r="T28" s="346"/>
      <c r="U28" s="372"/>
      <c r="V28" s="360"/>
      <c r="W28" s="360"/>
      <c r="X28" s="360"/>
      <c r="Y28" s="360"/>
      <c r="Z28" s="360"/>
      <c r="AA28" s="360"/>
      <c r="AB28" s="360"/>
      <c r="AC28" s="360"/>
      <c r="AD28" s="360"/>
      <c r="AE28" s="360"/>
      <c r="AF28" s="360"/>
      <c r="AG28" s="360"/>
      <c r="AH28" s="360"/>
      <c r="AI28" s="360"/>
      <c r="AJ28" s="488"/>
      <c r="AK28" s="360"/>
      <c r="AL28" s="360"/>
      <c r="AM28" s="360"/>
    </row>
    <row r="29" spans="1:39" s="362" customFormat="1">
      <c r="A29" s="360"/>
      <c r="B29" s="361"/>
      <c r="C29" s="1058">
        <v>43852</v>
      </c>
      <c r="D29" s="1061"/>
      <c r="E29" s="1060" t="s">
        <v>122</v>
      </c>
      <c r="F29" s="1059" t="s">
        <v>8</v>
      </c>
      <c r="G29" s="1061">
        <v>64</v>
      </c>
      <c r="H29" s="1062" t="s">
        <v>123</v>
      </c>
      <c r="I29" s="1062" t="s">
        <v>53</v>
      </c>
      <c r="J29" s="1063" t="s">
        <v>80</v>
      </c>
      <c r="K29" s="804" t="s">
        <v>81</v>
      </c>
      <c r="L29" s="370"/>
      <c r="M29" s="346"/>
      <c r="N29" s="346"/>
      <c r="O29" s="346"/>
      <c r="P29" s="346"/>
      <c r="Q29" s="346"/>
      <c r="R29" s="369"/>
      <c r="S29" s="346"/>
      <c r="T29" s="346"/>
      <c r="U29" s="372"/>
      <c r="V29" s="360"/>
      <c r="W29" s="360"/>
      <c r="X29" s="360"/>
      <c r="Y29" s="360"/>
      <c r="Z29" s="360"/>
      <c r="AA29" s="360"/>
      <c r="AB29" s="360"/>
      <c r="AC29" s="360"/>
      <c r="AD29" s="360"/>
      <c r="AE29" s="360"/>
      <c r="AF29" s="360"/>
      <c r="AG29" s="360"/>
      <c r="AH29" s="360"/>
      <c r="AI29" s="360"/>
      <c r="AJ29" s="488"/>
      <c r="AK29" s="360"/>
      <c r="AL29" s="360"/>
      <c r="AM29" s="360"/>
    </row>
    <row r="30" spans="1:39" s="362" customFormat="1">
      <c r="A30" s="360"/>
      <c r="B30" s="361"/>
      <c r="C30" s="1058">
        <v>43853</v>
      </c>
      <c r="D30" s="1061">
        <v>64</v>
      </c>
      <c r="E30" s="1078" t="s">
        <v>124</v>
      </c>
      <c r="F30" s="1059" t="s">
        <v>8</v>
      </c>
      <c r="G30" s="1061">
        <v>40</v>
      </c>
      <c r="H30" s="1062" t="s">
        <v>85</v>
      </c>
      <c r="I30" s="1062" t="s">
        <v>53</v>
      </c>
      <c r="J30" s="1063" t="s">
        <v>80</v>
      </c>
      <c r="K30" s="804" t="s">
        <v>81</v>
      </c>
      <c r="L30" s="370"/>
      <c r="M30" s="373"/>
      <c r="N30" s="369"/>
      <c r="O30" s="369"/>
      <c r="P30" s="369"/>
      <c r="Q30" s="369"/>
      <c r="R30" s="369"/>
      <c r="S30" s="369"/>
      <c r="T30" s="369"/>
      <c r="U30" s="372"/>
      <c r="V30" s="360"/>
      <c r="W30" s="360"/>
      <c r="X30" s="360"/>
      <c r="Y30" s="360"/>
      <c r="Z30" s="360"/>
      <c r="AA30" s="360"/>
      <c r="AB30" s="360"/>
      <c r="AC30" s="360"/>
      <c r="AD30" s="360"/>
      <c r="AE30" s="360"/>
      <c r="AF30" s="360"/>
      <c r="AG30" s="360"/>
      <c r="AH30" s="360"/>
      <c r="AI30" s="360"/>
      <c r="AJ30" s="488"/>
      <c r="AK30" s="360"/>
      <c r="AL30" s="360"/>
      <c r="AM30" s="360"/>
    </row>
    <row r="31" spans="1:39">
      <c r="A31" s="321"/>
      <c r="B31" s="339"/>
      <c r="C31" s="1058">
        <v>43854</v>
      </c>
      <c r="D31" s="1061">
        <v>64</v>
      </c>
      <c r="E31" s="1078" t="s">
        <v>125</v>
      </c>
      <c r="F31" s="1059" t="s">
        <v>9</v>
      </c>
      <c r="G31" s="1061">
        <v>40</v>
      </c>
      <c r="H31" s="1062" t="s">
        <v>118</v>
      </c>
      <c r="I31" s="1062" t="s">
        <v>53</v>
      </c>
      <c r="J31" s="1063" t="s">
        <v>80</v>
      </c>
      <c r="K31" s="804" t="s">
        <v>96</v>
      </c>
      <c r="L31" s="370"/>
      <c r="M31" s="346"/>
      <c r="N31" s="346"/>
      <c r="O31" s="346"/>
      <c r="P31" s="346"/>
      <c r="Q31" s="346"/>
      <c r="R31" s="369"/>
      <c r="S31" s="346"/>
      <c r="T31" s="976"/>
      <c r="U31" s="341"/>
      <c r="V31" s="321"/>
      <c r="X31" s="321"/>
      <c r="Y31" s="321"/>
      <c r="Z31" s="321"/>
      <c r="AA31" s="321"/>
      <c r="AB31" s="321"/>
      <c r="AC31" s="321"/>
      <c r="AD31" s="321"/>
      <c r="AE31" s="321"/>
      <c r="AF31" s="321"/>
      <c r="AG31" s="321"/>
      <c r="AH31" s="321"/>
      <c r="AI31" s="321"/>
      <c r="AJ31" s="446"/>
      <c r="AK31" s="321"/>
      <c r="AL31" s="321"/>
      <c r="AM31" s="321"/>
    </row>
    <row r="32" spans="1:39" s="362" customFormat="1" ht="16.5" thickBot="1">
      <c r="A32" s="360"/>
      <c r="B32" s="361"/>
      <c r="C32" s="1058">
        <v>43853</v>
      </c>
      <c r="D32" s="1059">
        <v>64</v>
      </c>
      <c r="E32" s="1078" t="s">
        <v>124</v>
      </c>
      <c r="F32" s="1059" t="s">
        <v>9</v>
      </c>
      <c r="G32" s="1061">
        <v>40</v>
      </c>
      <c r="H32" s="1062" t="s">
        <v>118</v>
      </c>
      <c r="I32" s="1062" t="s">
        <v>53</v>
      </c>
      <c r="J32" s="1063" t="s">
        <v>80</v>
      </c>
      <c r="K32" s="804" t="s">
        <v>96</v>
      </c>
      <c r="L32" s="370"/>
      <c r="M32" s="373"/>
      <c r="N32" s="369"/>
      <c r="O32" s="369"/>
      <c r="P32" s="369"/>
      <c r="Q32" s="369"/>
      <c r="R32" s="369"/>
      <c r="S32" s="369"/>
      <c r="T32" s="369"/>
      <c r="U32" s="372"/>
      <c r="V32" s="360"/>
      <c r="W32" s="360"/>
      <c r="X32" s="360"/>
      <c r="Y32" s="360"/>
      <c r="Z32" s="360"/>
      <c r="AA32" s="360"/>
      <c r="AB32" s="360"/>
      <c r="AC32" s="360"/>
      <c r="AD32" s="360"/>
      <c r="AE32" s="360"/>
      <c r="AF32" s="360"/>
      <c r="AG32" s="360"/>
      <c r="AH32" s="360"/>
      <c r="AI32" s="360"/>
      <c r="AJ32" s="488"/>
      <c r="AK32" s="360"/>
      <c r="AL32" s="360"/>
      <c r="AM32" s="360"/>
    </row>
    <row r="33" spans="1:39">
      <c r="A33" s="321"/>
      <c r="B33" s="339"/>
      <c r="C33" s="1081">
        <v>43857</v>
      </c>
      <c r="D33" s="1059">
        <v>64</v>
      </c>
      <c r="E33" s="1078" t="s">
        <v>125</v>
      </c>
      <c r="F33" s="1059" t="s">
        <v>8</v>
      </c>
      <c r="G33" s="1061">
        <v>40</v>
      </c>
      <c r="H33" s="1078" t="s">
        <v>85</v>
      </c>
      <c r="I33" s="1062" t="s">
        <v>53</v>
      </c>
      <c r="J33" s="1063" t="s">
        <v>80</v>
      </c>
      <c r="K33" s="804" t="s">
        <v>81</v>
      </c>
      <c r="L33" s="358"/>
      <c r="M33" s="1036" t="s">
        <v>126</v>
      </c>
      <c r="N33" s="559"/>
      <c r="O33" s="346"/>
      <c r="P33" s="346"/>
      <c r="Q33" s="346"/>
      <c r="R33" s="346"/>
      <c r="S33" s="346"/>
      <c r="T33" s="346"/>
      <c r="U33" s="341"/>
      <c r="V33" s="321"/>
      <c r="X33" s="321"/>
      <c r="Y33" s="321"/>
      <c r="Z33" s="321"/>
      <c r="AA33" s="321"/>
      <c r="AB33" s="321"/>
      <c r="AC33" s="321"/>
      <c r="AD33" s="321"/>
      <c r="AE33" s="321"/>
      <c r="AF33" s="321"/>
      <c r="AG33" s="321"/>
      <c r="AH33" s="321"/>
      <c r="AI33" s="321"/>
      <c r="AJ33" s="446"/>
      <c r="AK33" s="321"/>
      <c r="AL33" s="321"/>
      <c r="AM33" s="321"/>
    </row>
    <row r="34" spans="1:39" s="362" customFormat="1">
      <c r="A34" s="360"/>
      <c r="B34" s="361"/>
      <c r="C34" s="1058">
        <v>43860</v>
      </c>
      <c r="D34" s="1059"/>
      <c r="E34" s="1062" t="s">
        <v>127</v>
      </c>
      <c r="F34" s="1059" t="s">
        <v>8</v>
      </c>
      <c r="G34" s="1061">
        <v>40</v>
      </c>
      <c r="H34" s="1071" t="s">
        <v>85</v>
      </c>
      <c r="I34" s="1062" t="s">
        <v>52</v>
      </c>
      <c r="J34" s="1063" t="s">
        <v>80</v>
      </c>
      <c r="K34" s="804" t="s">
        <v>81</v>
      </c>
      <c r="L34" s="358"/>
      <c r="M34" s="490" t="s">
        <v>128</v>
      </c>
      <c r="N34" s="450">
        <f>SUM(N35:N37)</f>
        <v>28</v>
      </c>
      <c r="O34" s="346"/>
      <c r="P34" s="346"/>
      <c r="Q34" s="346"/>
      <c r="R34" s="346"/>
      <c r="S34" s="346"/>
      <c r="T34" s="346"/>
      <c r="U34" s="372"/>
      <c r="V34" s="360"/>
      <c r="W34" s="360"/>
      <c r="X34" s="360"/>
      <c r="Y34" s="360"/>
      <c r="Z34" s="360"/>
      <c r="AA34" s="360"/>
      <c r="AB34" s="360"/>
      <c r="AC34" s="360"/>
      <c r="AD34" s="360"/>
      <c r="AE34" s="360"/>
      <c r="AF34" s="360"/>
      <c r="AG34" s="360"/>
      <c r="AH34" s="360"/>
      <c r="AI34" s="360"/>
      <c r="AJ34" s="488"/>
      <c r="AK34" s="360"/>
      <c r="AL34" s="360"/>
      <c r="AM34" s="360"/>
    </row>
    <row r="35" spans="1:39" s="362" customFormat="1">
      <c r="A35" s="360"/>
      <c r="B35" s="361"/>
      <c r="C35" s="1081">
        <v>43860</v>
      </c>
      <c r="D35" s="1059"/>
      <c r="E35" s="1062" t="s">
        <v>127</v>
      </c>
      <c r="F35" s="1059" t="s">
        <v>9</v>
      </c>
      <c r="G35" s="1061">
        <v>40</v>
      </c>
      <c r="H35" s="1078" t="s">
        <v>118</v>
      </c>
      <c r="I35" s="1062" t="s">
        <v>52</v>
      </c>
      <c r="J35" s="1063" t="s">
        <v>80</v>
      </c>
      <c r="K35" s="804" t="s">
        <v>96</v>
      </c>
      <c r="L35" s="358"/>
      <c r="M35" s="491" t="s">
        <v>129</v>
      </c>
      <c r="N35" s="450">
        <f>COUNTIF(G$1:G220,40)</f>
        <v>9</v>
      </c>
      <c r="O35" s="346"/>
      <c r="P35" s="346"/>
      <c r="Q35" s="346"/>
      <c r="R35" s="346"/>
      <c r="S35" s="346"/>
      <c r="T35" s="346"/>
      <c r="U35" s="372"/>
      <c r="V35" s="360"/>
      <c r="W35" s="360"/>
      <c r="X35" s="360"/>
      <c r="Y35" s="360"/>
      <c r="Z35" s="360"/>
      <c r="AA35" s="360"/>
      <c r="AB35" s="360"/>
      <c r="AC35" s="360"/>
      <c r="AD35" s="360"/>
      <c r="AE35" s="360"/>
      <c r="AF35" s="360"/>
      <c r="AG35" s="360"/>
      <c r="AH35" s="360"/>
      <c r="AI35" s="360"/>
      <c r="AJ35" s="488"/>
      <c r="AK35" s="360"/>
      <c r="AL35" s="360"/>
      <c r="AM35" s="360"/>
    </row>
    <row r="36" spans="1:39" s="362" customFormat="1">
      <c r="A36" s="360"/>
      <c r="B36" s="361"/>
      <c r="C36" s="1082">
        <v>43861</v>
      </c>
      <c r="D36" s="1083">
        <v>65</v>
      </c>
      <c r="E36" s="1084" t="s">
        <v>130</v>
      </c>
      <c r="F36" s="1083" t="s">
        <v>9</v>
      </c>
      <c r="G36" s="1085">
        <v>40</v>
      </c>
      <c r="H36" s="1086" t="s">
        <v>131</v>
      </c>
      <c r="I36" s="1084" t="s">
        <v>47</v>
      </c>
      <c r="J36" s="1087" t="s">
        <v>80</v>
      </c>
      <c r="K36" s="804" t="s">
        <v>96</v>
      </c>
      <c r="L36" s="358"/>
      <c r="M36" s="491" t="s">
        <v>132</v>
      </c>
      <c r="N36" s="450">
        <f>COUNTIF(G$1:G220,65)</f>
        <v>8</v>
      </c>
      <c r="O36" s="346"/>
      <c r="P36" s="346"/>
      <c r="Q36" s="346"/>
      <c r="R36" s="346"/>
      <c r="S36" s="346"/>
      <c r="T36" s="346"/>
      <c r="U36" s="372"/>
      <c r="V36" s="360"/>
      <c r="W36" s="360"/>
      <c r="X36" s="360"/>
      <c r="Y36" s="360"/>
      <c r="Z36" s="360"/>
      <c r="AA36" s="360"/>
      <c r="AB36" s="360"/>
      <c r="AC36" s="360"/>
      <c r="AD36" s="360"/>
      <c r="AE36" s="360"/>
      <c r="AF36" s="360"/>
      <c r="AG36" s="360"/>
      <c r="AH36" s="360"/>
      <c r="AI36" s="360"/>
      <c r="AJ36" s="488"/>
      <c r="AK36" s="360"/>
      <c r="AL36" s="360"/>
      <c r="AM36" s="360"/>
    </row>
    <row r="37" spans="1:39" s="362" customFormat="1" ht="16.5" customHeight="1" thickBot="1">
      <c r="A37" s="360"/>
      <c r="B37" s="361"/>
      <c r="C37" s="1081">
        <v>43841</v>
      </c>
      <c r="D37" s="1059"/>
      <c r="E37" s="1072" t="s">
        <v>133</v>
      </c>
      <c r="F37" s="1059" t="s">
        <v>8</v>
      </c>
      <c r="G37" s="1061">
        <v>40</v>
      </c>
      <c r="H37" s="1078" t="s">
        <v>85</v>
      </c>
      <c r="I37" s="1062" t="s">
        <v>53</v>
      </c>
      <c r="J37" s="1063" t="s">
        <v>80</v>
      </c>
      <c r="K37" s="804" t="s">
        <v>96</v>
      </c>
      <c r="L37" s="358"/>
      <c r="M37" s="492" t="s">
        <v>134</v>
      </c>
      <c r="N37" s="456">
        <f>COUNTIF(G$1:G220,64)</f>
        <v>11</v>
      </c>
      <c r="O37" s="346"/>
      <c r="P37" s="346"/>
      <c r="Q37" s="346"/>
      <c r="R37" s="346"/>
      <c r="S37" s="346"/>
      <c r="T37" s="346"/>
      <c r="U37" s="372"/>
      <c r="V37" s="360"/>
      <c r="W37" s="360"/>
      <c r="X37" s="360"/>
      <c r="Y37" s="360"/>
      <c r="Z37" s="360"/>
      <c r="AA37" s="360"/>
      <c r="AB37" s="360"/>
      <c r="AC37" s="360"/>
      <c r="AD37" s="360"/>
      <c r="AE37" s="360"/>
      <c r="AF37" s="360"/>
      <c r="AG37" s="360"/>
      <c r="AH37" s="360"/>
      <c r="AI37" s="360"/>
      <c r="AJ37" s="488"/>
      <c r="AK37" s="360"/>
      <c r="AL37" s="360"/>
      <c r="AM37" s="360"/>
    </row>
    <row r="38" spans="1:39" s="362" customFormat="1" ht="16.5" thickBot="1">
      <c r="A38" s="360"/>
      <c r="B38" s="361"/>
      <c r="C38" s="1088">
        <v>43833</v>
      </c>
      <c r="D38" s="1089">
        <v>157</v>
      </c>
      <c r="E38" s="1090" t="s">
        <v>135</v>
      </c>
      <c r="F38" s="1089" t="s">
        <v>9</v>
      </c>
      <c r="G38" s="1091">
        <v>65</v>
      </c>
      <c r="H38" s="1092" t="s">
        <v>91</v>
      </c>
      <c r="I38" s="1093" t="s">
        <v>47</v>
      </c>
      <c r="J38" s="1094" t="s">
        <v>80</v>
      </c>
      <c r="K38" s="805" t="s">
        <v>96</v>
      </c>
      <c r="L38" s="358"/>
      <c r="M38" s="373"/>
      <c r="N38" s="374"/>
      <c r="O38" s="346"/>
      <c r="P38" s="346"/>
      <c r="Q38" s="346"/>
      <c r="R38" s="346"/>
      <c r="S38" s="346"/>
      <c r="T38" s="346"/>
      <c r="U38" s="372"/>
      <c r="V38" s="360"/>
      <c r="W38" s="360"/>
      <c r="X38" s="360"/>
      <c r="Y38" s="360"/>
      <c r="Z38" s="360"/>
      <c r="AA38" s="360"/>
      <c r="AB38" s="360"/>
      <c r="AC38" s="360"/>
      <c r="AD38" s="360"/>
      <c r="AE38" s="360"/>
      <c r="AF38" s="360"/>
      <c r="AG38" s="360"/>
      <c r="AH38" s="360"/>
      <c r="AI38" s="360"/>
      <c r="AJ38" s="488"/>
      <c r="AK38" s="360"/>
      <c r="AL38" s="360"/>
      <c r="AM38" s="360"/>
    </row>
    <row r="39" spans="1:39" s="362" customFormat="1">
      <c r="A39" s="360"/>
      <c r="B39" s="361"/>
      <c r="C39" s="705"/>
      <c r="D39" s="706"/>
      <c r="E39" s="380"/>
      <c r="F39" s="706"/>
      <c r="G39" s="378"/>
      <c r="H39" s="359"/>
      <c r="I39" s="346"/>
      <c r="J39" s="1095"/>
      <c r="K39" s="709"/>
      <c r="L39" s="370"/>
      <c r="M39" s="373"/>
      <c r="N39" s="374"/>
      <c r="O39" s="346"/>
      <c r="P39" s="346"/>
      <c r="Q39" s="346"/>
      <c r="R39" s="346"/>
      <c r="S39" s="346"/>
      <c r="T39" s="346"/>
      <c r="U39" s="372"/>
      <c r="V39" s="360"/>
      <c r="W39" s="360"/>
      <c r="X39" s="360"/>
      <c r="Y39" s="360"/>
      <c r="Z39" s="360"/>
      <c r="AA39" s="360"/>
      <c r="AB39" s="360"/>
      <c r="AC39" s="360"/>
      <c r="AD39" s="360"/>
      <c r="AE39" s="360"/>
      <c r="AF39" s="360"/>
      <c r="AG39" s="360"/>
      <c r="AH39" s="360"/>
      <c r="AI39" s="360"/>
      <c r="AJ39" s="488"/>
      <c r="AK39" s="360"/>
      <c r="AL39" s="360"/>
      <c r="AM39" s="360"/>
    </row>
    <row r="40" spans="1:39" s="362" customFormat="1">
      <c r="A40" s="360"/>
      <c r="B40" s="361"/>
      <c r="C40" s="705"/>
      <c r="D40" s="706"/>
      <c r="E40" s="380"/>
      <c r="F40" s="706"/>
      <c r="G40" s="378"/>
      <c r="H40" s="359"/>
      <c r="I40" s="346"/>
      <c r="J40" s="1095"/>
      <c r="K40" s="709"/>
      <c r="L40" s="370"/>
      <c r="M40" s="373"/>
      <c r="N40" s="369"/>
      <c r="O40" s="369"/>
      <c r="P40" s="369"/>
      <c r="Q40" s="369"/>
      <c r="R40" s="369"/>
      <c r="S40" s="369"/>
      <c r="T40" s="369"/>
      <c r="U40" s="372"/>
      <c r="V40" s="360"/>
      <c r="W40" s="360"/>
      <c r="X40" s="360"/>
      <c r="Y40" s="360"/>
      <c r="Z40" s="360"/>
      <c r="AA40" s="360"/>
      <c r="AB40" s="360"/>
      <c r="AC40" s="360"/>
      <c r="AD40" s="360"/>
      <c r="AE40" s="360"/>
      <c r="AF40" s="360"/>
      <c r="AG40" s="360"/>
      <c r="AH40" s="360"/>
      <c r="AI40" s="360"/>
      <c r="AJ40" s="488"/>
      <c r="AK40" s="360"/>
      <c r="AL40" s="360"/>
      <c r="AM40" s="360"/>
    </row>
    <row r="41" spans="1:39">
      <c r="A41" s="321"/>
      <c r="B41" s="339"/>
      <c r="C41" s="705"/>
      <c r="D41" s="706"/>
      <c r="E41" s="380"/>
      <c r="F41" s="706"/>
      <c r="G41" s="378"/>
      <c r="H41" s="359"/>
      <c r="I41" s="346"/>
      <c r="J41" s="1095"/>
      <c r="K41" s="709"/>
      <c r="L41" s="370"/>
      <c r="M41" s="373"/>
      <c r="N41" s="369"/>
      <c r="O41" s="369"/>
      <c r="P41" s="369"/>
      <c r="Q41" s="369"/>
      <c r="R41" s="369"/>
      <c r="S41" s="369"/>
      <c r="T41" s="369"/>
      <c r="U41" s="341"/>
      <c r="V41" s="321"/>
      <c r="X41" s="321"/>
      <c r="Y41" s="321"/>
      <c r="Z41" s="321"/>
      <c r="AA41" s="321"/>
      <c r="AB41" s="321"/>
      <c r="AC41" s="321"/>
      <c r="AD41" s="321"/>
      <c r="AE41" s="321"/>
      <c r="AF41" s="321"/>
      <c r="AG41" s="321"/>
      <c r="AH41" s="321"/>
      <c r="AI41" s="321"/>
      <c r="AJ41" s="446"/>
      <c r="AK41" s="321"/>
      <c r="AL41" s="321"/>
      <c r="AM41" s="321"/>
    </row>
    <row r="42" spans="1:39">
      <c r="A42" s="321"/>
      <c r="B42" s="339"/>
      <c r="C42" s="377"/>
      <c r="D42" s="706"/>
      <c r="E42" s="380"/>
      <c r="F42" s="706"/>
      <c r="G42" s="378"/>
      <c r="H42" s="358"/>
      <c r="I42" s="346"/>
      <c r="J42" s="1095"/>
      <c r="K42" s="1028"/>
      <c r="L42" s="370"/>
      <c r="M42" s="373"/>
      <c r="N42" s="369"/>
      <c r="O42" s="369"/>
      <c r="P42" s="369"/>
      <c r="Q42" s="369"/>
      <c r="R42" s="369"/>
      <c r="S42" s="369"/>
      <c r="T42" s="369"/>
      <c r="U42" s="341"/>
      <c r="V42" s="321"/>
      <c r="X42" s="321"/>
      <c r="Y42" s="321"/>
      <c r="Z42" s="321"/>
      <c r="AA42" s="321"/>
      <c r="AB42" s="321"/>
      <c r="AC42" s="321"/>
      <c r="AD42" s="321"/>
      <c r="AE42" s="321"/>
      <c r="AF42" s="321"/>
      <c r="AG42" s="321"/>
      <c r="AH42" s="321"/>
      <c r="AI42" s="321"/>
      <c r="AJ42" s="446"/>
      <c r="AK42" s="321"/>
      <c r="AL42" s="321"/>
      <c r="AM42" s="321"/>
    </row>
    <row r="43" spans="1:39">
      <c r="A43" s="321"/>
      <c r="B43" s="339"/>
      <c r="C43" s="377"/>
      <c r="D43" s="706"/>
      <c r="E43" s="380"/>
      <c r="F43" s="706"/>
      <c r="G43" s="378"/>
      <c r="H43" s="358"/>
      <c r="I43" s="346"/>
      <c r="J43" s="1095"/>
      <c r="K43" s="1028"/>
      <c r="L43" s="370"/>
      <c r="M43" s="373"/>
      <c r="N43" s="369"/>
      <c r="O43" s="369"/>
      <c r="P43" s="369"/>
      <c r="Q43" s="369"/>
      <c r="R43" s="369"/>
      <c r="S43" s="369"/>
      <c r="T43" s="369"/>
      <c r="U43" s="341"/>
      <c r="V43" s="321"/>
      <c r="X43" s="321"/>
      <c r="Y43" s="321"/>
      <c r="Z43" s="321"/>
      <c r="AA43" s="321"/>
      <c r="AB43" s="321"/>
      <c r="AC43" s="321"/>
      <c r="AD43" s="321"/>
      <c r="AE43" s="321"/>
      <c r="AF43" s="321"/>
      <c r="AG43" s="321"/>
      <c r="AH43" s="321"/>
      <c r="AI43" s="321"/>
      <c r="AJ43" s="446"/>
      <c r="AK43" s="321"/>
      <c r="AL43" s="321"/>
      <c r="AM43" s="321"/>
    </row>
    <row r="44" spans="1:39">
      <c r="A44" s="321"/>
      <c r="B44" s="339"/>
      <c r="C44" s="705"/>
      <c r="D44" s="706"/>
      <c r="E44" s="380"/>
      <c r="F44" s="706"/>
      <c r="G44" s="378"/>
      <c r="H44" s="359"/>
      <c r="I44" s="346"/>
      <c r="J44" s="1095"/>
      <c r="K44" s="710"/>
      <c r="L44" s="375"/>
      <c r="M44" s="373"/>
      <c r="N44" s="346"/>
      <c r="O44" s="346"/>
      <c r="P44" s="346"/>
      <c r="Q44" s="346"/>
      <c r="R44" s="346"/>
      <c r="S44" s="346"/>
      <c r="T44" s="346"/>
      <c r="U44" s="341"/>
      <c r="V44" s="321"/>
      <c r="X44" s="321"/>
      <c r="Y44" s="321"/>
      <c r="Z44" s="321"/>
      <c r="AA44" s="321"/>
      <c r="AB44" s="321"/>
      <c r="AC44" s="321"/>
      <c r="AD44" s="321"/>
      <c r="AE44" s="321"/>
      <c r="AF44" s="321"/>
      <c r="AG44" s="321"/>
      <c r="AH44" s="321"/>
      <c r="AI44" s="321"/>
      <c r="AJ44" s="446"/>
      <c r="AK44" s="321"/>
      <c r="AL44" s="321"/>
      <c r="AM44" s="321"/>
    </row>
    <row r="45" spans="1:39" s="362" customFormat="1">
      <c r="A45" s="360"/>
      <c r="B45" s="361"/>
      <c r="C45" s="377"/>
      <c r="D45" s="706"/>
      <c r="E45" s="359"/>
      <c r="F45" s="706"/>
      <c r="G45" s="378"/>
      <c r="H45" s="358"/>
      <c r="I45" s="346"/>
      <c r="J45" s="1095"/>
      <c r="K45" s="710"/>
      <c r="L45" s="358"/>
      <c r="M45" s="373"/>
      <c r="N45" s="346"/>
      <c r="O45" s="346"/>
      <c r="P45" s="346"/>
      <c r="Q45" s="346"/>
      <c r="R45" s="346"/>
      <c r="S45" s="346"/>
      <c r="T45" s="346"/>
      <c r="U45" s="372"/>
      <c r="V45" s="360"/>
      <c r="W45" s="360"/>
      <c r="X45" s="360"/>
      <c r="Y45" s="360"/>
      <c r="Z45" s="360"/>
      <c r="AA45" s="360"/>
      <c r="AB45" s="360"/>
      <c r="AC45" s="360"/>
      <c r="AD45" s="360"/>
      <c r="AE45" s="360"/>
      <c r="AF45" s="360"/>
      <c r="AG45" s="360"/>
      <c r="AH45" s="360"/>
      <c r="AI45" s="360"/>
      <c r="AJ45" s="488"/>
      <c r="AK45" s="360"/>
      <c r="AL45" s="360"/>
      <c r="AM45" s="360"/>
    </row>
    <row r="46" spans="1:39" s="362" customFormat="1" ht="21.75" customHeight="1">
      <c r="A46" s="360"/>
      <c r="B46" s="361"/>
      <c r="C46" s="707"/>
      <c r="D46" s="706"/>
      <c r="E46" s="346"/>
      <c r="F46" s="706"/>
      <c r="G46" s="378"/>
      <c r="H46" s="353"/>
      <c r="I46" s="346"/>
      <c r="J46" s="1095"/>
      <c r="K46" s="711"/>
      <c r="L46" s="370"/>
      <c r="M46" s="373"/>
      <c r="N46" s="346"/>
      <c r="O46" s="346"/>
      <c r="P46" s="346"/>
      <c r="Q46" s="346"/>
      <c r="R46" s="346"/>
      <c r="S46" s="346"/>
      <c r="T46" s="346"/>
      <c r="U46" s="372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  <c r="AF46" s="360"/>
      <c r="AG46" s="360"/>
      <c r="AH46" s="360"/>
      <c r="AI46" s="360"/>
      <c r="AJ46" s="488"/>
      <c r="AK46" s="360"/>
      <c r="AL46" s="360"/>
      <c r="AM46" s="360"/>
    </row>
    <row r="47" spans="1:39" s="362" customFormat="1">
      <c r="A47" s="360"/>
      <c r="B47" s="361"/>
      <c r="C47" s="377"/>
      <c r="D47" s="706"/>
      <c r="E47" s="380"/>
      <c r="F47" s="706"/>
      <c r="G47" s="378"/>
      <c r="H47" s="358"/>
      <c r="I47" s="346"/>
      <c r="J47" s="1095"/>
      <c r="K47" s="711"/>
      <c r="L47" s="370"/>
      <c r="M47" s="373"/>
      <c r="N47" s="346"/>
      <c r="O47" s="346"/>
      <c r="P47" s="346"/>
      <c r="Q47" s="346"/>
      <c r="R47" s="346"/>
      <c r="S47" s="346"/>
      <c r="T47" s="346"/>
      <c r="U47" s="372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360"/>
      <c r="AJ47" s="488"/>
      <c r="AK47" s="360"/>
      <c r="AL47" s="360"/>
      <c r="AM47" s="360"/>
    </row>
    <row r="48" spans="1:39" s="362" customFormat="1">
      <c r="A48" s="360"/>
      <c r="B48" s="361"/>
      <c r="C48" s="377"/>
      <c r="D48" s="706"/>
      <c r="E48" s="380"/>
      <c r="F48" s="706"/>
      <c r="G48" s="378"/>
      <c r="H48" s="358"/>
      <c r="I48" s="346"/>
      <c r="J48" s="1095"/>
      <c r="K48" s="711"/>
      <c r="L48" s="370"/>
      <c r="M48" s="373"/>
      <c r="N48" s="346"/>
      <c r="O48" s="346"/>
      <c r="P48" s="346"/>
      <c r="Q48" s="346"/>
      <c r="R48" s="346"/>
      <c r="S48" s="346"/>
      <c r="T48" s="346"/>
      <c r="U48" s="372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  <c r="AF48" s="360"/>
      <c r="AG48" s="360"/>
      <c r="AH48" s="360"/>
      <c r="AI48" s="360"/>
      <c r="AJ48" s="488"/>
      <c r="AK48" s="360"/>
      <c r="AL48" s="360"/>
      <c r="AM48" s="360"/>
    </row>
    <row r="49" spans="1:39" s="362" customFormat="1">
      <c r="A49" s="360"/>
      <c r="B49" s="361"/>
      <c r="C49" s="707"/>
      <c r="D49" s="706"/>
      <c r="E49" s="359"/>
      <c r="F49" s="706"/>
      <c r="G49" s="378"/>
      <c r="H49" s="353"/>
      <c r="I49" s="346"/>
      <c r="J49" s="1095"/>
      <c r="K49" s="532"/>
      <c r="L49" s="370"/>
      <c r="M49" s="373"/>
      <c r="N49" s="346"/>
      <c r="O49" s="346"/>
      <c r="P49" s="346"/>
      <c r="Q49" s="346"/>
      <c r="R49" s="346"/>
      <c r="S49" s="346"/>
      <c r="T49" s="346"/>
      <c r="U49" s="372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/>
      <c r="AG49" s="360"/>
      <c r="AH49" s="360"/>
      <c r="AI49" s="360"/>
      <c r="AJ49" s="488"/>
      <c r="AK49" s="360"/>
      <c r="AL49" s="360"/>
      <c r="AM49" s="360"/>
    </row>
    <row r="50" spans="1:39" s="362" customFormat="1">
      <c r="A50" s="360"/>
      <c r="B50" s="361"/>
      <c r="C50" s="377"/>
      <c r="D50" s="706"/>
      <c r="E50" s="359"/>
      <c r="F50" s="706"/>
      <c r="G50" s="378"/>
      <c r="H50" s="358"/>
      <c r="I50" s="346"/>
      <c r="J50" s="1095"/>
      <c r="K50" s="1028"/>
      <c r="L50" s="370"/>
      <c r="M50" s="373"/>
      <c r="N50" s="346"/>
      <c r="O50" s="346"/>
      <c r="P50" s="346"/>
      <c r="Q50" s="346"/>
      <c r="R50" s="346"/>
      <c r="S50" s="346"/>
      <c r="T50" s="346"/>
      <c r="U50" s="372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  <c r="AF50" s="360"/>
      <c r="AG50" s="360"/>
      <c r="AH50" s="360"/>
      <c r="AI50" s="360"/>
      <c r="AJ50" s="488"/>
      <c r="AK50" s="360"/>
      <c r="AL50" s="360"/>
      <c r="AM50" s="360"/>
    </row>
    <row r="51" spans="1:39" s="362" customFormat="1">
      <c r="A51" s="360"/>
      <c r="B51" s="361"/>
      <c r="C51" s="707"/>
      <c r="D51" s="706"/>
      <c r="E51" s="359"/>
      <c r="F51" s="706"/>
      <c r="G51" s="378"/>
      <c r="H51" s="353"/>
      <c r="I51" s="346"/>
      <c r="J51" s="1095"/>
      <c r="K51" s="711"/>
      <c r="L51" s="375"/>
      <c r="M51" s="373"/>
      <c r="N51" s="346"/>
      <c r="O51" s="346"/>
      <c r="P51" s="346"/>
      <c r="Q51" s="346"/>
      <c r="R51" s="346"/>
      <c r="S51" s="346"/>
      <c r="T51" s="346"/>
      <c r="U51" s="372"/>
      <c r="V51" s="327"/>
      <c r="W51" s="458"/>
      <c r="X51" s="484"/>
      <c r="Y51" s="454"/>
      <c r="Z51" s="485"/>
      <c r="AA51" s="1096"/>
      <c r="AB51" s="1096"/>
      <c r="AC51" s="1096"/>
      <c r="AD51" s="1096"/>
      <c r="AE51" s="454"/>
      <c r="AF51" s="454"/>
      <c r="AG51" s="446"/>
      <c r="AH51" s="446"/>
      <c r="AI51" s="488"/>
      <c r="AJ51" s="488"/>
      <c r="AK51" s="360"/>
      <c r="AL51" s="360"/>
      <c r="AM51" s="360"/>
    </row>
    <row r="52" spans="1:39" s="362" customFormat="1">
      <c r="A52" s="360"/>
      <c r="B52" s="361"/>
      <c r="C52" s="707"/>
      <c r="D52" s="706"/>
      <c r="E52" s="359"/>
      <c r="F52" s="706"/>
      <c r="G52" s="378"/>
      <c r="H52" s="358"/>
      <c r="I52" s="346"/>
      <c r="J52" s="1095"/>
      <c r="K52" s="711"/>
      <c r="L52" s="358"/>
      <c r="M52" s="373"/>
      <c r="N52" s="346"/>
      <c r="O52" s="496"/>
      <c r="P52" s="346"/>
      <c r="Q52" s="346"/>
      <c r="R52" s="346"/>
      <c r="S52" s="346"/>
      <c r="T52" s="346"/>
      <c r="U52" s="372"/>
      <c r="V52" s="327"/>
      <c r="W52" s="458"/>
      <c r="X52" s="484"/>
      <c r="Y52" s="454"/>
      <c r="Z52" s="485"/>
      <c r="AA52" s="1096"/>
      <c r="AB52" s="1096"/>
      <c r="AC52" s="1096"/>
      <c r="AD52" s="1096"/>
      <c r="AE52" s="454"/>
      <c r="AF52" s="454"/>
      <c r="AG52" s="446"/>
      <c r="AH52" s="446"/>
      <c r="AI52" s="488"/>
      <c r="AJ52" s="488"/>
      <c r="AK52" s="360"/>
      <c r="AL52" s="360"/>
      <c r="AM52" s="360"/>
    </row>
    <row r="53" spans="1:39" s="362" customFormat="1">
      <c r="A53" s="360"/>
      <c r="B53" s="361"/>
      <c r="C53" s="377"/>
      <c r="D53" s="706"/>
      <c r="E53" s="359"/>
      <c r="F53" s="706"/>
      <c r="G53" s="378"/>
      <c r="H53" s="358"/>
      <c r="I53" s="346"/>
      <c r="J53" s="1095"/>
      <c r="K53" s="711"/>
      <c r="L53" s="358"/>
      <c r="M53" s="373"/>
      <c r="N53" s="369"/>
      <c r="O53" s="346"/>
      <c r="P53" s="346"/>
      <c r="Q53" s="346"/>
      <c r="R53" s="346"/>
      <c r="S53" s="346"/>
      <c r="T53" s="346"/>
      <c r="U53" s="372"/>
      <c r="V53" s="327"/>
      <c r="W53" s="458"/>
      <c r="X53" s="484"/>
      <c r="Y53" s="454"/>
      <c r="Z53" s="485"/>
      <c r="AA53" s="1096"/>
      <c r="AB53" s="1096"/>
      <c r="AC53" s="1096"/>
      <c r="AD53" s="1096"/>
      <c r="AE53" s="454"/>
      <c r="AF53" s="454"/>
      <c r="AG53" s="446"/>
      <c r="AH53" s="446"/>
      <c r="AI53" s="488"/>
      <c r="AJ53" s="488"/>
      <c r="AK53" s="360"/>
      <c r="AL53" s="360"/>
      <c r="AM53" s="360"/>
    </row>
    <row r="54" spans="1:39" s="362" customFormat="1">
      <c r="A54" s="360"/>
      <c r="B54" s="361"/>
      <c r="C54" s="707"/>
      <c r="D54" s="706"/>
      <c r="E54" s="359"/>
      <c r="F54" s="706"/>
      <c r="G54" s="378"/>
      <c r="H54" s="353"/>
      <c r="I54" s="346"/>
      <c r="J54" s="1095"/>
      <c r="K54" s="1028"/>
      <c r="L54" s="358"/>
      <c r="M54" s="373"/>
      <c r="N54" s="369"/>
      <c r="O54" s="346"/>
      <c r="P54" s="346"/>
      <c r="Q54" s="346"/>
      <c r="R54" s="346"/>
      <c r="S54" s="346"/>
      <c r="T54" s="346"/>
      <c r="U54" s="372"/>
      <c r="V54" s="327"/>
      <c r="W54" s="458"/>
      <c r="X54" s="484"/>
      <c r="Y54" s="454"/>
      <c r="Z54" s="485"/>
      <c r="AA54" s="1096"/>
      <c r="AB54" s="1096"/>
      <c r="AC54" s="1096"/>
      <c r="AD54" s="1096"/>
      <c r="AE54" s="454"/>
      <c r="AF54" s="454"/>
      <c r="AG54" s="446"/>
      <c r="AH54" s="446"/>
      <c r="AI54" s="488"/>
      <c r="AJ54" s="488"/>
      <c r="AK54" s="360"/>
      <c r="AL54" s="360"/>
      <c r="AM54" s="360"/>
    </row>
    <row r="55" spans="1:39" s="362" customFormat="1">
      <c r="A55" s="360"/>
      <c r="B55" s="361"/>
      <c r="C55" s="707"/>
      <c r="D55" s="706"/>
      <c r="E55" s="359"/>
      <c r="F55" s="706"/>
      <c r="G55" s="378"/>
      <c r="H55" s="353"/>
      <c r="I55" s="346"/>
      <c r="J55" s="1095"/>
      <c r="K55" s="1028"/>
      <c r="L55" s="358"/>
      <c r="M55" s="373"/>
      <c r="N55" s="369"/>
      <c r="O55" s="346"/>
      <c r="P55" s="346"/>
      <c r="Q55" s="346"/>
      <c r="R55" s="346"/>
      <c r="S55" s="346"/>
      <c r="T55" s="346"/>
      <c r="U55" s="372"/>
      <c r="V55" s="327"/>
      <c r="W55" s="458"/>
      <c r="X55" s="484"/>
      <c r="Y55" s="454"/>
      <c r="Z55" s="485"/>
      <c r="AA55" s="1096"/>
      <c r="AB55" s="1096"/>
      <c r="AC55" s="1096"/>
      <c r="AD55" s="1096"/>
      <c r="AE55" s="454"/>
      <c r="AF55" s="454"/>
      <c r="AG55" s="446"/>
      <c r="AH55" s="446"/>
      <c r="AI55" s="488"/>
      <c r="AJ55" s="488"/>
      <c r="AK55" s="360"/>
      <c r="AL55" s="360"/>
      <c r="AM55" s="360"/>
    </row>
    <row r="56" spans="1:39" s="362" customFormat="1">
      <c r="A56" s="360"/>
      <c r="B56" s="361"/>
      <c r="C56" s="707"/>
      <c r="D56" s="706"/>
      <c r="E56" s="359"/>
      <c r="F56" s="706"/>
      <c r="G56" s="378"/>
      <c r="H56" s="353"/>
      <c r="I56" s="346"/>
      <c r="J56" s="1095"/>
      <c r="K56" s="711"/>
      <c r="L56" s="358"/>
      <c r="M56" s="373"/>
      <c r="N56" s="369"/>
      <c r="O56" s="346"/>
      <c r="P56" s="346"/>
      <c r="Q56" s="346"/>
      <c r="R56" s="346"/>
      <c r="S56" s="346"/>
      <c r="T56" s="346"/>
      <c r="U56" s="372"/>
      <c r="V56" s="327"/>
      <c r="W56" s="458"/>
      <c r="X56" s="484"/>
      <c r="Y56" s="454"/>
      <c r="Z56" s="485"/>
      <c r="AA56" s="1096"/>
      <c r="AB56" s="1096"/>
      <c r="AC56" s="1096"/>
      <c r="AD56" s="1096"/>
      <c r="AE56" s="454"/>
      <c r="AF56" s="454"/>
      <c r="AG56" s="446"/>
      <c r="AH56" s="446"/>
      <c r="AI56" s="488"/>
      <c r="AJ56" s="488"/>
      <c r="AK56" s="360"/>
      <c r="AL56" s="360"/>
      <c r="AM56" s="360"/>
    </row>
    <row r="57" spans="1:39" s="362" customFormat="1">
      <c r="A57" s="360"/>
      <c r="B57" s="361"/>
      <c r="C57" s="377"/>
      <c r="D57" s="706"/>
      <c r="E57" s="359"/>
      <c r="F57" s="706"/>
      <c r="G57" s="378"/>
      <c r="H57" s="359"/>
      <c r="I57" s="346"/>
      <c r="J57" s="1095"/>
      <c r="K57" s="711"/>
      <c r="L57" s="358"/>
      <c r="M57" s="373"/>
      <c r="N57" s="369"/>
      <c r="O57" s="346"/>
      <c r="P57" s="346"/>
      <c r="Q57" s="346"/>
      <c r="R57" s="346"/>
      <c r="S57" s="346"/>
      <c r="T57" s="346"/>
      <c r="U57" s="372"/>
      <c r="V57" s="327"/>
      <c r="W57" s="458"/>
      <c r="X57" s="484"/>
      <c r="Y57" s="454"/>
      <c r="Z57" s="486"/>
      <c r="AA57" s="487"/>
      <c r="AB57" s="487"/>
      <c r="AC57" s="454"/>
      <c r="AD57" s="454"/>
      <c r="AE57" s="454"/>
      <c r="AF57" s="454"/>
      <c r="AG57" s="446"/>
      <c r="AH57" s="446"/>
      <c r="AI57" s="488"/>
      <c r="AJ57" s="488"/>
      <c r="AK57" s="360"/>
      <c r="AL57" s="360"/>
      <c r="AM57" s="360"/>
    </row>
    <row r="58" spans="1:39" s="362" customFormat="1">
      <c r="A58" s="360"/>
      <c r="B58" s="361"/>
      <c r="C58" s="705"/>
      <c r="D58" s="706"/>
      <c r="E58" s="359"/>
      <c r="F58" s="706"/>
      <c r="G58" s="708"/>
      <c r="H58" s="358"/>
      <c r="I58" s="346"/>
      <c r="J58" s="1095"/>
      <c r="K58" s="711"/>
      <c r="L58" s="353"/>
      <c r="M58" s="373"/>
      <c r="N58" s="369"/>
      <c r="O58" s="346"/>
      <c r="P58" s="346"/>
      <c r="Q58" s="346"/>
      <c r="R58" s="346"/>
      <c r="S58" s="346"/>
      <c r="T58" s="346"/>
      <c r="U58" s="372"/>
      <c r="V58" s="327"/>
      <c r="W58" s="458"/>
      <c r="X58" s="484"/>
      <c r="Y58" s="454"/>
      <c r="Z58" s="454"/>
      <c r="AA58" s="454"/>
      <c r="AB58" s="454"/>
      <c r="AC58" s="454"/>
      <c r="AD58" s="454"/>
      <c r="AE58" s="454"/>
      <c r="AF58" s="454"/>
      <c r="AG58" s="446"/>
      <c r="AH58" s="446"/>
      <c r="AI58" s="488"/>
      <c r="AJ58" s="488"/>
      <c r="AK58" s="360"/>
      <c r="AL58" s="360"/>
      <c r="AM58" s="360"/>
    </row>
    <row r="59" spans="1:39" s="362" customFormat="1">
      <c r="A59" s="360"/>
      <c r="B59" s="361"/>
      <c r="C59" s="377"/>
      <c r="D59" s="706"/>
      <c r="E59" s="359"/>
      <c r="F59" s="706"/>
      <c r="G59" s="378"/>
      <c r="H59" s="358"/>
      <c r="I59" s="346"/>
      <c r="J59" s="1095"/>
      <c r="K59" s="1028"/>
      <c r="L59" s="353"/>
      <c r="M59" s="373"/>
      <c r="N59" s="369"/>
      <c r="O59" s="346"/>
      <c r="P59" s="346"/>
      <c r="Q59" s="346"/>
      <c r="R59" s="346"/>
      <c r="S59" s="346"/>
      <c r="T59" s="346"/>
      <c r="U59" s="372"/>
      <c r="V59" s="360"/>
      <c r="W59" s="488"/>
      <c r="X59" s="488"/>
      <c r="Y59" s="458"/>
      <c r="Z59" s="458"/>
      <c r="AA59" s="458"/>
      <c r="AB59" s="458"/>
      <c r="AC59" s="458"/>
      <c r="AD59" s="458"/>
      <c r="AE59" s="458"/>
      <c r="AF59" s="458"/>
      <c r="AG59" s="488"/>
      <c r="AH59" s="488"/>
      <c r="AI59" s="488"/>
      <c r="AJ59" s="488"/>
      <c r="AK59" s="360"/>
      <c r="AL59" s="360"/>
      <c r="AM59" s="360"/>
    </row>
    <row r="60" spans="1:39" s="362" customFormat="1">
      <c r="A60" s="360"/>
      <c r="B60" s="361"/>
      <c r="C60" s="377"/>
      <c r="D60" s="706"/>
      <c r="E60" s="359"/>
      <c r="F60" s="706"/>
      <c r="G60" s="378"/>
      <c r="H60" s="358"/>
      <c r="I60" s="346"/>
      <c r="J60" s="1095"/>
      <c r="K60" s="1582"/>
      <c r="L60" s="346"/>
      <c r="M60" s="346"/>
      <c r="N60" s="369"/>
      <c r="O60" s="346"/>
      <c r="P60" s="346"/>
      <c r="Q60" s="346"/>
      <c r="R60" s="346"/>
      <c r="S60" s="346"/>
      <c r="T60" s="346"/>
      <c r="U60" s="372"/>
      <c r="V60" s="360"/>
      <c r="W60" s="488"/>
      <c r="X60" s="488"/>
      <c r="Y60" s="488"/>
      <c r="Z60" s="488"/>
      <c r="AA60" s="488"/>
      <c r="AB60" s="488"/>
      <c r="AC60" s="488"/>
      <c r="AD60" s="488"/>
      <c r="AE60" s="488"/>
      <c r="AF60" s="488"/>
      <c r="AG60" s="488"/>
      <c r="AH60" s="488"/>
      <c r="AI60" s="488"/>
      <c r="AJ60" s="488"/>
      <c r="AK60" s="360"/>
      <c r="AL60" s="360"/>
      <c r="AM60" s="360"/>
    </row>
    <row r="61" spans="1:39" s="362" customFormat="1">
      <c r="A61" s="360"/>
      <c r="B61" s="361"/>
      <c r="C61" s="377"/>
      <c r="D61" s="706"/>
      <c r="E61" s="359"/>
      <c r="F61" s="706"/>
      <c r="G61" s="378"/>
      <c r="H61" s="358"/>
      <c r="I61" s="346"/>
      <c r="J61" s="1095"/>
      <c r="K61" s="1582"/>
      <c r="L61" s="346"/>
      <c r="M61" s="346"/>
      <c r="N61" s="369"/>
      <c r="O61" s="346"/>
      <c r="P61" s="346"/>
      <c r="Q61" s="346"/>
      <c r="R61" s="346"/>
      <c r="S61" s="346"/>
      <c r="T61" s="346"/>
      <c r="U61" s="372"/>
      <c r="V61" s="360"/>
      <c r="W61" s="488"/>
      <c r="X61" s="488"/>
      <c r="Y61" s="488"/>
      <c r="Z61" s="488"/>
      <c r="AA61" s="488"/>
      <c r="AB61" s="488"/>
      <c r="AC61" s="488"/>
      <c r="AD61" s="488"/>
      <c r="AE61" s="488"/>
      <c r="AF61" s="488"/>
      <c r="AG61" s="488"/>
      <c r="AH61" s="488"/>
      <c r="AI61" s="488"/>
      <c r="AJ61" s="488"/>
      <c r="AK61" s="360"/>
      <c r="AL61" s="360"/>
      <c r="AM61" s="360"/>
    </row>
    <row r="62" spans="1:39" s="362" customFormat="1">
      <c r="A62" s="360"/>
      <c r="B62" s="361"/>
      <c r="C62" s="377"/>
      <c r="D62" s="706"/>
      <c r="E62" s="359"/>
      <c r="F62" s="706"/>
      <c r="G62" s="378"/>
      <c r="H62" s="358"/>
      <c r="I62" s="346"/>
      <c r="J62" s="1095"/>
      <c r="K62" s="1028"/>
      <c r="L62" s="346"/>
      <c r="M62" s="373"/>
      <c r="N62" s="369"/>
      <c r="O62" s="353"/>
      <c r="P62" s="369"/>
      <c r="Q62" s="369"/>
      <c r="R62" s="369"/>
      <c r="S62" s="369"/>
      <c r="T62" s="369"/>
      <c r="U62" s="372"/>
      <c r="V62" s="360"/>
      <c r="W62" s="488"/>
      <c r="X62" s="488"/>
      <c r="Y62" s="488"/>
      <c r="Z62" s="488"/>
      <c r="AA62" s="488"/>
      <c r="AB62" s="488"/>
      <c r="AC62" s="488"/>
      <c r="AD62" s="488"/>
      <c r="AE62" s="488"/>
      <c r="AF62" s="488"/>
      <c r="AG62" s="488"/>
      <c r="AH62" s="488"/>
      <c r="AI62" s="488"/>
      <c r="AJ62" s="488"/>
      <c r="AK62" s="360"/>
      <c r="AL62" s="360"/>
      <c r="AM62" s="360"/>
    </row>
    <row r="63" spans="1:39">
      <c r="A63" s="321"/>
      <c r="B63" s="339"/>
      <c r="C63" s="377"/>
      <c r="D63" s="706"/>
      <c r="E63" s="707"/>
      <c r="F63" s="706"/>
      <c r="G63" s="378"/>
      <c r="H63" s="358"/>
      <c r="I63" s="346"/>
      <c r="J63" s="1095"/>
      <c r="K63" s="1582"/>
      <c r="L63" s="346"/>
      <c r="M63" s="373"/>
      <c r="N63" s="369"/>
      <c r="O63" s="353"/>
      <c r="P63" s="369"/>
      <c r="Q63" s="369"/>
      <c r="R63" s="369"/>
      <c r="S63" s="369"/>
      <c r="T63" s="369"/>
      <c r="U63" s="341"/>
      <c r="V63" s="321"/>
      <c r="W63" s="446"/>
      <c r="X63" s="446"/>
      <c r="Y63" s="446"/>
      <c r="Z63" s="446"/>
      <c r="AA63" s="446"/>
      <c r="AB63" s="446"/>
      <c r="AC63" s="446"/>
      <c r="AD63" s="446"/>
      <c r="AE63" s="446"/>
      <c r="AF63" s="446"/>
      <c r="AG63" s="446"/>
      <c r="AH63" s="446"/>
      <c r="AI63" s="446"/>
      <c r="AJ63" s="446"/>
      <c r="AK63" s="321"/>
      <c r="AL63" s="321"/>
      <c r="AM63" s="321"/>
    </row>
    <row r="64" spans="1:39">
      <c r="A64" s="321"/>
      <c r="B64" s="339"/>
      <c r="C64" s="707"/>
      <c r="D64" s="706"/>
      <c r="E64" s="359"/>
      <c r="F64" s="706"/>
      <c r="G64" s="378"/>
      <c r="H64" s="353"/>
      <c r="I64" s="346"/>
      <c r="J64" s="1095"/>
      <c r="K64" s="1582"/>
      <c r="L64" s="346"/>
      <c r="M64" s="373"/>
      <c r="N64" s="369"/>
      <c r="O64" s="353"/>
      <c r="P64" s="369"/>
      <c r="Q64" s="369"/>
      <c r="R64" s="369"/>
      <c r="S64" s="369"/>
      <c r="T64" s="369"/>
      <c r="U64" s="341"/>
      <c r="V64" s="321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321"/>
      <c r="AL64" s="321"/>
      <c r="AM64" s="321"/>
    </row>
    <row r="65" spans="1:39">
      <c r="A65" s="321"/>
      <c r="B65" s="339"/>
      <c r="C65" s="707"/>
      <c r="D65" s="706"/>
      <c r="E65" s="359"/>
      <c r="F65" s="706"/>
      <c r="G65" s="378"/>
      <c r="H65" s="353"/>
      <c r="I65" s="346"/>
      <c r="J65" s="1095"/>
      <c r="K65" s="1028"/>
      <c r="L65" s="346"/>
      <c r="M65" s="373"/>
      <c r="N65" s="369"/>
      <c r="O65" s="353"/>
      <c r="P65" s="369"/>
      <c r="Q65" s="369"/>
      <c r="R65" s="369"/>
      <c r="S65" s="369"/>
      <c r="T65" s="369"/>
      <c r="U65" s="341"/>
      <c r="V65" s="321"/>
      <c r="W65" s="446"/>
      <c r="X65" s="446"/>
      <c r="Y65" s="446"/>
      <c r="Z65" s="446"/>
      <c r="AA65" s="446"/>
      <c r="AB65" s="446"/>
      <c r="AC65" s="446"/>
      <c r="AD65" s="446"/>
      <c r="AE65" s="446"/>
      <c r="AF65" s="446"/>
      <c r="AG65" s="446"/>
      <c r="AH65" s="446"/>
      <c r="AI65" s="446"/>
      <c r="AJ65" s="446"/>
      <c r="AK65" s="321"/>
      <c r="AL65" s="321"/>
      <c r="AM65" s="321"/>
    </row>
    <row r="66" spans="1:39">
      <c r="A66" s="321"/>
      <c r="B66" s="339"/>
      <c r="C66" s="707"/>
      <c r="D66" s="706"/>
      <c r="E66" s="359"/>
      <c r="F66" s="706"/>
      <c r="G66" s="378"/>
      <c r="H66" s="358"/>
      <c r="I66" s="346"/>
      <c r="J66" s="1095"/>
      <c r="K66" s="1028"/>
      <c r="L66" s="346"/>
      <c r="M66" s="373"/>
      <c r="N66" s="369"/>
      <c r="O66" s="353"/>
      <c r="P66" s="369"/>
      <c r="Q66" s="369"/>
      <c r="R66" s="369"/>
      <c r="S66" s="369"/>
      <c r="T66" s="369"/>
      <c r="U66" s="341"/>
      <c r="V66" s="321"/>
      <c r="W66" s="446"/>
      <c r="X66" s="446"/>
      <c r="Y66" s="446"/>
      <c r="Z66" s="446"/>
      <c r="AA66" s="446"/>
      <c r="AB66" s="446"/>
      <c r="AC66" s="446"/>
      <c r="AD66" s="446"/>
      <c r="AE66" s="446"/>
      <c r="AF66" s="446"/>
      <c r="AG66" s="446"/>
      <c r="AH66" s="446"/>
      <c r="AI66" s="446"/>
      <c r="AJ66" s="446"/>
      <c r="AK66" s="321"/>
      <c r="AL66" s="321"/>
      <c r="AM66" s="321"/>
    </row>
    <row r="67" spans="1:39">
      <c r="A67" s="321"/>
      <c r="B67" s="339"/>
      <c r="C67" s="377"/>
      <c r="D67" s="706"/>
      <c r="E67" s="359"/>
      <c r="F67" s="706"/>
      <c r="G67" s="378"/>
      <c r="H67" s="358"/>
      <c r="I67" s="346"/>
      <c r="J67" s="1095"/>
      <c r="K67" s="711"/>
      <c r="L67" s="346"/>
      <c r="M67" s="373"/>
      <c r="N67" s="346"/>
      <c r="O67" s="346"/>
      <c r="P67" s="346"/>
      <c r="Q67" s="346"/>
      <c r="R67" s="346"/>
      <c r="S67" s="346"/>
      <c r="T67" s="346"/>
      <c r="U67" s="341"/>
      <c r="V67" s="321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321"/>
      <c r="AL67" s="321"/>
      <c r="AM67" s="321"/>
    </row>
    <row r="68" spans="1:39" s="362" customFormat="1">
      <c r="A68" s="360"/>
      <c r="B68" s="361"/>
      <c r="C68" s="377"/>
      <c r="D68" s="706"/>
      <c r="E68" s="707"/>
      <c r="F68" s="706"/>
      <c r="G68" s="378"/>
      <c r="H68" s="358"/>
      <c r="I68" s="346"/>
      <c r="J68" s="1095"/>
      <c r="K68" s="711"/>
      <c r="L68" s="346"/>
      <c r="M68" s="373"/>
      <c r="N68" s="346"/>
      <c r="O68" s="346"/>
      <c r="P68" s="346"/>
      <c r="Q68" s="346"/>
      <c r="R68" s="346"/>
      <c r="S68" s="346"/>
      <c r="T68" s="346"/>
      <c r="U68" s="372"/>
      <c r="V68" s="360"/>
      <c r="W68" s="488"/>
      <c r="X68" s="488"/>
      <c r="Y68" s="488"/>
      <c r="Z68" s="488"/>
      <c r="AA68" s="488"/>
      <c r="AB68" s="488"/>
      <c r="AC68" s="488"/>
      <c r="AD68" s="488"/>
      <c r="AE68" s="488"/>
      <c r="AF68" s="488"/>
      <c r="AG68" s="488"/>
      <c r="AH68" s="488"/>
      <c r="AI68" s="488"/>
      <c r="AJ68" s="488"/>
      <c r="AK68" s="360"/>
      <c r="AL68" s="360"/>
      <c r="AM68" s="360"/>
    </row>
    <row r="69" spans="1:39" s="362" customFormat="1">
      <c r="A69" s="360"/>
      <c r="B69" s="361"/>
      <c r="C69" s="707"/>
      <c r="D69" s="706"/>
      <c r="E69" s="359"/>
      <c r="F69" s="706"/>
      <c r="G69" s="378"/>
      <c r="H69" s="353"/>
      <c r="I69" s="346"/>
      <c r="J69" s="1095"/>
      <c r="K69" s="711"/>
      <c r="L69" s="346"/>
      <c r="M69" s="373"/>
      <c r="N69" s="346"/>
      <c r="O69" s="346"/>
      <c r="P69" s="346"/>
      <c r="Q69" s="346"/>
      <c r="R69" s="346"/>
      <c r="S69" s="346"/>
      <c r="T69" s="346"/>
      <c r="U69" s="372"/>
      <c r="V69" s="360"/>
      <c r="W69" s="488"/>
      <c r="X69" s="488"/>
      <c r="Y69" s="488"/>
      <c r="Z69" s="488"/>
      <c r="AA69" s="488"/>
      <c r="AB69" s="488"/>
      <c r="AC69" s="488"/>
      <c r="AD69" s="488"/>
      <c r="AE69" s="488"/>
      <c r="AF69" s="488"/>
      <c r="AG69" s="488"/>
      <c r="AH69" s="488"/>
      <c r="AI69" s="488"/>
      <c r="AJ69" s="488"/>
      <c r="AK69" s="360"/>
      <c r="AL69" s="360"/>
      <c r="AM69" s="360"/>
    </row>
    <row r="70" spans="1:39" s="362" customFormat="1">
      <c r="A70" s="360"/>
      <c r="B70" s="361"/>
      <c r="C70" s="707"/>
      <c r="D70" s="706"/>
      <c r="E70" s="359"/>
      <c r="F70" s="706"/>
      <c r="G70" s="378"/>
      <c r="H70" s="358"/>
      <c r="I70" s="346"/>
      <c r="J70" s="1095"/>
      <c r="K70" s="711"/>
      <c r="L70" s="346"/>
      <c r="M70" s="373"/>
      <c r="N70" s="346"/>
      <c r="O70" s="346"/>
      <c r="P70" s="346"/>
      <c r="Q70" s="346"/>
      <c r="R70" s="346"/>
      <c r="S70" s="346"/>
      <c r="T70" s="346"/>
      <c r="U70" s="372"/>
      <c r="V70" s="360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360"/>
      <c r="AL70" s="360"/>
      <c r="AM70" s="360"/>
    </row>
    <row r="71" spans="1:39" s="362" customFormat="1">
      <c r="A71" s="360"/>
      <c r="B71" s="361"/>
      <c r="C71" s="377"/>
      <c r="D71" s="706"/>
      <c r="E71" s="359"/>
      <c r="F71" s="706"/>
      <c r="G71" s="378"/>
      <c r="H71" s="358"/>
      <c r="I71" s="346"/>
      <c r="J71" s="1095"/>
      <c r="K71" s="711"/>
      <c r="L71" s="346"/>
      <c r="M71" s="373"/>
      <c r="N71" s="346"/>
      <c r="O71" s="346"/>
      <c r="P71" s="346"/>
      <c r="Q71" s="346"/>
      <c r="R71" s="346"/>
      <c r="S71" s="346"/>
      <c r="T71" s="346"/>
      <c r="U71" s="372"/>
      <c r="V71" s="360"/>
      <c r="W71" s="488"/>
      <c r="X71" s="488"/>
      <c r="Y71" s="488"/>
      <c r="Z71" s="488"/>
      <c r="AA71" s="488"/>
      <c r="AB71" s="488"/>
      <c r="AC71" s="488"/>
      <c r="AD71" s="488"/>
      <c r="AE71" s="488"/>
      <c r="AF71" s="488"/>
      <c r="AG71" s="488"/>
      <c r="AH71" s="488"/>
      <c r="AI71" s="488"/>
      <c r="AJ71" s="488"/>
      <c r="AK71" s="360"/>
      <c r="AL71" s="360"/>
      <c r="AM71" s="360"/>
    </row>
    <row r="72" spans="1:39" s="362" customFormat="1">
      <c r="A72" s="360"/>
      <c r="B72" s="361"/>
      <c r="C72" s="707"/>
      <c r="D72" s="706"/>
      <c r="E72" s="359"/>
      <c r="F72" s="706"/>
      <c r="G72" s="378"/>
      <c r="H72" s="358"/>
      <c r="I72" s="346"/>
      <c r="J72" s="1095"/>
      <c r="K72" s="711"/>
      <c r="L72" s="346"/>
      <c r="M72" s="373"/>
      <c r="N72" s="346"/>
      <c r="O72" s="346"/>
      <c r="P72" s="346"/>
      <c r="Q72" s="346"/>
      <c r="R72" s="346"/>
      <c r="S72" s="346"/>
      <c r="T72" s="346"/>
      <c r="U72" s="372"/>
      <c r="V72" s="360"/>
      <c r="W72" s="488"/>
      <c r="X72" s="488"/>
      <c r="Y72" s="488"/>
      <c r="Z72" s="488"/>
      <c r="AA72" s="488"/>
      <c r="AB72" s="488"/>
      <c r="AC72" s="488"/>
      <c r="AD72" s="488"/>
      <c r="AE72" s="488"/>
      <c r="AF72" s="488"/>
      <c r="AG72" s="488"/>
      <c r="AH72" s="488"/>
      <c r="AI72" s="488"/>
      <c r="AJ72" s="488"/>
      <c r="AK72" s="360"/>
      <c r="AL72" s="360"/>
      <c r="AM72" s="360"/>
    </row>
    <row r="73" spans="1:39" s="362" customFormat="1" ht="23.25" customHeight="1">
      <c r="A73" s="360"/>
      <c r="B73" s="361"/>
      <c r="C73" s="377"/>
      <c r="D73" s="706"/>
      <c r="E73" s="359"/>
      <c r="F73" s="706"/>
      <c r="G73" s="378"/>
      <c r="H73" s="358"/>
      <c r="I73" s="346"/>
      <c r="J73" s="1095"/>
      <c r="K73" s="1028"/>
      <c r="L73" s="346"/>
      <c r="M73" s="373"/>
      <c r="N73" s="346"/>
      <c r="O73" s="346"/>
      <c r="P73" s="346"/>
      <c r="Q73" s="346"/>
      <c r="R73" s="346"/>
      <c r="S73" s="346"/>
      <c r="T73" s="346"/>
      <c r="U73" s="372"/>
      <c r="V73" s="360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360"/>
      <c r="AL73" s="360"/>
      <c r="AM73" s="360"/>
    </row>
    <row r="74" spans="1:39" s="362" customFormat="1" ht="30.75" customHeight="1">
      <c r="A74" s="360"/>
      <c r="B74" s="361"/>
      <c r="C74" s="377"/>
      <c r="D74" s="706"/>
      <c r="E74" s="359"/>
      <c r="F74" s="706"/>
      <c r="G74" s="378"/>
      <c r="H74" s="359"/>
      <c r="I74" s="346"/>
      <c r="J74" s="1095"/>
      <c r="K74" s="710"/>
      <c r="L74" s="346"/>
      <c r="M74" s="373"/>
      <c r="N74" s="346"/>
      <c r="O74" s="346"/>
      <c r="P74" s="346"/>
      <c r="Q74" s="346"/>
      <c r="R74" s="346"/>
      <c r="S74" s="346"/>
      <c r="T74" s="346"/>
      <c r="U74" s="372"/>
      <c r="V74" s="360"/>
      <c r="W74" s="488"/>
      <c r="X74" s="488"/>
      <c r="Y74" s="488"/>
      <c r="Z74" s="488"/>
      <c r="AA74" s="488"/>
      <c r="AB74" s="488"/>
      <c r="AC74" s="488"/>
      <c r="AD74" s="488"/>
      <c r="AE74" s="488"/>
      <c r="AF74" s="488"/>
      <c r="AG74" s="488"/>
      <c r="AH74" s="488"/>
      <c r="AI74" s="488"/>
      <c r="AJ74" s="488"/>
      <c r="AK74" s="360"/>
      <c r="AL74" s="360"/>
      <c r="AM74" s="360"/>
    </row>
    <row r="75" spans="1:39" s="362" customFormat="1">
      <c r="A75" s="360"/>
      <c r="B75" s="361"/>
      <c r="C75" s="707"/>
      <c r="D75" s="706"/>
      <c r="E75" s="359"/>
      <c r="F75" s="706"/>
      <c r="G75" s="378"/>
      <c r="H75" s="353"/>
      <c r="I75" s="346"/>
      <c r="J75" s="1095"/>
      <c r="K75" s="710"/>
      <c r="L75" s="346"/>
      <c r="M75" s="373"/>
      <c r="N75" s="346"/>
      <c r="O75" s="346"/>
      <c r="P75" s="346"/>
      <c r="Q75" s="346"/>
      <c r="R75" s="346"/>
      <c r="S75" s="346"/>
      <c r="T75" s="346"/>
      <c r="U75" s="372"/>
      <c r="V75" s="360"/>
      <c r="W75" s="488"/>
      <c r="X75" s="488"/>
      <c r="Y75" s="488"/>
      <c r="Z75" s="488"/>
      <c r="AA75" s="488"/>
      <c r="AB75" s="488"/>
      <c r="AC75" s="488"/>
      <c r="AD75" s="488"/>
      <c r="AE75" s="488"/>
      <c r="AF75" s="488"/>
      <c r="AG75" s="488"/>
      <c r="AH75" s="488"/>
      <c r="AI75" s="488"/>
      <c r="AJ75" s="488"/>
      <c r="AK75" s="360"/>
      <c r="AL75" s="360"/>
      <c r="AM75" s="360"/>
    </row>
    <row r="76" spans="1:39" s="362" customFormat="1" ht="16.5" thickBot="1">
      <c r="A76" s="360"/>
      <c r="B76" s="381"/>
      <c r="C76" s="382"/>
      <c r="D76" s="383"/>
      <c r="E76" s="384"/>
      <c r="F76" s="563"/>
      <c r="G76" s="568"/>
      <c r="H76" s="386"/>
      <c r="I76" s="376"/>
      <c r="J76" s="387"/>
      <c r="K76" s="388"/>
      <c r="L76" s="388"/>
      <c r="M76" s="389"/>
      <c r="N76" s="388"/>
      <c r="O76" s="388"/>
      <c r="P76" s="388"/>
      <c r="Q76" s="388"/>
      <c r="R76" s="388"/>
      <c r="S76" s="388"/>
      <c r="T76" s="388"/>
      <c r="U76" s="390"/>
      <c r="V76" s="360"/>
      <c r="W76" s="488"/>
      <c r="X76" s="488"/>
      <c r="Y76" s="488"/>
      <c r="Z76" s="488"/>
      <c r="AA76" s="488"/>
      <c r="AB76" s="488"/>
      <c r="AC76" s="488"/>
      <c r="AD76" s="488"/>
      <c r="AE76" s="488"/>
      <c r="AF76" s="488"/>
      <c r="AG76" s="488"/>
      <c r="AH76" s="488"/>
      <c r="AI76" s="488"/>
      <c r="AJ76" s="488"/>
      <c r="AK76" s="360"/>
      <c r="AL76" s="360"/>
      <c r="AM76" s="360"/>
    </row>
    <row r="77" spans="1:39" s="362" customFormat="1">
      <c r="A77" s="360"/>
      <c r="B77" s="327"/>
      <c r="C77" s="527"/>
      <c r="D77" s="528"/>
      <c r="E77" s="529"/>
      <c r="F77" s="564"/>
      <c r="G77" s="569"/>
      <c r="H77" s="530"/>
      <c r="I77" s="326"/>
      <c r="J77" s="531"/>
      <c r="K77" s="327"/>
      <c r="L77" s="327"/>
      <c r="M77" s="328"/>
      <c r="N77" s="327"/>
      <c r="O77" s="327"/>
      <c r="P77" s="327"/>
      <c r="Q77" s="327"/>
      <c r="R77" s="327"/>
      <c r="S77" s="327"/>
      <c r="T77" s="327"/>
      <c r="U77" s="327"/>
      <c r="V77" s="360"/>
      <c r="W77" s="488"/>
      <c r="X77" s="488"/>
      <c r="Y77" s="488"/>
      <c r="Z77" s="488"/>
      <c r="AA77" s="488"/>
      <c r="AB77" s="488"/>
      <c r="AC77" s="488"/>
      <c r="AD77" s="488"/>
      <c r="AE77" s="488"/>
      <c r="AF77" s="488"/>
      <c r="AG77" s="488"/>
      <c r="AH77" s="488"/>
      <c r="AI77" s="488"/>
      <c r="AJ77" s="488"/>
      <c r="AK77" s="360"/>
      <c r="AL77" s="360"/>
      <c r="AM77" s="360"/>
    </row>
    <row r="78" spans="1:39" s="362" customFormat="1">
      <c r="A78" s="360"/>
      <c r="B78" s="327"/>
      <c r="C78" s="527"/>
      <c r="D78" s="528"/>
      <c r="E78" s="529"/>
      <c r="F78" s="564"/>
      <c r="G78" s="569"/>
      <c r="H78" s="530"/>
      <c r="I78" s="326"/>
      <c r="J78" s="531"/>
      <c r="K78" s="327"/>
      <c r="L78" s="327"/>
      <c r="M78" s="328"/>
      <c r="N78" s="327"/>
      <c r="O78" s="327"/>
      <c r="P78" s="327"/>
      <c r="Q78" s="327"/>
      <c r="R78" s="327"/>
      <c r="S78" s="327"/>
      <c r="T78" s="327"/>
      <c r="U78" s="327"/>
      <c r="V78" s="360"/>
      <c r="W78" s="488"/>
      <c r="X78" s="488"/>
      <c r="Y78" s="488"/>
      <c r="Z78" s="488"/>
      <c r="AA78" s="488"/>
      <c r="AB78" s="488"/>
      <c r="AC78" s="488"/>
      <c r="AD78" s="488"/>
      <c r="AE78" s="488"/>
      <c r="AF78" s="488"/>
      <c r="AG78" s="488"/>
      <c r="AH78" s="488"/>
      <c r="AI78" s="488"/>
      <c r="AJ78" s="488"/>
      <c r="AK78" s="360"/>
      <c r="AL78" s="360"/>
      <c r="AM78" s="360"/>
    </row>
    <row r="79" spans="1:39" s="362" customFormat="1" ht="14.25" customHeight="1">
      <c r="A79" s="360"/>
      <c r="B79" s="327"/>
      <c r="C79" s="527"/>
      <c r="D79" s="528"/>
      <c r="E79" s="529"/>
      <c r="F79" s="564"/>
      <c r="G79" s="569"/>
      <c r="H79" s="530"/>
      <c r="I79" s="326"/>
      <c r="J79" s="531"/>
      <c r="K79" s="327"/>
      <c r="L79" s="327"/>
      <c r="M79" s="328"/>
      <c r="N79" s="327"/>
      <c r="O79" s="327"/>
      <c r="P79" s="327"/>
      <c r="Q79" s="327"/>
      <c r="R79" s="327"/>
      <c r="S79" s="327"/>
      <c r="T79" s="327"/>
      <c r="U79" s="327"/>
      <c r="V79" s="360"/>
      <c r="W79" s="488"/>
      <c r="X79" s="488"/>
      <c r="Y79" s="488"/>
      <c r="Z79" s="488"/>
      <c r="AA79" s="488"/>
      <c r="AB79" s="488"/>
      <c r="AC79" s="488"/>
      <c r="AD79" s="488"/>
      <c r="AE79" s="488"/>
      <c r="AF79" s="488"/>
      <c r="AG79" s="488"/>
      <c r="AH79" s="488"/>
      <c r="AI79" s="488"/>
      <c r="AJ79" s="488"/>
      <c r="AK79" s="360"/>
      <c r="AL79" s="360"/>
      <c r="AM79" s="360"/>
    </row>
    <row r="80" spans="1:39" s="362" customFormat="1" ht="14.25" customHeight="1">
      <c r="A80" s="360"/>
      <c r="B80" s="327"/>
      <c r="C80" s="527"/>
      <c r="D80" s="528"/>
      <c r="E80" s="529"/>
      <c r="F80" s="564"/>
      <c r="G80" s="569"/>
      <c r="H80" s="530"/>
      <c r="I80" s="326"/>
      <c r="J80" s="531"/>
      <c r="K80" s="327"/>
      <c r="L80" s="327"/>
      <c r="M80" s="328"/>
      <c r="N80" s="327"/>
      <c r="O80" s="327"/>
      <c r="P80" s="327"/>
      <c r="Q80" s="327"/>
      <c r="R80" s="327"/>
      <c r="S80" s="327"/>
      <c r="T80" s="327"/>
      <c r="U80" s="327"/>
      <c r="V80" s="360"/>
      <c r="W80" s="488"/>
      <c r="X80" s="488"/>
      <c r="Y80" s="488"/>
      <c r="Z80" s="488"/>
      <c r="AA80" s="488"/>
      <c r="AB80" s="488"/>
      <c r="AC80" s="488"/>
      <c r="AD80" s="488"/>
      <c r="AE80" s="488"/>
      <c r="AF80" s="488"/>
      <c r="AG80" s="488"/>
      <c r="AH80" s="488"/>
      <c r="AI80" s="488"/>
      <c r="AJ80" s="488"/>
      <c r="AK80" s="360"/>
      <c r="AL80" s="360"/>
      <c r="AM80" s="360"/>
    </row>
    <row r="81" spans="1:39" s="362" customFormat="1" ht="14.25" customHeight="1">
      <c r="A81" s="360"/>
      <c r="B81" s="327"/>
      <c r="C81" s="527"/>
      <c r="D81" s="528"/>
      <c r="E81" s="529"/>
      <c r="F81" s="564"/>
      <c r="G81" s="569"/>
      <c r="H81" s="530"/>
      <c r="I81" s="326"/>
      <c r="J81" s="531"/>
      <c r="K81" s="327"/>
      <c r="L81" s="327"/>
      <c r="M81" s="328"/>
      <c r="N81" s="327"/>
      <c r="O81" s="327"/>
      <c r="P81" s="327"/>
      <c r="Q81" s="327"/>
      <c r="R81" s="327"/>
      <c r="S81" s="327"/>
      <c r="T81" s="327"/>
      <c r="U81" s="327"/>
      <c r="V81" s="360"/>
      <c r="W81" s="488"/>
      <c r="X81" s="488"/>
      <c r="Y81" s="488"/>
      <c r="Z81" s="488"/>
      <c r="AA81" s="488"/>
      <c r="AB81" s="488"/>
      <c r="AC81" s="488"/>
      <c r="AD81" s="488"/>
      <c r="AE81" s="488"/>
      <c r="AF81" s="488"/>
      <c r="AG81" s="488"/>
      <c r="AH81" s="488"/>
      <c r="AI81" s="488"/>
      <c r="AJ81" s="488"/>
      <c r="AK81" s="360"/>
      <c r="AL81" s="360"/>
      <c r="AM81" s="360"/>
    </row>
    <row r="82" spans="1:39" s="362" customFormat="1" ht="14.25" customHeight="1">
      <c r="A82" s="360"/>
      <c r="B82" s="327"/>
      <c r="C82" s="527"/>
      <c r="D82" s="528"/>
      <c r="E82" s="529"/>
      <c r="F82" s="564"/>
      <c r="G82" s="569"/>
      <c r="H82" s="530"/>
      <c r="I82" s="326"/>
      <c r="J82" s="531"/>
      <c r="K82" s="327"/>
      <c r="L82" s="327"/>
      <c r="M82" s="328"/>
      <c r="N82" s="327"/>
      <c r="O82" s="327"/>
      <c r="P82" s="327"/>
      <c r="Q82" s="327"/>
      <c r="R82" s="327"/>
      <c r="S82" s="327"/>
      <c r="T82" s="327"/>
      <c r="U82" s="327"/>
      <c r="V82" s="360"/>
      <c r="W82" s="488"/>
      <c r="X82" s="488"/>
      <c r="Y82" s="488"/>
      <c r="Z82" s="488"/>
      <c r="AA82" s="488"/>
      <c r="AB82" s="488"/>
      <c r="AC82" s="488"/>
      <c r="AD82" s="488"/>
      <c r="AE82" s="488"/>
      <c r="AF82" s="488"/>
      <c r="AG82" s="488"/>
      <c r="AH82" s="488"/>
      <c r="AI82" s="488"/>
      <c r="AJ82" s="488"/>
      <c r="AK82" s="360"/>
      <c r="AL82" s="360"/>
      <c r="AM82" s="360"/>
    </row>
    <row r="83" spans="1:39" s="362" customFormat="1" ht="14.25" customHeight="1">
      <c r="A83" s="360"/>
      <c r="B83" s="327"/>
      <c r="C83" s="527"/>
      <c r="D83" s="528"/>
      <c r="E83" s="529"/>
      <c r="F83" s="564"/>
      <c r="G83" s="569"/>
      <c r="H83" s="530"/>
      <c r="I83" s="326"/>
      <c r="J83" s="531"/>
      <c r="K83" s="327"/>
      <c r="L83" s="327"/>
      <c r="M83" s="328"/>
      <c r="N83" s="327"/>
      <c r="O83" s="327"/>
      <c r="P83" s="327"/>
      <c r="Q83" s="327"/>
      <c r="R83" s="327"/>
      <c r="S83" s="327"/>
      <c r="T83" s="327"/>
      <c r="U83" s="327"/>
      <c r="V83" s="360"/>
      <c r="W83" s="488"/>
      <c r="X83" s="488"/>
      <c r="Y83" s="488"/>
      <c r="Z83" s="488"/>
      <c r="AA83" s="488"/>
      <c r="AB83" s="488"/>
      <c r="AC83" s="488"/>
      <c r="AD83" s="488"/>
      <c r="AE83" s="488"/>
      <c r="AF83" s="488"/>
      <c r="AG83" s="488"/>
      <c r="AH83" s="488"/>
      <c r="AI83" s="488"/>
      <c r="AJ83" s="488"/>
      <c r="AK83" s="360"/>
      <c r="AL83" s="360"/>
      <c r="AM83" s="360"/>
    </row>
    <row r="84" spans="1:39" s="362" customFormat="1" ht="14.25" customHeight="1">
      <c r="A84" s="360"/>
      <c r="B84" s="327"/>
      <c r="C84" s="527"/>
      <c r="D84" s="528"/>
      <c r="E84" s="529"/>
      <c r="F84" s="564"/>
      <c r="G84" s="569"/>
      <c r="H84" s="530"/>
      <c r="I84" s="326"/>
      <c r="J84" s="531"/>
      <c r="K84" s="327"/>
      <c r="L84" s="327"/>
      <c r="M84" s="328"/>
      <c r="N84" s="327"/>
      <c r="O84" s="327"/>
      <c r="P84" s="327"/>
      <c r="Q84" s="327"/>
      <c r="R84" s="327"/>
      <c r="S84" s="327"/>
      <c r="T84" s="327"/>
      <c r="U84" s="327"/>
      <c r="V84" s="360"/>
      <c r="W84" s="488"/>
      <c r="X84" s="488"/>
      <c r="Y84" s="488"/>
      <c r="Z84" s="488"/>
      <c r="AA84" s="488"/>
      <c r="AB84" s="488"/>
      <c r="AC84" s="488"/>
      <c r="AD84" s="488"/>
      <c r="AE84" s="488"/>
      <c r="AF84" s="488"/>
      <c r="AG84" s="488"/>
      <c r="AH84" s="488"/>
      <c r="AI84" s="488"/>
      <c r="AJ84" s="488"/>
      <c r="AK84" s="360"/>
      <c r="AL84" s="360"/>
      <c r="AM84" s="360"/>
    </row>
    <row r="85" spans="1:39" s="362" customFormat="1" ht="14.25" customHeight="1">
      <c r="A85" s="360"/>
      <c r="B85" s="327"/>
      <c r="C85" s="360"/>
      <c r="D85" s="391"/>
      <c r="E85" s="360"/>
      <c r="F85" s="565"/>
      <c r="G85" s="565"/>
      <c r="H85" s="360"/>
      <c r="I85" s="360"/>
      <c r="J85" s="360"/>
      <c r="K85" s="360"/>
      <c r="L85" s="327"/>
      <c r="M85" s="328"/>
      <c r="N85" s="327"/>
      <c r="O85" s="327"/>
      <c r="P85" s="327"/>
      <c r="Q85" s="327"/>
      <c r="R85" s="327"/>
      <c r="S85" s="327"/>
      <c r="T85" s="327"/>
      <c r="U85" s="327"/>
      <c r="V85" s="360"/>
      <c r="W85" s="488"/>
      <c r="X85" s="488"/>
      <c r="Y85" s="488"/>
      <c r="Z85" s="488"/>
      <c r="AA85" s="488"/>
      <c r="AB85" s="488"/>
      <c r="AC85" s="488"/>
      <c r="AD85" s="488"/>
      <c r="AE85" s="488"/>
      <c r="AF85" s="488"/>
      <c r="AG85" s="488"/>
      <c r="AH85" s="488"/>
      <c r="AI85" s="488"/>
      <c r="AJ85" s="488"/>
      <c r="AK85" s="360"/>
      <c r="AL85" s="360"/>
      <c r="AM85" s="360"/>
    </row>
    <row r="86" spans="1:39" s="362" customFormat="1" ht="14.25" customHeight="1">
      <c r="A86" s="360"/>
      <c r="B86" s="327"/>
      <c r="C86" s="360"/>
      <c r="D86" s="391"/>
      <c r="E86" s="360"/>
      <c r="F86" s="565"/>
      <c r="G86" s="565"/>
      <c r="H86" s="360"/>
      <c r="I86" s="360"/>
      <c r="J86" s="360"/>
      <c r="K86" s="360"/>
      <c r="L86" s="327"/>
      <c r="M86" s="328"/>
      <c r="N86" s="327"/>
      <c r="O86" s="327"/>
      <c r="P86" s="327"/>
      <c r="Q86" s="327"/>
      <c r="R86" s="327"/>
      <c r="S86" s="327"/>
      <c r="T86" s="327"/>
      <c r="U86" s="327"/>
      <c r="V86" s="360"/>
      <c r="W86" s="488"/>
      <c r="X86" s="488"/>
      <c r="Y86" s="488"/>
      <c r="Z86" s="488"/>
      <c r="AA86" s="488"/>
      <c r="AB86" s="488"/>
      <c r="AC86" s="488"/>
      <c r="AD86" s="488"/>
      <c r="AE86" s="488"/>
      <c r="AF86" s="488"/>
      <c r="AG86" s="488"/>
      <c r="AH86" s="488"/>
      <c r="AI86" s="488"/>
      <c r="AJ86" s="488"/>
      <c r="AK86" s="360"/>
      <c r="AL86" s="360"/>
      <c r="AM86" s="360"/>
    </row>
    <row r="87" spans="1:39" s="362" customFormat="1" ht="14.25" customHeight="1">
      <c r="A87" s="360"/>
      <c r="B87" s="327"/>
      <c r="C87" s="360"/>
      <c r="D87" s="391"/>
      <c r="E87" s="360"/>
      <c r="F87" s="565"/>
      <c r="G87" s="565"/>
      <c r="H87" s="360"/>
      <c r="I87" s="360"/>
      <c r="J87" s="360"/>
      <c r="K87" s="360"/>
      <c r="L87" s="327"/>
      <c r="M87" s="392"/>
      <c r="N87" s="360"/>
      <c r="O87" s="360"/>
      <c r="P87" s="360"/>
      <c r="Q87" s="360"/>
      <c r="R87" s="360"/>
      <c r="S87" s="360"/>
      <c r="T87" s="360"/>
      <c r="U87" s="327"/>
      <c r="V87" s="360"/>
      <c r="W87" s="488"/>
      <c r="X87" s="488"/>
      <c r="Y87" s="488"/>
      <c r="Z87" s="488"/>
      <c r="AA87" s="488"/>
      <c r="AB87" s="488"/>
      <c r="AC87" s="488"/>
      <c r="AD87" s="488"/>
      <c r="AE87" s="488"/>
      <c r="AF87" s="488"/>
      <c r="AG87" s="488"/>
      <c r="AH87" s="488"/>
      <c r="AI87" s="488"/>
      <c r="AJ87" s="488"/>
      <c r="AK87" s="360"/>
      <c r="AL87" s="360"/>
      <c r="AM87" s="360"/>
    </row>
    <row r="88" spans="1:39" s="362" customFormat="1" ht="15.75" customHeight="1">
      <c r="A88" s="360"/>
      <c r="B88" s="360"/>
      <c r="C88" s="360"/>
      <c r="D88" s="391"/>
      <c r="E88" s="360"/>
      <c r="F88" s="565"/>
      <c r="G88" s="565"/>
      <c r="H88" s="360"/>
      <c r="I88" s="360"/>
      <c r="J88" s="360"/>
      <c r="K88" s="360"/>
      <c r="L88" s="360"/>
      <c r="M88" s="392"/>
      <c r="N88" s="360"/>
      <c r="O88" s="360"/>
      <c r="P88" s="360"/>
      <c r="Q88" s="360"/>
      <c r="R88" s="360"/>
      <c r="S88" s="360"/>
      <c r="T88" s="360"/>
      <c r="U88" s="360"/>
      <c r="V88" s="360"/>
      <c r="W88" s="488"/>
      <c r="X88" s="488"/>
      <c r="Y88" s="488"/>
      <c r="Z88" s="488"/>
      <c r="AA88" s="488"/>
      <c r="AB88" s="488"/>
      <c r="AC88" s="488"/>
      <c r="AD88" s="488"/>
      <c r="AE88" s="488"/>
      <c r="AF88" s="488"/>
      <c r="AG88" s="488"/>
      <c r="AH88" s="488"/>
      <c r="AI88" s="488"/>
      <c r="AJ88" s="488"/>
      <c r="AK88" s="360"/>
      <c r="AL88" s="360"/>
      <c r="AM88" s="360"/>
    </row>
    <row r="89" spans="1:39" s="362" customFormat="1">
      <c r="A89" s="360"/>
      <c r="B89" s="360"/>
      <c r="C89" s="360"/>
      <c r="D89" s="391"/>
      <c r="E89" s="360"/>
      <c r="F89" s="565"/>
      <c r="G89" s="565"/>
      <c r="H89" s="360"/>
      <c r="I89" s="360"/>
      <c r="J89" s="360"/>
      <c r="K89" s="360"/>
      <c r="L89" s="360"/>
      <c r="M89" s="392"/>
      <c r="N89" s="360"/>
      <c r="O89" s="360"/>
      <c r="P89" s="360"/>
      <c r="Q89" s="360"/>
      <c r="R89" s="360"/>
      <c r="S89" s="360"/>
      <c r="T89" s="360"/>
      <c r="U89" s="360"/>
      <c r="V89" s="360"/>
      <c r="W89" s="488"/>
      <c r="X89" s="488"/>
      <c r="Y89" s="488"/>
      <c r="Z89" s="488"/>
      <c r="AA89" s="488"/>
      <c r="AB89" s="488"/>
      <c r="AC89" s="488"/>
      <c r="AD89" s="488"/>
      <c r="AE89" s="488"/>
      <c r="AF89" s="488"/>
      <c r="AG89" s="488"/>
      <c r="AH89" s="488"/>
      <c r="AI89" s="488"/>
      <c r="AJ89" s="488"/>
      <c r="AK89" s="360"/>
      <c r="AL89" s="360"/>
      <c r="AM89" s="360"/>
    </row>
    <row r="90" spans="1:39" s="362" customFormat="1">
      <c r="A90" s="360"/>
      <c r="B90" s="360"/>
      <c r="C90" s="360"/>
      <c r="D90" s="391"/>
      <c r="E90" s="360"/>
      <c r="F90" s="565"/>
      <c r="G90" s="565"/>
      <c r="H90" s="360"/>
      <c r="I90" s="360"/>
      <c r="J90" s="360"/>
      <c r="K90" s="360"/>
      <c r="L90" s="360"/>
      <c r="M90" s="392"/>
      <c r="N90" s="360"/>
      <c r="O90" s="360"/>
      <c r="P90" s="360"/>
      <c r="Q90" s="360"/>
      <c r="R90" s="360"/>
      <c r="S90" s="360"/>
      <c r="T90" s="360"/>
      <c r="U90" s="360"/>
      <c r="V90" s="360"/>
      <c r="W90" s="488"/>
      <c r="X90" s="488"/>
      <c r="Y90" s="488"/>
      <c r="Z90" s="488"/>
      <c r="AA90" s="488"/>
      <c r="AB90" s="488"/>
      <c r="AC90" s="488"/>
      <c r="AD90" s="488"/>
      <c r="AE90" s="488"/>
      <c r="AF90" s="488"/>
      <c r="AG90" s="488"/>
      <c r="AH90" s="488"/>
      <c r="AI90" s="488"/>
      <c r="AJ90" s="488"/>
      <c r="AK90" s="360"/>
      <c r="AL90" s="360"/>
      <c r="AM90" s="360"/>
    </row>
    <row r="91" spans="1:39" s="362" customFormat="1">
      <c r="A91" s="360"/>
      <c r="B91" s="360"/>
      <c r="C91" s="360"/>
      <c r="D91" s="391"/>
      <c r="E91" s="360"/>
      <c r="F91" s="565"/>
      <c r="G91" s="565"/>
      <c r="H91" s="360"/>
      <c r="I91" s="360"/>
      <c r="J91" s="360"/>
      <c r="K91" s="360"/>
      <c r="L91" s="360"/>
      <c r="M91" s="392"/>
      <c r="N91" s="360"/>
      <c r="O91" s="360"/>
      <c r="P91" s="360"/>
      <c r="Q91" s="360"/>
      <c r="R91" s="360"/>
      <c r="S91" s="360"/>
      <c r="T91" s="360"/>
      <c r="U91" s="360"/>
      <c r="V91" s="360"/>
      <c r="W91" s="488"/>
      <c r="X91" s="488"/>
      <c r="Y91" s="488"/>
      <c r="Z91" s="488"/>
      <c r="AA91" s="488"/>
      <c r="AB91" s="488"/>
      <c r="AC91" s="488"/>
      <c r="AD91" s="488"/>
      <c r="AE91" s="488"/>
      <c r="AF91" s="488"/>
      <c r="AG91" s="488"/>
      <c r="AH91" s="488"/>
      <c r="AI91" s="488"/>
      <c r="AJ91" s="488"/>
      <c r="AK91" s="360"/>
      <c r="AL91" s="360"/>
      <c r="AM91" s="360"/>
    </row>
    <row r="92" spans="1:39" s="362" customFormat="1">
      <c r="A92" s="360"/>
      <c r="B92" s="360"/>
      <c r="C92" s="360"/>
      <c r="D92" s="391"/>
      <c r="E92" s="360"/>
      <c r="F92" s="565"/>
      <c r="G92" s="565"/>
      <c r="H92" s="360"/>
      <c r="I92" s="360"/>
      <c r="J92" s="360"/>
      <c r="K92" s="360"/>
      <c r="L92" s="360"/>
      <c r="M92" s="392"/>
      <c r="N92" s="360"/>
      <c r="O92" s="360"/>
      <c r="P92" s="360"/>
      <c r="Q92" s="360"/>
      <c r="R92" s="360"/>
      <c r="S92" s="360"/>
      <c r="T92" s="360"/>
      <c r="U92" s="360"/>
      <c r="V92" s="360"/>
      <c r="W92" s="488"/>
      <c r="X92" s="488"/>
      <c r="Y92" s="488"/>
      <c r="Z92" s="488"/>
      <c r="AA92" s="488"/>
      <c r="AB92" s="488"/>
      <c r="AC92" s="488"/>
      <c r="AD92" s="488"/>
      <c r="AE92" s="488"/>
      <c r="AF92" s="488"/>
      <c r="AG92" s="488"/>
      <c r="AH92" s="488"/>
      <c r="AI92" s="488"/>
      <c r="AJ92" s="488"/>
      <c r="AK92" s="360"/>
      <c r="AL92" s="360"/>
      <c r="AM92" s="360"/>
    </row>
    <row r="93" spans="1:39" s="362" customFormat="1">
      <c r="A93" s="360"/>
      <c r="B93" s="360"/>
      <c r="C93" s="360"/>
      <c r="D93" s="391"/>
      <c r="E93" s="360"/>
      <c r="F93" s="565"/>
      <c r="G93" s="565"/>
      <c r="H93" s="360"/>
      <c r="I93" s="360"/>
      <c r="J93" s="360"/>
      <c r="K93" s="360"/>
      <c r="L93" s="360"/>
      <c r="M93" s="392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60"/>
      <c r="AB93" s="360"/>
      <c r="AC93" s="360"/>
      <c r="AD93" s="360"/>
      <c r="AE93" s="360"/>
      <c r="AF93" s="360"/>
      <c r="AG93" s="360"/>
      <c r="AH93" s="360"/>
      <c r="AI93" s="360"/>
      <c r="AJ93" s="360"/>
      <c r="AK93" s="360"/>
      <c r="AL93" s="360"/>
      <c r="AM93" s="360"/>
    </row>
    <row r="94" spans="1:39" s="362" customFormat="1">
      <c r="A94" s="360"/>
      <c r="B94" s="360"/>
      <c r="C94" s="360"/>
      <c r="D94" s="391"/>
      <c r="E94" s="360"/>
      <c r="F94" s="565"/>
      <c r="G94" s="565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60"/>
      <c r="AB94" s="360"/>
      <c r="AC94" s="360"/>
      <c r="AD94" s="360"/>
      <c r="AE94" s="360"/>
      <c r="AF94" s="360"/>
      <c r="AG94" s="360"/>
      <c r="AH94" s="360"/>
      <c r="AI94" s="360"/>
      <c r="AJ94" s="360"/>
      <c r="AK94" s="360"/>
      <c r="AL94" s="360"/>
      <c r="AM94" s="360"/>
    </row>
    <row r="95" spans="1:39" s="362" customFormat="1">
      <c r="A95" s="360"/>
      <c r="B95" s="360"/>
      <c r="C95" s="360"/>
      <c r="D95" s="391"/>
      <c r="E95" s="360"/>
      <c r="F95" s="565"/>
      <c r="G95" s="565"/>
      <c r="H95" s="360"/>
      <c r="I95" s="360"/>
      <c r="J95" s="360"/>
      <c r="K95" s="360"/>
      <c r="L95" s="360"/>
      <c r="M95" s="392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  <c r="AA95" s="360"/>
      <c r="AB95" s="360"/>
      <c r="AC95" s="360"/>
      <c r="AD95" s="360"/>
      <c r="AE95" s="360"/>
      <c r="AF95" s="360"/>
      <c r="AG95" s="360"/>
      <c r="AH95" s="360"/>
      <c r="AI95" s="360"/>
      <c r="AJ95" s="360"/>
      <c r="AK95" s="360"/>
      <c r="AL95" s="360"/>
      <c r="AM95" s="360"/>
    </row>
    <row r="96" spans="1:39" s="362" customFormat="1">
      <c r="A96" s="360"/>
      <c r="B96" s="360"/>
      <c r="C96" s="360"/>
      <c r="D96" s="391"/>
      <c r="E96" s="360"/>
      <c r="F96" s="565"/>
      <c r="G96" s="565"/>
      <c r="H96" s="360"/>
      <c r="I96" s="360"/>
      <c r="J96" s="360"/>
      <c r="K96" s="360"/>
      <c r="L96" s="360"/>
      <c r="M96" s="392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  <c r="AA96" s="360"/>
      <c r="AB96" s="360"/>
      <c r="AC96" s="360"/>
      <c r="AD96" s="360"/>
      <c r="AE96" s="360"/>
      <c r="AF96" s="360"/>
      <c r="AG96" s="360"/>
      <c r="AH96" s="360"/>
      <c r="AI96" s="360"/>
      <c r="AJ96" s="360"/>
      <c r="AK96" s="360"/>
      <c r="AL96" s="360"/>
      <c r="AM96" s="360"/>
    </row>
    <row r="97" spans="1:39" s="362" customFormat="1">
      <c r="A97" s="360"/>
      <c r="B97" s="360"/>
      <c r="C97" s="360"/>
      <c r="D97" s="391"/>
      <c r="E97" s="360"/>
      <c r="F97" s="565"/>
      <c r="G97" s="565"/>
      <c r="H97" s="360"/>
      <c r="I97" s="360"/>
      <c r="J97" s="360"/>
      <c r="K97" s="360"/>
      <c r="L97" s="360"/>
      <c r="M97" s="392"/>
      <c r="N97" s="360"/>
      <c r="O97" s="360"/>
      <c r="P97" s="360"/>
      <c r="Q97" s="360"/>
      <c r="R97" s="360"/>
      <c r="S97" s="360"/>
      <c r="T97" s="360"/>
      <c r="U97" s="360"/>
      <c r="V97" s="360"/>
      <c r="W97" s="360"/>
      <c r="X97" s="360"/>
      <c r="Y97" s="360"/>
      <c r="Z97" s="360"/>
      <c r="AA97" s="360"/>
      <c r="AB97" s="360"/>
      <c r="AC97" s="360"/>
      <c r="AD97" s="360"/>
      <c r="AE97" s="360"/>
      <c r="AF97" s="360"/>
      <c r="AG97" s="360"/>
      <c r="AH97" s="360"/>
      <c r="AI97" s="360"/>
      <c r="AJ97" s="360"/>
      <c r="AK97" s="360"/>
      <c r="AL97" s="360"/>
      <c r="AM97" s="360"/>
    </row>
    <row r="98" spans="1:39" s="362" customFormat="1">
      <c r="A98" s="360"/>
      <c r="B98" s="360"/>
      <c r="C98" s="368"/>
      <c r="D98" s="393"/>
      <c r="E98" s="324"/>
      <c r="F98" s="560"/>
      <c r="G98" s="567"/>
      <c r="H98" s="321"/>
      <c r="I98" s="351"/>
      <c r="J98" s="322"/>
      <c r="K98" s="360"/>
      <c r="L98" s="360"/>
      <c r="M98" s="392"/>
      <c r="N98" s="360"/>
      <c r="O98" s="360"/>
      <c r="P98" s="360"/>
      <c r="Q98" s="360"/>
      <c r="R98" s="360"/>
      <c r="S98" s="360"/>
      <c r="T98" s="360"/>
      <c r="U98" s="360"/>
      <c r="V98" s="360"/>
      <c r="W98" s="360"/>
      <c r="X98" s="360"/>
      <c r="Y98" s="360"/>
      <c r="Z98" s="360"/>
      <c r="AA98" s="360"/>
      <c r="AB98" s="360"/>
      <c r="AC98" s="360"/>
      <c r="AD98" s="360"/>
      <c r="AE98" s="360"/>
      <c r="AF98" s="360"/>
      <c r="AG98" s="360"/>
      <c r="AH98" s="360"/>
      <c r="AI98" s="360"/>
      <c r="AJ98" s="360"/>
      <c r="AK98" s="360"/>
      <c r="AL98" s="360"/>
      <c r="AM98" s="360"/>
    </row>
    <row r="99" spans="1:39" s="362" customFormat="1">
      <c r="A99" s="360"/>
      <c r="B99" s="360"/>
      <c r="C99" s="322"/>
      <c r="D99" s="323"/>
      <c r="E99" s="360"/>
      <c r="F99" s="565"/>
      <c r="G99" s="565"/>
      <c r="H99" s="360"/>
      <c r="I99" s="360"/>
      <c r="J99" s="360"/>
      <c r="K99" s="360"/>
      <c r="L99" s="360"/>
      <c r="M99" s="392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60"/>
      <c r="AB99" s="360"/>
      <c r="AC99" s="360"/>
      <c r="AD99" s="360"/>
      <c r="AE99" s="360"/>
      <c r="AF99" s="360"/>
      <c r="AG99" s="360"/>
      <c r="AH99" s="360"/>
      <c r="AI99" s="360"/>
      <c r="AJ99" s="360"/>
      <c r="AK99" s="360"/>
      <c r="AL99" s="360"/>
      <c r="AM99" s="360"/>
    </row>
    <row r="100" spans="1:39" s="362" customFormat="1">
      <c r="A100" s="360"/>
      <c r="B100" s="360"/>
      <c r="C100" s="322"/>
      <c r="D100" s="323"/>
      <c r="E100" s="360"/>
      <c r="F100" s="565"/>
      <c r="G100" s="565"/>
      <c r="H100" s="360"/>
      <c r="I100" s="360"/>
      <c r="J100" s="360"/>
      <c r="K100" s="360"/>
      <c r="L100" s="360"/>
      <c r="M100" s="392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60"/>
      <c r="AB100" s="360"/>
      <c r="AC100" s="360"/>
      <c r="AD100" s="360"/>
      <c r="AE100" s="360"/>
      <c r="AF100" s="360"/>
      <c r="AG100" s="360"/>
      <c r="AH100" s="360"/>
      <c r="AI100" s="360"/>
      <c r="AJ100" s="360"/>
      <c r="AK100" s="360"/>
      <c r="AL100" s="360"/>
      <c r="AM100" s="360"/>
    </row>
    <row r="101" spans="1:39" s="362" customFormat="1">
      <c r="A101" s="327"/>
      <c r="B101" s="360"/>
      <c r="C101" s="322"/>
      <c r="D101" s="323"/>
      <c r="E101" s="360"/>
      <c r="F101" s="565"/>
      <c r="G101" s="565"/>
      <c r="H101" s="360"/>
      <c r="I101" s="360"/>
      <c r="J101" s="360"/>
      <c r="K101" s="360"/>
      <c r="L101" s="394"/>
      <c r="M101" s="392"/>
      <c r="N101" s="360"/>
      <c r="O101" s="360"/>
      <c r="P101" s="360"/>
      <c r="Q101" s="360"/>
      <c r="R101" s="360"/>
      <c r="S101" s="360"/>
      <c r="T101" s="360"/>
      <c r="U101" s="360"/>
      <c r="V101" s="360"/>
      <c r="W101" s="360"/>
      <c r="X101" s="360"/>
      <c r="Y101" s="360"/>
      <c r="Z101" s="360"/>
      <c r="AA101" s="360"/>
      <c r="AB101" s="360"/>
      <c r="AC101" s="360"/>
      <c r="AD101" s="360"/>
      <c r="AE101" s="360"/>
      <c r="AF101" s="360"/>
      <c r="AG101" s="360"/>
      <c r="AH101" s="360"/>
      <c r="AI101" s="360"/>
      <c r="AJ101" s="360"/>
      <c r="AK101" s="360"/>
      <c r="AL101" s="360"/>
      <c r="AM101" s="360"/>
    </row>
    <row r="102" spans="1:39" s="362" customFormat="1">
      <c r="A102" s="327"/>
      <c r="B102" s="1097"/>
      <c r="C102" s="322"/>
      <c r="D102" s="323"/>
      <c r="E102" s="360"/>
      <c r="F102" s="565"/>
      <c r="G102" s="565"/>
      <c r="H102" s="360"/>
      <c r="I102" s="360"/>
      <c r="J102" s="360"/>
      <c r="K102" s="360"/>
      <c r="L102" s="360"/>
      <c r="M102" s="392"/>
      <c r="N102" s="360"/>
      <c r="O102" s="360"/>
      <c r="P102" s="360"/>
      <c r="Q102" s="360"/>
      <c r="R102" s="360"/>
      <c r="S102" s="360"/>
      <c r="T102" s="360"/>
      <c r="U102" s="360"/>
      <c r="V102" s="360"/>
      <c r="W102" s="360"/>
      <c r="X102" s="360"/>
      <c r="Y102" s="360"/>
      <c r="Z102" s="360"/>
      <c r="AA102" s="360"/>
      <c r="AB102" s="360"/>
      <c r="AC102" s="360"/>
      <c r="AD102" s="360"/>
      <c r="AE102" s="360"/>
      <c r="AF102" s="360"/>
      <c r="AG102" s="360"/>
      <c r="AH102" s="360"/>
      <c r="AI102" s="360"/>
      <c r="AJ102" s="360"/>
      <c r="AK102" s="360"/>
      <c r="AL102" s="360"/>
      <c r="AM102" s="360"/>
    </row>
    <row r="103" spans="1:39" s="362" customFormat="1">
      <c r="A103" s="327"/>
      <c r="B103" s="1097"/>
      <c r="C103" s="322"/>
      <c r="D103" s="323"/>
      <c r="E103" s="360"/>
      <c r="F103" s="565"/>
      <c r="G103" s="565"/>
      <c r="H103" s="360"/>
      <c r="I103" s="360"/>
      <c r="J103" s="360"/>
      <c r="K103" s="360"/>
      <c r="L103" s="360"/>
      <c r="M103" s="392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  <c r="Y103" s="360"/>
      <c r="Z103" s="360"/>
      <c r="AA103" s="360"/>
      <c r="AB103" s="360"/>
      <c r="AC103" s="360"/>
      <c r="AD103" s="360"/>
      <c r="AE103" s="360"/>
      <c r="AF103" s="360"/>
      <c r="AG103" s="360"/>
      <c r="AH103" s="360"/>
      <c r="AI103" s="360"/>
      <c r="AJ103" s="360"/>
      <c r="AK103" s="360"/>
      <c r="AL103" s="360"/>
      <c r="AM103" s="360"/>
    </row>
    <row r="104" spans="1:39" s="362" customFormat="1">
      <c r="A104" s="327"/>
      <c r="B104" s="327"/>
      <c r="C104" s="322"/>
      <c r="D104" s="323"/>
      <c r="E104" s="360"/>
      <c r="F104" s="565"/>
      <c r="G104" s="565"/>
      <c r="H104" s="360"/>
      <c r="I104" s="360"/>
      <c r="J104" s="360"/>
      <c r="K104" s="360"/>
      <c r="L104" s="360"/>
      <c r="M104" s="397"/>
      <c r="N104" s="398"/>
      <c r="O104" s="398"/>
      <c r="P104" s="398"/>
      <c r="Q104" s="398"/>
      <c r="R104" s="398"/>
      <c r="S104" s="398"/>
      <c r="T104" s="398"/>
      <c r="U104" s="360"/>
      <c r="V104" s="360"/>
      <c r="W104" s="360"/>
      <c r="X104" s="360"/>
      <c r="Y104" s="360"/>
      <c r="Z104" s="360"/>
      <c r="AA104" s="360"/>
      <c r="AB104" s="360"/>
      <c r="AC104" s="360"/>
      <c r="AD104" s="360"/>
      <c r="AE104" s="360"/>
      <c r="AF104" s="360"/>
      <c r="AG104" s="360"/>
      <c r="AH104" s="360"/>
      <c r="AI104" s="360"/>
      <c r="AJ104" s="360"/>
      <c r="AK104" s="360"/>
      <c r="AL104" s="360"/>
      <c r="AM104" s="360"/>
    </row>
    <row r="105" spans="1:39" s="399" customFormat="1">
      <c r="A105" s="395"/>
      <c r="B105" s="395"/>
      <c r="C105" s="322"/>
      <c r="D105" s="323"/>
      <c r="E105" s="360"/>
      <c r="F105" s="565"/>
      <c r="G105" s="565"/>
      <c r="H105" s="360"/>
      <c r="I105" s="360"/>
      <c r="J105" s="360"/>
      <c r="K105" s="360"/>
      <c r="L105" s="396"/>
      <c r="M105" s="392"/>
      <c r="N105" s="321"/>
      <c r="O105" s="321"/>
      <c r="P105" s="321"/>
      <c r="Q105" s="321"/>
      <c r="R105" s="321"/>
      <c r="S105" s="321"/>
      <c r="T105" s="321"/>
      <c r="U105" s="398"/>
      <c r="V105" s="398"/>
      <c r="W105" s="398"/>
      <c r="X105" s="398"/>
      <c r="Y105" s="398"/>
      <c r="Z105" s="398"/>
      <c r="AA105" s="398"/>
      <c r="AB105" s="398"/>
      <c r="AC105" s="398"/>
      <c r="AD105" s="398"/>
      <c r="AE105" s="398"/>
      <c r="AF105" s="398"/>
      <c r="AG105" s="398"/>
      <c r="AH105" s="398"/>
      <c r="AI105" s="398"/>
      <c r="AJ105" s="398"/>
      <c r="AK105" s="398"/>
      <c r="AL105" s="398"/>
      <c r="AM105" s="398"/>
    </row>
    <row r="106" spans="1:39">
      <c r="A106" s="326"/>
      <c r="B106" s="326"/>
      <c r="C106" s="322"/>
      <c r="D106" s="323"/>
      <c r="E106" s="360"/>
      <c r="F106" s="565"/>
      <c r="G106" s="565"/>
      <c r="H106" s="360"/>
      <c r="I106" s="360"/>
      <c r="J106" s="360"/>
      <c r="K106" s="360"/>
      <c r="L106" s="360"/>
      <c r="M106" s="392"/>
      <c r="N106" s="321"/>
      <c r="O106" s="321"/>
      <c r="P106" s="321"/>
      <c r="Q106" s="321"/>
      <c r="R106" s="321"/>
      <c r="S106" s="321"/>
      <c r="T106" s="321"/>
      <c r="U106" s="321"/>
      <c r="V106" s="321"/>
      <c r="X106" s="321"/>
      <c r="Y106" s="321"/>
      <c r="Z106" s="321"/>
      <c r="AA106" s="321"/>
      <c r="AB106" s="321"/>
      <c r="AC106" s="321"/>
      <c r="AD106" s="321"/>
      <c r="AE106" s="321"/>
      <c r="AF106" s="321"/>
      <c r="AG106" s="321"/>
      <c r="AH106" s="321"/>
      <c r="AI106" s="321"/>
      <c r="AJ106" s="321"/>
      <c r="AK106" s="321"/>
      <c r="AL106" s="321"/>
      <c r="AM106" s="321"/>
    </row>
    <row r="107" spans="1:39">
      <c r="A107" s="326"/>
      <c r="B107" s="326"/>
      <c r="C107" s="322"/>
      <c r="D107" s="323"/>
      <c r="E107" s="324"/>
      <c r="F107" s="560"/>
      <c r="G107" s="567"/>
      <c r="H107" s="321"/>
      <c r="I107" s="321"/>
      <c r="J107" s="322"/>
      <c r="K107" s="321"/>
      <c r="L107" s="360"/>
      <c r="M107" s="392"/>
      <c r="N107" s="321"/>
      <c r="O107" s="321"/>
      <c r="P107" s="321"/>
      <c r="Q107" s="321"/>
      <c r="R107" s="321"/>
      <c r="S107" s="321"/>
      <c r="T107" s="321"/>
      <c r="U107" s="321"/>
      <c r="V107" s="321"/>
      <c r="X107" s="321"/>
      <c r="Y107" s="321"/>
      <c r="Z107" s="321"/>
      <c r="AA107" s="321"/>
      <c r="AB107" s="321"/>
      <c r="AC107" s="321"/>
      <c r="AD107" s="321"/>
      <c r="AE107" s="321"/>
      <c r="AF107" s="321"/>
      <c r="AG107" s="321"/>
      <c r="AH107" s="321"/>
      <c r="AI107" s="321"/>
      <c r="AJ107" s="321"/>
      <c r="AK107" s="321"/>
      <c r="AL107" s="321"/>
      <c r="AM107" s="321"/>
    </row>
    <row r="108" spans="1:39" ht="23.25" customHeight="1">
      <c r="A108" s="326"/>
      <c r="B108" s="326"/>
      <c r="C108" s="322"/>
      <c r="D108" s="323"/>
      <c r="E108" s="324"/>
      <c r="F108" s="560"/>
      <c r="G108" s="567"/>
      <c r="H108" s="321"/>
      <c r="I108" s="321"/>
      <c r="J108" s="322"/>
      <c r="K108" s="321"/>
      <c r="L108" s="360"/>
      <c r="M108" s="392"/>
      <c r="N108" s="321"/>
      <c r="O108" s="321"/>
      <c r="P108" s="321"/>
      <c r="Q108" s="392"/>
      <c r="R108" s="321"/>
      <c r="S108" s="321"/>
      <c r="T108" s="321"/>
      <c r="U108" s="321"/>
      <c r="V108" s="321"/>
      <c r="X108" s="321"/>
      <c r="Y108" s="321"/>
      <c r="Z108" s="321"/>
      <c r="AA108" s="321"/>
      <c r="AB108" s="321"/>
      <c r="AC108" s="321"/>
      <c r="AD108" s="321"/>
      <c r="AE108" s="321"/>
      <c r="AF108" s="321"/>
      <c r="AG108" s="321"/>
      <c r="AH108" s="321"/>
      <c r="AI108" s="321"/>
      <c r="AJ108" s="321"/>
      <c r="AK108" s="321"/>
      <c r="AL108" s="321"/>
      <c r="AM108" s="321"/>
    </row>
    <row r="109" spans="1:39" ht="15.75" customHeight="1">
      <c r="A109" s="326"/>
      <c r="B109" s="321"/>
      <c r="C109" s="322"/>
      <c r="D109" s="323"/>
      <c r="E109" s="324"/>
      <c r="F109" s="560"/>
      <c r="G109" s="567"/>
      <c r="H109" s="321"/>
      <c r="I109" s="321"/>
      <c r="J109" s="322"/>
      <c r="K109" s="321"/>
      <c r="L109" s="360"/>
      <c r="M109" s="392"/>
      <c r="N109" s="321"/>
      <c r="O109" s="321"/>
      <c r="P109" s="321"/>
      <c r="Q109" s="392"/>
      <c r="R109" s="321"/>
      <c r="S109" s="321"/>
      <c r="T109" s="321"/>
      <c r="U109" s="321"/>
      <c r="V109" s="321"/>
      <c r="X109" s="321"/>
      <c r="Y109" s="321"/>
      <c r="Z109" s="321"/>
      <c r="AA109" s="321"/>
      <c r="AB109" s="321"/>
      <c r="AC109" s="321"/>
      <c r="AD109" s="321"/>
      <c r="AE109" s="321"/>
      <c r="AF109" s="321"/>
      <c r="AG109" s="321"/>
      <c r="AH109" s="321"/>
      <c r="AI109" s="321"/>
      <c r="AJ109" s="321"/>
      <c r="AK109" s="321"/>
      <c r="AL109" s="321"/>
      <c r="AM109" s="321"/>
    </row>
    <row r="110" spans="1:39" ht="15.75" customHeight="1">
      <c r="A110" s="321"/>
      <c r="B110" s="321"/>
      <c r="C110" s="322"/>
      <c r="D110" s="323"/>
      <c r="E110" s="324"/>
      <c r="F110" s="560"/>
      <c r="G110" s="567"/>
      <c r="H110" s="321"/>
      <c r="I110" s="321"/>
      <c r="J110" s="322"/>
      <c r="K110" s="321"/>
      <c r="L110" s="360"/>
      <c r="M110" s="392"/>
      <c r="N110" s="321"/>
      <c r="O110" s="321"/>
      <c r="P110" s="321"/>
      <c r="Q110" s="392"/>
      <c r="R110" s="321"/>
      <c r="S110" s="321"/>
      <c r="T110" s="321"/>
      <c r="U110" s="321"/>
      <c r="V110" s="321"/>
      <c r="X110" s="321"/>
      <c r="Y110" s="321"/>
      <c r="Z110" s="321"/>
      <c r="AA110" s="321"/>
      <c r="AB110" s="321"/>
      <c r="AC110" s="321"/>
      <c r="AD110" s="321"/>
      <c r="AE110" s="321"/>
      <c r="AF110" s="321"/>
      <c r="AG110" s="321"/>
      <c r="AH110" s="321"/>
      <c r="AI110" s="321"/>
      <c r="AJ110" s="321"/>
      <c r="AK110" s="321"/>
      <c r="AL110" s="321"/>
      <c r="AM110" s="321"/>
    </row>
    <row r="111" spans="1:39" ht="15.75" customHeight="1">
      <c r="A111" s="321"/>
      <c r="B111" s="321"/>
      <c r="C111" s="322"/>
      <c r="D111" s="323"/>
      <c r="E111" s="324"/>
      <c r="F111" s="560"/>
      <c r="G111" s="567"/>
      <c r="H111" s="321"/>
      <c r="I111" s="321"/>
      <c r="J111" s="322"/>
      <c r="K111" s="321"/>
      <c r="L111" s="360"/>
      <c r="M111" s="392"/>
      <c r="N111" s="321"/>
      <c r="O111" s="321"/>
      <c r="P111" s="321"/>
      <c r="Q111" s="392"/>
      <c r="R111" s="321"/>
      <c r="S111" s="321"/>
      <c r="T111" s="321"/>
      <c r="U111" s="321"/>
      <c r="V111" s="321"/>
      <c r="X111" s="321"/>
      <c r="Y111" s="321"/>
      <c r="Z111" s="321"/>
      <c r="AA111" s="321"/>
      <c r="AB111" s="321"/>
      <c r="AC111" s="321"/>
      <c r="AD111" s="321"/>
      <c r="AE111" s="321"/>
      <c r="AF111" s="321"/>
      <c r="AG111" s="321"/>
      <c r="AH111" s="321"/>
      <c r="AI111" s="321"/>
      <c r="AJ111" s="321"/>
      <c r="AK111" s="321"/>
      <c r="AL111" s="321"/>
      <c r="AM111" s="321"/>
    </row>
    <row r="112" spans="1:39">
      <c r="A112" s="321"/>
      <c r="B112" s="321"/>
      <c r="C112" s="322"/>
      <c r="D112" s="323"/>
      <c r="E112" s="324"/>
      <c r="F112" s="560"/>
      <c r="G112" s="567"/>
      <c r="H112" s="321"/>
      <c r="I112" s="321"/>
      <c r="J112" s="322"/>
      <c r="K112" s="321"/>
      <c r="L112" s="360"/>
      <c r="M112" s="392"/>
      <c r="N112" s="321"/>
      <c r="O112" s="321"/>
      <c r="P112" s="321"/>
      <c r="Q112" s="392"/>
      <c r="R112" s="321"/>
      <c r="S112" s="321"/>
      <c r="T112" s="321"/>
      <c r="U112" s="321"/>
      <c r="V112" s="321"/>
      <c r="X112" s="321"/>
      <c r="Y112" s="321"/>
      <c r="Z112" s="321"/>
      <c r="AA112" s="321"/>
      <c r="AB112" s="321"/>
      <c r="AC112" s="321"/>
      <c r="AD112" s="321"/>
      <c r="AE112" s="321"/>
      <c r="AF112" s="321"/>
      <c r="AG112" s="321"/>
      <c r="AH112" s="321"/>
      <c r="AI112" s="321"/>
      <c r="AJ112" s="321"/>
      <c r="AK112" s="321"/>
      <c r="AL112" s="321"/>
      <c r="AM112" s="321"/>
    </row>
    <row r="113" spans="1:39">
      <c r="A113" s="321"/>
      <c r="B113" s="321"/>
      <c r="C113" s="322"/>
      <c r="D113" s="323"/>
      <c r="E113" s="324"/>
      <c r="F113" s="560"/>
      <c r="G113" s="567"/>
      <c r="H113" s="321"/>
      <c r="I113" s="321"/>
      <c r="J113" s="322"/>
      <c r="K113" s="321"/>
      <c r="L113" s="360"/>
      <c r="M113" s="392"/>
      <c r="N113" s="321"/>
      <c r="O113" s="321"/>
      <c r="P113" s="321"/>
      <c r="Q113" s="392"/>
      <c r="R113" s="321"/>
      <c r="S113" s="321"/>
      <c r="T113" s="321"/>
      <c r="U113" s="321"/>
      <c r="V113" s="321"/>
      <c r="X113" s="321"/>
      <c r="Y113" s="321"/>
      <c r="Z113" s="321"/>
      <c r="AA113" s="321"/>
      <c r="AB113" s="321"/>
      <c r="AC113" s="321"/>
      <c r="AD113" s="321"/>
      <c r="AE113" s="321"/>
      <c r="AF113" s="321"/>
      <c r="AG113" s="321"/>
      <c r="AH113" s="321"/>
      <c r="AI113" s="321"/>
      <c r="AJ113" s="321"/>
      <c r="AK113" s="321"/>
      <c r="AL113" s="321"/>
      <c r="AM113" s="321"/>
    </row>
    <row r="114" spans="1:39">
      <c r="A114" s="321"/>
      <c r="B114" s="321"/>
      <c r="C114" s="322"/>
      <c r="D114" s="323"/>
      <c r="E114" s="324"/>
      <c r="F114" s="560"/>
      <c r="G114" s="567"/>
      <c r="H114" s="321"/>
      <c r="I114" s="321"/>
      <c r="J114" s="322"/>
      <c r="K114" s="321"/>
      <c r="L114" s="360"/>
      <c r="M114" s="392"/>
      <c r="N114" s="321"/>
      <c r="O114" s="321"/>
      <c r="P114" s="321"/>
      <c r="Q114" s="392"/>
      <c r="R114" s="321"/>
      <c r="S114" s="321"/>
      <c r="T114" s="321"/>
      <c r="U114" s="321"/>
      <c r="V114" s="321"/>
      <c r="X114" s="321"/>
      <c r="Y114" s="321"/>
      <c r="Z114" s="321"/>
      <c r="AA114" s="321"/>
      <c r="AB114" s="321"/>
      <c r="AC114" s="321"/>
      <c r="AD114" s="321"/>
      <c r="AE114" s="321"/>
      <c r="AF114" s="321"/>
      <c r="AG114" s="321"/>
      <c r="AH114" s="321"/>
      <c r="AI114" s="321"/>
      <c r="AJ114" s="321"/>
      <c r="AK114" s="321"/>
      <c r="AL114" s="321"/>
      <c r="AM114" s="321"/>
    </row>
    <row r="115" spans="1:39">
      <c r="A115" s="321"/>
      <c r="B115" s="321"/>
      <c r="C115" s="322"/>
      <c r="D115" s="323"/>
      <c r="E115" s="324"/>
      <c r="F115" s="560"/>
      <c r="G115" s="567"/>
      <c r="H115" s="321"/>
      <c r="I115" s="321"/>
      <c r="J115" s="322"/>
      <c r="K115" s="321"/>
      <c r="L115" s="360"/>
      <c r="M115" s="392"/>
      <c r="N115" s="321"/>
      <c r="O115" s="321"/>
      <c r="P115" s="321"/>
      <c r="Q115" s="392"/>
      <c r="R115" s="321"/>
      <c r="S115" s="321"/>
      <c r="T115" s="321"/>
      <c r="U115" s="321"/>
      <c r="V115" s="321"/>
      <c r="X115" s="321"/>
      <c r="Y115" s="321"/>
      <c r="Z115" s="321"/>
      <c r="AA115" s="321"/>
      <c r="AB115" s="321"/>
      <c r="AC115" s="321"/>
      <c r="AD115" s="321"/>
      <c r="AE115" s="321"/>
      <c r="AF115" s="321"/>
      <c r="AG115" s="321"/>
      <c r="AH115" s="321"/>
      <c r="AI115" s="321"/>
      <c r="AJ115" s="321"/>
      <c r="AK115" s="321"/>
      <c r="AL115" s="321"/>
      <c r="AM115" s="321"/>
    </row>
    <row r="116" spans="1:39">
      <c r="A116" s="321"/>
      <c r="B116" s="321"/>
      <c r="C116" s="322"/>
      <c r="D116" s="323"/>
      <c r="E116" s="324"/>
      <c r="F116" s="560"/>
      <c r="G116" s="567"/>
      <c r="H116" s="321"/>
      <c r="I116" s="321"/>
      <c r="J116" s="322"/>
      <c r="K116" s="321"/>
      <c r="L116" s="360"/>
      <c r="M116" s="392"/>
      <c r="N116" s="321"/>
      <c r="O116" s="321"/>
      <c r="P116" s="321"/>
      <c r="Q116" s="392"/>
      <c r="R116" s="321"/>
      <c r="S116" s="321"/>
      <c r="T116" s="321"/>
      <c r="U116" s="321"/>
      <c r="V116" s="321"/>
      <c r="X116" s="321"/>
      <c r="Y116" s="321"/>
      <c r="Z116" s="321"/>
      <c r="AA116" s="321"/>
      <c r="AB116" s="321"/>
      <c r="AC116" s="321"/>
      <c r="AD116" s="321"/>
      <c r="AE116" s="321"/>
      <c r="AF116" s="321"/>
      <c r="AG116" s="321"/>
      <c r="AH116" s="321"/>
      <c r="AI116" s="321"/>
      <c r="AJ116" s="321"/>
      <c r="AK116" s="321"/>
      <c r="AL116" s="321"/>
      <c r="AM116" s="321"/>
    </row>
    <row r="117" spans="1:39">
      <c r="A117" s="321"/>
      <c r="B117" s="321"/>
      <c r="C117" s="322"/>
      <c r="D117" s="323"/>
      <c r="E117" s="324"/>
      <c r="F117" s="560"/>
      <c r="G117" s="567"/>
      <c r="H117" s="321"/>
      <c r="I117" s="321"/>
      <c r="J117" s="322"/>
      <c r="K117" s="321"/>
      <c r="L117" s="360"/>
      <c r="M117" s="392"/>
      <c r="N117" s="321"/>
      <c r="O117" s="321"/>
      <c r="P117" s="321"/>
      <c r="Q117" s="321"/>
      <c r="R117" s="321"/>
      <c r="S117" s="321"/>
      <c r="T117" s="321"/>
      <c r="U117" s="321"/>
      <c r="V117" s="321"/>
      <c r="X117" s="321"/>
      <c r="Y117" s="321"/>
      <c r="Z117" s="321"/>
      <c r="AA117" s="321"/>
      <c r="AB117" s="321"/>
      <c r="AC117" s="321"/>
      <c r="AD117" s="321"/>
      <c r="AE117" s="321"/>
      <c r="AF117" s="321"/>
      <c r="AG117" s="321"/>
      <c r="AH117" s="321"/>
      <c r="AI117" s="321"/>
      <c r="AJ117" s="321"/>
      <c r="AK117" s="321"/>
      <c r="AL117" s="321"/>
      <c r="AM117" s="321"/>
    </row>
    <row r="118" spans="1:39" ht="15.75" customHeight="1">
      <c r="A118" s="321"/>
      <c r="B118" s="321"/>
      <c r="C118" s="322"/>
      <c r="D118" s="323"/>
      <c r="E118" s="324"/>
      <c r="F118" s="560"/>
      <c r="G118" s="567"/>
      <c r="H118" s="321"/>
      <c r="I118" s="321"/>
      <c r="J118" s="322"/>
      <c r="K118" s="321"/>
      <c r="L118" s="360"/>
      <c r="M118" s="392"/>
      <c r="N118" s="321"/>
      <c r="O118" s="321"/>
      <c r="P118" s="321"/>
      <c r="Q118" s="321"/>
      <c r="R118" s="321"/>
      <c r="S118" s="321"/>
      <c r="T118" s="321"/>
      <c r="U118" s="321"/>
      <c r="V118" s="321"/>
      <c r="X118" s="321"/>
      <c r="Y118" s="321"/>
      <c r="Z118" s="321"/>
      <c r="AA118" s="321"/>
      <c r="AB118" s="321"/>
      <c r="AC118" s="321"/>
      <c r="AD118" s="321"/>
      <c r="AE118" s="321"/>
      <c r="AF118" s="321"/>
      <c r="AG118" s="321"/>
      <c r="AH118" s="321"/>
      <c r="AI118" s="321"/>
      <c r="AJ118" s="321"/>
      <c r="AK118" s="321"/>
      <c r="AL118" s="321"/>
      <c r="AM118" s="321"/>
    </row>
    <row r="119" spans="1:39">
      <c r="A119" s="321"/>
      <c r="B119" s="321"/>
      <c r="C119" s="322"/>
      <c r="D119" s="323"/>
      <c r="E119" s="324"/>
      <c r="F119" s="560"/>
      <c r="G119" s="567"/>
      <c r="H119" s="321"/>
      <c r="I119" s="321"/>
      <c r="J119" s="322"/>
      <c r="K119" s="321"/>
      <c r="L119" s="360"/>
      <c r="M119" s="392"/>
      <c r="N119" s="321"/>
      <c r="O119" s="321"/>
      <c r="P119" s="321"/>
      <c r="Q119" s="321"/>
      <c r="R119" s="321"/>
      <c r="S119" s="321"/>
      <c r="T119" s="321"/>
      <c r="U119" s="321"/>
      <c r="V119" s="321"/>
      <c r="X119" s="321"/>
      <c r="Y119" s="321"/>
      <c r="Z119" s="321"/>
      <c r="AA119" s="321"/>
      <c r="AB119" s="321"/>
      <c r="AC119" s="321"/>
      <c r="AD119" s="321"/>
      <c r="AE119" s="321"/>
      <c r="AF119" s="321"/>
      <c r="AG119" s="321"/>
      <c r="AH119" s="321"/>
      <c r="AI119" s="321"/>
      <c r="AJ119" s="321"/>
      <c r="AK119" s="321"/>
      <c r="AL119" s="321"/>
      <c r="AM119" s="321"/>
    </row>
    <row r="120" spans="1:39">
      <c r="A120" s="321"/>
      <c r="B120" s="321"/>
      <c r="C120" s="322"/>
      <c r="D120" s="323"/>
      <c r="E120" s="324"/>
      <c r="F120" s="560"/>
      <c r="G120" s="567"/>
      <c r="H120" s="321"/>
      <c r="I120" s="321"/>
      <c r="J120" s="322"/>
      <c r="K120" s="321"/>
      <c r="L120" s="360"/>
      <c r="M120" s="392"/>
      <c r="N120" s="321"/>
      <c r="O120" s="321"/>
      <c r="P120" s="321"/>
      <c r="Q120" s="321"/>
      <c r="R120" s="321"/>
      <c r="S120" s="321"/>
      <c r="T120" s="321"/>
      <c r="U120" s="321"/>
      <c r="V120" s="321"/>
      <c r="X120" s="321"/>
      <c r="Y120" s="321"/>
      <c r="Z120" s="321"/>
      <c r="AA120" s="321"/>
      <c r="AB120" s="321"/>
      <c r="AC120" s="321"/>
      <c r="AD120" s="321"/>
      <c r="AE120" s="321"/>
      <c r="AF120" s="321"/>
      <c r="AG120" s="321"/>
      <c r="AH120" s="321"/>
      <c r="AI120" s="321"/>
      <c r="AJ120" s="321"/>
      <c r="AK120" s="321"/>
      <c r="AL120" s="321"/>
      <c r="AM120" s="321"/>
    </row>
    <row r="121" spans="1:39">
      <c r="A121" s="321"/>
      <c r="B121" s="321"/>
      <c r="C121" s="322"/>
      <c r="D121" s="323"/>
      <c r="E121" s="324"/>
      <c r="F121" s="560"/>
      <c r="G121" s="567"/>
      <c r="H121" s="321"/>
      <c r="I121" s="321"/>
      <c r="J121" s="322"/>
      <c r="K121" s="321"/>
      <c r="L121" s="360"/>
      <c r="M121" s="392"/>
      <c r="N121" s="321"/>
      <c r="O121" s="321"/>
      <c r="P121" s="321"/>
      <c r="Q121" s="321"/>
      <c r="R121" s="321"/>
      <c r="S121" s="321"/>
      <c r="T121" s="321"/>
      <c r="U121" s="321"/>
      <c r="V121" s="321"/>
      <c r="X121" s="321"/>
      <c r="Y121" s="321"/>
      <c r="Z121" s="321"/>
      <c r="AA121" s="321"/>
      <c r="AB121" s="321"/>
      <c r="AC121" s="321"/>
      <c r="AD121" s="321"/>
      <c r="AE121" s="321"/>
      <c r="AF121" s="321"/>
      <c r="AG121" s="321"/>
      <c r="AH121" s="321"/>
      <c r="AI121" s="321"/>
      <c r="AJ121" s="321"/>
      <c r="AK121" s="321"/>
      <c r="AL121" s="321"/>
      <c r="AM121" s="321"/>
    </row>
    <row r="122" spans="1:39">
      <c r="A122" s="321"/>
      <c r="B122" s="321"/>
      <c r="C122" s="322"/>
      <c r="D122" s="323"/>
      <c r="E122" s="324"/>
      <c r="F122" s="560"/>
      <c r="G122" s="567"/>
      <c r="H122" s="321"/>
      <c r="I122" s="321"/>
      <c r="J122" s="322"/>
      <c r="K122" s="321"/>
      <c r="L122" s="360"/>
      <c r="M122" s="392"/>
      <c r="N122" s="321"/>
      <c r="O122" s="321"/>
      <c r="P122" s="321"/>
      <c r="Q122" s="321"/>
      <c r="R122" s="321"/>
      <c r="S122" s="321"/>
      <c r="T122" s="321"/>
      <c r="U122" s="321"/>
      <c r="V122" s="321"/>
      <c r="X122" s="321"/>
      <c r="Y122" s="321"/>
      <c r="Z122" s="321"/>
      <c r="AA122" s="321"/>
      <c r="AB122" s="321"/>
      <c r="AC122" s="321"/>
      <c r="AD122" s="321"/>
      <c r="AE122" s="321"/>
      <c r="AF122" s="321"/>
      <c r="AG122" s="321"/>
      <c r="AH122" s="321"/>
      <c r="AI122" s="321"/>
      <c r="AJ122" s="321"/>
      <c r="AK122" s="321"/>
      <c r="AL122" s="321"/>
      <c r="AM122" s="321"/>
    </row>
    <row r="123" spans="1:39">
      <c r="A123" s="321"/>
      <c r="B123" s="321"/>
      <c r="C123" s="322"/>
      <c r="D123" s="323"/>
      <c r="E123" s="324"/>
      <c r="F123" s="560"/>
      <c r="G123" s="567"/>
      <c r="H123" s="321"/>
      <c r="I123" s="321"/>
      <c r="J123" s="322"/>
      <c r="K123" s="321"/>
      <c r="L123" s="360"/>
      <c r="M123" s="392"/>
      <c r="N123" s="321"/>
      <c r="O123" s="321"/>
      <c r="P123" s="321"/>
      <c r="Q123" s="321"/>
      <c r="R123" s="321"/>
      <c r="S123" s="321"/>
      <c r="T123" s="321"/>
      <c r="U123" s="321"/>
      <c r="V123" s="321"/>
      <c r="X123" s="321"/>
      <c r="Y123" s="321"/>
      <c r="Z123" s="321"/>
      <c r="AA123" s="321"/>
      <c r="AB123" s="321"/>
      <c r="AC123" s="321"/>
      <c r="AD123" s="321"/>
      <c r="AE123" s="321"/>
      <c r="AF123" s="321"/>
      <c r="AG123" s="321"/>
      <c r="AH123" s="321"/>
      <c r="AI123" s="321"/>
      <c r="AJ123" s="321"/>
      <c r="AK123" s="321"/>
      <c r="AL123" s="321"/>
      <c r="AM123" s="321"/>
    </row>
    <row r="124" spans="1:39">
      <c r="A124" s="321"/>
      <c r="B124" s="321"/>
      <c r="C124" s="322"/>
      <c r="D124" s="323"/>
      <c r="E124" s="324"/>
      <c r="F124" s="560"/>
      <c r="G124" s="567"/>
      <c r="H124" s="321"/>
      <c r="I124" s="321"/>
      <c r="J124" s="322"/>
      <c r="K124" s="321"/>
      <c r="L124" s="360"/>
      <c r="M124" s="392"/>
      <c r="N124" s="321"/>
      <c r="O124" s="321"/>
      <c r="P124" s="321"/>
      <c r="Q124" s="321"/>
      <c r="R124" s="321"/>
      <c r="S124" s="321"/>
      <c r="T124" s="321"/>
      <c r="U124" s="321"/>
      <c r="V124" s="321"/>
      <c r="X124" s="321"/>
      <c r="Y124" s="321"/>
      <c r="Z124" s="321"/>
      <c r="AA124" s="321"/>
      <c r="AB124" s="321"/>
      <c r="AC124" s="321"/>
      <c r="AD124" s="321"/>
      <c r="AE124" s="321"/>
      <c r="AF124" s="321"/>
      <c r="AG124" s="321"/>
      <c r="AH124" s="321"/>
      <c r="AI124" s="321"/>
      <c r="AJ124" s="321"/>
      <c r="AK124" s="321"/>
      <c r="AL124" s="321"/>
      <c r="AM124" s="321"/>
    </row>
    <row r="125" spans="1:39">
      <c r="A125" s="321"/>
      <c r="B125" s="321"/>
      <c r="C125" s="322"/>
      <c r="D125" s="323"/>
      <c r="E125" s="324"/>
      <c r="F125" s="560"/>
      <c r="G125" s="567"/>
      <c r="H125" s="321"/>
      <c r="I125" s="321"/>
      <c r="J125" s="322"/>
      <c r="K125" s="321"/>
      <c r="L125" s="360"/>
      <c r="M125" s="392"/>
      <c r="N125" s="321"/>
      <c r="O125" s="321"/>
      <c r="P125" s="321"/>
      <c r="Q125" s="368"/>
      <c r="R125" s="321"/>
      <c r="S125" s="321"/>
      <c r="T125" s="321"/>
      <c r="U125" s="321"/>
      <c r="V125" s="321"/>
      <c r="X125" s="321"/>
      <c r="Y125" s="321"/>
      <c r="Z125" s="321"/>
      <c r="AA125" s="321"/>
      <c r="AB125" s="321"/>
      <c r="AC125" s="321"/>
      <c r="AD125" s="321"/>
      <c r="AE125" s="321"/>
      <c r="AF125" s="321"/>
      <c r="AG125" s="321"/>
      <c r="AH125" s="321"/>
      <c r="AI125" s="321"/>
      <c r="AJ125" s="321"/>
      <c r="AK125" s="321"/>
      <c r="AL125" s="321"/>
      <c r="AM125" s="321"/>
    </row>
    <row r="126" spans="1:39">
      <c r="A126" s="321"/>
      <c r="B126" s="321"/>
      <c r="C126" s="322"/>
      <c r="D126" s="323"/>
      <c r="E126" s="324"/>
      <c r="F126" s="560"/>
      <c r="G126" s="567"/>
      <c r="H126" s="321"/>
      <c r="I126" s="321"/>
      <c r="J126" s="322"/>
      <c r="K126" s="321"/>
      <c r="L126" s="360"/>
      <c r="M126" s="392"/>
      <c r="N126" s="321"/>
      <c r="O126" s="321"/>
      <c r="P126" s="321"/>
      <c r="Q126" s="321"/>
      <c r="R126" s="321"/>
      <c r="S126" s="321"/>
      <c r="T126" s="321"/>
      <c r="U126" s="321"/>
      <c r="V126" s="321"/>
      <c r="X126" s="321"/>
      <c r="Y126" s="321"/>
      <c r="Z126" s="321"/>
      <c r="AA126" s="321"/>
      <c r="AB126" s="321"/>
      <c r="AC126" s="321"/>
      <c r="AD126" s="321"/>
      <c r="AE126" s="321"/>
      <c r="AF126" s="321"/>
      <c r="AG126" s="321"/>
      <c r="AH126" s="321"/>
      <c r="AI126" s="321"/>
      <c r="AJ126" s="321"/>
      <c r="AK126" s="321"/>
      <c r="AL126" s="321"/>
      <c r="AM126" s="321"/>
    </row>
    <row r="127" spans="1:39">
      <c r="A127" s="321"/>
      <c r="B127" s="321"/>
      <c r="C127" s="322"/>
      <c r="D127" s="323"/>
      <c r="E127" s="324"/>
      <c r="F127" s="560"/>
      <c r="G127" s="567"/>
      <c r="H127" s="321"/>
      <c r="I127" s="321"/>
      <c r="J127" s="322"/>
      <c r="K127" s="321"/>
      <c r="L127" s="360"/>
      <c r="M127" s="392"/>
      <c r="N127" s="321"/>
      <c r="O127" s="321"/>
      <c r="P127" s="321"/>
      <c r="Q127" s="321"/>
      <c r="R127" s="321"/>
      <c r="S127" s="321"/>
      <c r="T127" s="321"/>
      <c r="U127" s="321"/>
      <c r="V127" s="321"/>
      <c r="X127" s="321"/>
      <c r="Y127" s="321"/>
      <c r="Z127" s="321"/>
      <c r="AA127" s="321"/>
      <c r="AB127" s="321"/>
      <c r="AC127" s="321"/>
      <c r="AD127" s="321"/>
      <c r="AE127" s="321"/>
      <c r="AF127" s="321"/>
      <c r="AG127" s="321"/>
      <c r="AH127" s="321"/>
      <c r="AI127" s="321"/>
      <c r="AJ127" s="321"/>
      <c r="AK127" s="321"/>
      <c r="AL127" s="321"/>
      <c r="AM127" s="321"/>
    </row>
    <row r="128" spans="1:39">
      <c r="A128" s="321"/>
      <c r="B128" s="321"/>
      <c r="C128" s="322"/>
      <c r="D128" s="323"/>
      <c r="E128" s="324"/>
      <c r="F128" s="560"/>
      <c r="G128" s="567"/>
      <c r="H128" s="321"/>
      <c r="I128" s="321"/>
      <c r="J128" s="322"/>
      <c r="K128" s="321"/>
      <c r="L128" s="360"/>
      <c r="M128" s="392"/>
      <c r="N128" s="321"/>
      <c r="O128" s="321"/>
      <c r="P128" s="321"/>
      <c r="Q128" s="321"/>
      <c r="R128" s="321"/>
      <c r="S128" s="321"/>
      <c r="T128" s="321"/>
      <c r="U128" s="321"/>
      <c r="V128" s="321"/>
      <c r="X128" s="321"/>
      <c r="Y128" s="321"/>
      <c r="Z128" s="321"/>
      <c r="AA128" s="321"/>
      <c r="AB128" s="321"/>
      <c r="AC128" s="321"/>
      <c r="AD128" s="321"/>
      <c r="AE128" s="321"/>
      <c r="AF128" s="321"/>
      <c r="AG128" s="321"/>
      <c r="AH128" s="321"/>
      <c r="AI128" s="321"/>
      <c r="AJ128" s="321"/>
      <c r="AK128" s="321"/>
      <c r="AL128" s="321"/>
      <c r="AM128" s="321"/>
    </row>
    <row r="129" spans="1:39">
      <c r="A129" s="321"/>
      <c r="B129" s="321"/>
      <c r="C129" s="322"/>
      <c r="D129" s="323"/>
      <c r="E129" s="324"/>
      <c r="F129" s="560"/>
      <c r="G129" s="567"/>
      <c r="H129" s="321"/>
      <c r="I129" s="321"/>
      <c r="J129" s="322"/>
      <c r="K129" s="321"/>
      <c r="L129" s="360"/>
      <c r="M129" s="392"/>
      <c r="N129" s="321"/>
      <c r="O129" s="321"/>
      <c r="P129" s="321"/>
      <c r="Q129" s="321"/>
      <c r="R129" s="321"/>
      <c r="S129" s="321"/>
      <c r="T129" s="321"/>
      <c r="U129" s="321"/>
      <c r="V129" s="321"/>
      <c r="X129" s="321"/>
      <c r="Y129" s="321"/>
      <c r="Z129" s="321"/>
      <c r="AA129" s="321"/>
      <c r="AB129" s="321"/>
      <c r="AC129" s="321"/>
      <c r="AD129" s="321"/>
      <c r="AE129" s="321"/>
      <c r="AF129" s="321"/>
      <c r="AG129" s="321"/>
      <c r="AH129" s="321"/>
      <c r="AI129" s="321"/>
      <c r="AJ129" s="321"/>
      <c r="AK129" s="321"/>
      <c r="AL129" s="321"/>
      <c r="AM129" s="321"/>
    </row>
    <row r="130" spans="1:39">
      <c r="A130" s="321"/>
      <c r="B130" s="321"/>
      <c r="C130" s="322"/>
      <c r="D130" s="323"/>
      <c r="E130" s="324"/>
      <c r="F130" s="560"/>
      <c r="G130" s="567"/>
      <c r="H130" s="321"/>
      <c r="I130" s="321"/>
      <c r="J130" s="322"/>
      <c r="K130" s="321"/>
      <c r="L130" s="360"/>
      <c r="M130" s="392"/>
      <c r="N130" s="321"/>
      <c r="O130" s="321"/>
      <c r="P130" s="321"/>
      <c r="Q130" s="321"/>
      <c r="R130" s="321"/>
      <c r="S130" s="321"/>
      <c r="T130" s="321"/>
      <c r="U130" s="321"/>
      <c r="V130" s="321"/>
      <c r="X130" s="321"/>
      <c r="Y130" s="321"/>
      <c r="Z130" s="321"/>
      <c r="AA130" s="321"/>
      <c r="AB130" s="321"/>
      <c r="AC130" s="321"/>
      <c r="AD130" s="321"/>
      <c r="AE130" s="321"/>
      <c r="AF130" s="321"/>
      <c r="AG130" s="321"/>
      <c r="AH130" s="321"/>
      <c r="AI130" s="321"/>
      <c r="AJ130" s="321"/>
      <c r="AK130" s="321"/>
      <c r="AL130" s="321"/>
      <c r="AM130" s="321"/>
    </row>
    <row r="131" spans="1:39">
      <c r="A131" s="321"/>
      <c r="B131" s="321"/>
      <c r="C131" s="322"/>
      <c r="D131" s="323"/>
      <c r="E131" s="324"/>
      <c r="F131" s="560"/>
      <c r="G131" s="567"/>
      <c r="H131" s="321"/>
      <c r="I131" s="321"/>
      <c r="J131" s="322"/>
      <c r="K131" s="321"/>
      <c r="L131" s="360"/>
      <c r="M131" s="392"/>
      <c r="N131" s="321"/>
      <c r="O131" s="321"/>
      <c r="P131" s="321"/>
      <c r="Q131" s="321"/>
      <c r="R131" s="321"/>
      <c r="S131" s="321"/>
      <c r="T131" s="321"/>
      <c r="U131" s="321"/>
      <c r="V131" s="321"/>
      <c r="X131" s="321"/>
      <c r="Y131" s="321"/>
      <c r="Z131" s="321"/>
      <c r="AA131" s="321"/>
      <c r="AB131" s="321"/>
      <c r="AC131" s="321"/>
      <c r="AD131" s="321"/>
      <c r="AE131" s="321"/>
      <c r="AF131" s="321"/>
      <c r="AG131" s="321"/>
      <c r="AH131" s="321"/>
      <c r="AI131" s="321"/>
      <c r="AJ131" s="321"/>
      <c r="AK131" s="321"/>
      <c r="AL131" s="321"/>
      <c r="AM131" s="321"/>
    </row>
    <row r="132" spans="1:39" ht="49.5" customHeight="1" thickBot="1">
      <c r="A132" s="321"/>
      <c r="B132" s="446"/>
      <c r="C132" s="1575" t="s">
        <v>136</v>
      </c>
      <c r="D132" s="1575"/>
      <c r="E132" s="1575"/>
      <c r="F132" s="1575"/>
      <c r="G132" s="1575"/>
      <c r="H132" s="1575"/>
      <c r="I132" s="1575"/>
      <c r="J132" s="1575"/>
      <c r="K132" s="1575"/>
      <c r="L132" s="1575"/>
      <c r="M132" s="1575"/>
      <c r="N132" s="321"/>
      <c r="O132" s="571" t="s">
        <v>137</v>
      </c>
      <c r="P132" s="321"/>
      <c r="Q132" s="321"/>
      <c r="R132" s="321"/>
      <c r="S132" s="321"/>
      <c r="T132" s="321"/>
      <c r="U132" s="321"/>
      <c r="V132" s="321"/>
      <c r="X132" s="321"/>
      <c r="Y132" s="321"/>
      <c r="Z132" s="321"/>
      <c r="AA132" s="321"/>
      <c r="AB132" s="321"/>
      <c r="AC132" s="321"/>
      <c r="AD132" s="321"/>
      <c r="AE132" s="321"/>
      <c r="AF132" s="321"/>
      <c r="AG132" s="321"/>
      <c r="AH132" s="321"/>
      <c r="AI132" s="321"/>
      <c r="AJ132" s="321"/>
      <c r="AK132" s="321"/>
      <c r="AL132" s="321"/>
      <c r="AM132" s="321"/>
    </row>
    <row r="133" spans="1:39" ht="16.5" thickBot="1">
      <c r="A133" s="321"/>
      <c r="B133" s="446"/>
      <c r="C133" s="1566" t="s">
        <v>138</v>
      </c>
      <c r="D133" s="599"/>
      <c r="E133" s="600"/>
      <c r="F133" s="601"/>
      <c r="G133" s="602"/>
      <c r="H133" s="603"/>
      <c r="I133" s="604"/>
      <c r="J133" s="605"/>
      <c r="K133" s="599"/>
      <c r="L133" s="606"/>
      <c r="M133" s="607"/>
      <c r="N133" s="321"/>
      <c r="O133" s="321"/>
      <c r="P133" s="321"/>
      <c r="Q133" s="321"/>
      <c r="R133" s="321"/>
      <c r="S133" s="321"/>
      <c r="T133" s="321"/>
      <c r="U133" s="321"/>
      <c r="V133" s="321"/>
      <c r="X133" s="321"/>
      <c r="Y133" s="321"/>
      <c r="Z133" s="321"/>
      <c r="AA133" s="321"/>
      <c r="AB133" s="321"/>
      <c r="AC133" s="321"/>
      <c r="AD133" s="321"/>
      <c r="AE133" s="321"/>
      <c r="AF133" s="321"/>
      <c r="AG133" s="321"/>
      <c r="AH133" s="321"/>
      <c r="AI133" s="321"/>
      <c r="AJ133" s="321"/>
      <c r="AK133" s="321"/>
      <c r="AL133" s="321"/>
      <c r="AM133" s="321"/>
    </row>
    <row r="134" spans="1:39">
      <c r="A134" s="321"/>
      <c r="B134" s="446"/>
      <c r="C134" s="1567"/>
      <c r="D134" s="608"/>
      <c r="E134" s="1104" t="s">
        <v>139</v>
      </c>
      <c r="F134" s="609" t="s">
        <v>140</v>
      </c>
      <c r="G134" s="610" t="s">
        <v>141</v>
      </c>
      <c r="H134" s="611"/>
      <c r="I134" s="612" t="s">
        <v>142</v>
      </c>
      <c r="J134" s="613" t="s">
        <v>143</v>
      </c>
      <c r="K134" s="614" t="s">
        <v>132</v>
      </c>
      <c r="L134" s="615" t="s">
        <v>134</v>
      </c>
      <c r="M134" s="1098"/>
      <c r="N134" s="321"/>
      <c r="O134" s="321"/>
      <c r="P134" s="321"/>
      <c r="Q134" s="321"/>
      <c r="R134" s="321"/>
      <c r="S134" s="321"/>
      <c r="T134" s="321"/>
      <c r="U134" s="321"/>
      <c r="V134" s="321"/>
      <c r="X134" s="321"/>
      <c r="Y134" s="321"/>
      <c r="Z134" s="321"/>
      <c r="AA134" s="321"/>
      <c r="AB134" s="321"/>
      <c r="AC134" s="321"/>
      <c r="AD134" s="321"/>
      <c r="AE134" s="321"/>
      <c r="AF134" s="321"/>
      <c r="AG134" s="321"/>
      <c r="AH134" s="321"/>
      <c r="AI134" s="321"/>
      <c r="AJ134" s="321"/>
      <c r="AK134" s="321"/>
      <c r="AL134" s="321"/>
      <c r="AM134" s="321"/>
    </row>
    <row r="135" spans="1:39">
      <c r="A135" s="321"/>
      <c r="B135" s="446"/>
      <c r="C135" s="1567"/>
      <c r="D135" s="608"/>
      <c r="E135" s="616" t="s">
        <v>144</v>
      </c>
      <c r="F135" s="617">
        <f>COUNTIF(J$1:J$132,"Positif")</f>
        <v>24</v>
      </c>
      <c r="G135" s="618">
        <f>COUNTIF(J$1:J$132,"Négatif")</f>
        <v>4</v>
      </c>
      <c r="H135" s="611"/>
      <c r="I135" s="619" t="s">
        <v>145</v>
      </c>
      <c r="J135" s="620">
        <f>COUNTIFS(F$1:F$132,"PQR",G$1:G$132, 40)</f>
        <v>5</v>
      </c>
      <c r="K135" s="621">
        <f>COUNTIFS(F$1:F$132,"PQR",G$1:G$132, 65)</f>
        <v>5</v>
      </c>
      <c r="L135" s="622">
        <f>COUNTIFS(F$1:F$132,"PQR",G$1:G$132, 64)</f>
        <v>7</v>
      </c>
      <c r="M135" s="1098"/>
      <c r="N135" s="321"/>
      <c r="O135" s="321"/>
      <c r="P135" s="321"/>
      <c r="Q135" s="321"/>
      <c r="R135" s="321"/>
      <c r="S135" s="321"/>
      <c r="T135" s="321"/>
      <c r="U135" s="321"/>
      <c r="V135" s="321"/>
      <c r="X135" s="321"/>
      <c r="Y135" s="321"/>
      <c r="Z135" s="321"/>
      <c r="AA135" s="321"/>
      <c r="AB135" s="321"/>
      <c r="AC135" s="321"/>
      <c r="AD135" s="321"/>
      <c r="AE135" s="321"/>
      <c r="AF135" s="321"/>
      <c r="AG135" s="321"/>
      <c r="AH135" s="321"/>
      <c r="AI135" s="321"/>
      <c r="AJ135" s="321"/>
      <c r="AK135" s="321"/>
      <c r="AL135" s="321"/>
      <c r="AM135" s="321"/>
    </row>
    <row r="136" spans="1:39">
      <c r="A136" s="321"/>
      <c r="B136" s="446"/>
      <c r="C136" s="1567"/>
      <c r="D136" s="608"/>
      <c r="E136" s="623" t="s">
        <v>143</v>
      </c>
      <c r="F136" s="617">
        <f>COUNTIFS(G$1:G$132,40,J$1:J$132, "Positif")</f>
        <v>9</v>
      </c>
      <c r="G136" s="618">
        <f>COUNTIFS(G$1:G$132,40,J$1:J$132, "Negatif")+COUNTIFS(G$1:G$132,40,J$1:J$132, "Negative")+COUNTIFS(G$1:G$132,40,J$1:J$132, "négatif")+COUNTIFS(G$1:G$132,40,J$1:J$132, "négative")</f>
        <v>0</v>
      </c>
      <c r="H136" s="611"/>
      <c r="I136" s="624" t="s">
        <v>146</v>
      </c>
      <c r="J136" s="620">
        <f>COUNTIFS(F$1:F$132,"web",G$1:G$132, 40)</f>
        <v>4</v>
      </c>
      <c r="K136" s="620">
        <f>COUNTIFS(F$1:F$132,"web",G$1:G$132, 65)</f>
        <v>3</v>
      </c>
      <c r="L136" s="625">
        <f>COUNTIFS(F$1:F$132,"web",G$1:G$132, 64)</f>
        <v>4</v>
      </c>
      <c r="M136" s="1098"/>
      <c r="N136" s="321"/>
      <c r="O136" s="321"/>
      <c r="P136" s="321"/>
      <c r="Q136" s="321"/>
      <c r="R136" s="321"/>
      <c r="S136" s="321"/>
      <c r="T136" s="321"/>
      <c r="U136" s="321"/>
      <c r="V136" s="321"/>
      <c r="X136" s="321"/>
      <c r="Y136" s="321"/>
      <c r="Z136" s="321"/>
      <c r="AA136" s="321"/>
      <c r="AB136" s="321"/>
      <c r="AC136" s="321"/>
      <c r="AD136" s="321"/>
      <c r="AE136" s="321"/>
      <c r="AF136" s="321"/>
      <c r="AG136" s="321"/>
      <c r="AH136" s="321"/>
      <c r="AI136" s="321"/>
      <c r="AJ136" s="321"/>
      <c r="AK136" s="321"/>
      <c r="AL136" s="321"/>
      <c r="AM136" s="321"/>
    </row>
    <row r="137" spans="1:39">
      <c r="A137" s="321"/>
      <c r="B137" s="446"/>
      <c r="C137" s="1567"/>
      <c r="D137" s="608"/>
      <c r="E137" s="623" t="s">
        <v>132</v>
      </c>
      <c r="F137" s="617">
        <f>COUNTIFS(G$1:G$132,65,J$1:J$132, "Positif")</f>
        <v>5</v>
      </c>
      <c r="G137" s="618">
        <f>COUNTIFS(G$1:G$132,65,J$1:J$132, "Negatif")+COUNTIFS(G$1:G$132,65,J$1:J$132, "Negative")+COUNTIFS(G$1:G$132,65,J$1:J$132, "négatif")+COUNTIFS(G$1:G$132,65,J$1:J$132, "négative")</f>
        <v>3</v>
      </c>
      <c r="H137" s="611"/>
      <c r="I137" s="624" t="s">
        <v>147</v>
      </c>
      <c r="J137" s="620">
        <f>COUNTIFS(F$1:F$132,"radio",G$1:G$132, 40)</f>
        <v>0</v>
      </c>
      <c r="K137" s="620">
        <f>COUNTIFS(F$1:F$132,"radio",G$1:G$132, 65)</f>
        <v>0</v>
      </c>
      <c r="L137" s="625">
        <f>COUNTIFS(F$1:F$132,"radio",G$1:G$132, 64)</f>
        <v>0</v>
      </c>
      <c r="M137" s="1098"/>
      <c r="N137" s="321"/>
      <c r="O137" s="321"/>
      <c r="P137" s="321"/>
      <c r="Q137" s="321"/>
      <c r="R137" s="321"/>
      <c r="S137" s="321"/>
      <c r="T137" s="321"/>
      <c r="U137" s="321"/>
      <c r="V137" s="321"/>
      <c r="X137" s="321"/>
      <c r="Y137" s="321"/>
      <c r="Z137" s="321"/>
      <c r="AA137" s="321"/>
      <c r="AB137" s="321"/>
      <c r="AC137" s="321"/>
      <c r="AD137" s="321"/>
      <c r="AE137" s="321"/>
      <c r="AF137" s="321"/>
      <c r="AG137" s="321"/>
      <c r="AH137" s="321"/>
      <c r="AI137" s="321"/>
      <c r="AJ137" s="321"/>
      <c r="AK137" s="321"/>
      <c r="AL137" s="321"/>
      <c r="AM137" s="321"/>
    </row>
    <row r="138" spans="1:39" ht="16.5" thickBot="1">
      <c r="A138" s="321"/>
      <c r="B138" s="446"/>
      <c r="C138" s="1567"/>
      <c r="D138" s="608"/>
      <c r="E138" s="626" t="s">
        <v>134</v>
      </c>
      <c r="F138" s="627">
        <f>COUNTIFS(G$1:G$132,64,J$1:J$132, "Positif")</f>
        <v>10</v>
      </c>
      <c r="G138" s="628">
        <f>COUNTIFS(G$7:G$132,64,J$7:J$132, "Negatif")+COUNTIFS(G$7:G$132,64,J$7:J$132, "Negative")+COUNTIFS(G$7:G$132,64,J$7:J$132, "négatif")+COUNTIFS(G$7:G$132,64,J$7:J$132, "négative")</f>
        <v>1</v>
      </c>
      <c r="H138" s="611"/>
      <c r="I138" s="629" t="s">
        <v>148</v>
      </c>
      <c r="J138" s="630">
        <f>COUNTIFS(F$1:F$132,"TV",G$1:G$132, 40)</f>
        <v>0</v>
      </c>
      <c r="K138" s="630">
        <f>COUNTIFS(F$1:F$132,"TV",G$1:G$132, 65)</f>
        <v>0</v>
      </c>
      <c r="L138" s="631">
        <f>COUNTIFS(F$1:F$132,"TV",G$1:G$132, 64)</f>
        <v>0</v>
      </c>
      <c r="M138" s="1098"/>
      <c r="N138" s="321"/>
      <c r="O138" s="321"/>
      <c r="P138" s="321"/>
      <c r="Q138" s="321"/>
      <c r="R138" s="321"/>
      <c r="S138" s="321"/>
      <c r="T138" s="321"/>
      <c r="U138" s="321"/>
      <c r="V138" s="321"/>
      <c r="X138" s="321"/>
      <c r="Y138" s="321"/>
      <c r="Z138" s="321"/>
      <c r="AA138" s="321"/>
      <c r="AB138" s="321"/>
      <c r="AC138" s="321"/>
      <c r="AD138" s="321"/>
      <c r="AE138" s="321"/>
      <c r="AF138" s="321"/>
      <c r="AG138" s="321"/>
      <c r="AH138" s="321"/>
      <c r="AI138" s="321"/>
      <c r="AJ138" s="321"/>
      <c r="AK138" s="321"/>
      <c r="AL138" s="321"/>
      <c r="AM138" s="321"/>
    </row>
    <row r="139" spans="1:39">
      <c r="A139" s="321"/>
      <c r="B139" s="446"/>
      <c r="C139" s="1567"/>
      <c r="D139" s="608"/>
      <c r="E139" s="632"/>
      <c r="F139" s="633"/>
      <c r="G139" s="633"/>
      <c r="H139" s="611"/>
      <c r="I139" s="634"/>
      <c r="J139" s="635"/>
      <c r="K139" s="636"/>
      <c r="L139" s="634"/>
      <c r="M139" s="637"/>
      <c r="N139" s="321"/>
      <c r="O139" s="321"/>
      <c r="P139" s="321"/>
      <c r="Q139" s="321"/>
      <c r="R139" s="321"/>
      <c r="S139" s="321"/>
      <c r="T139" s="321"/>
      <c r="U139" s="321"/>
      <c r="V139" s="321"/>
      <c r="X139" s="321"/>
      <c r="Y139" s="321"/>
      <c r="Z139" s="321"/>
      <c r="AA139" s="321"/>
      <c r="AB139" s="321"/>
      <c r="AC139" s="321"/>
      <c r="AD139" s="321"/>
      <c r="AE139" s="321"/>
      <c r="AF139" s="321"/>
      <c r="AG139" s="321"/>
      <c r="AH139" s="321"/>
      <c r="AI139" s="321"/>
      <c r="AJ139" s="321"/>
      <c r="AK139" s="321"/>
      <c r="AL139" s="321"/>
      <c r="AM139" s="321"/>
    </row>
    <row r="140" spans="1:39" ht="16.5" thickBot="1">
      <c r="A140" s="321"/>
      <c r="B140" s="446"/>
      <c r="C140" s="1568"/>
      <c r="D140" s="638"/>
      <c r="E140" s="639"/>
      <c r="F140" s="640"/>
      <c r="G140" s="641"/>
      <c r="H140" s="642"/>
      <c r="I140" s="643"/>
      <c r="J140" s="644"/>
      <c r="K140" s="645"/>
      <c r="L140" s="643"/>
      <c r="M140" s="646"/>
      <c r="N140" s="321"/>
      <c r="O140" s="321"/>
      <c r="P140" s="321"/>
      <c r="Q140" s="321"/>
      <c r="R140" s="321"/>
      <c r="S140" s="321"/>
      <c r="T140" s="321"/>
      <c r="U140" s="321"/>
      <c r="V140" s="321"/>
      <c r="X140" s="321"/>
      <c r="Y140" s="321"/>
      <c r="Z140" s="321"/>
      <c r="AA140" s="321"/>
      <c r="AB140" s="321"/>
      <c r="AC140" s="321"/>
      <c r="AD140" s="321"/>
      <c r="AE140" s="321"/>
      <c r="AF140" s="321"/>
      <c r="AG140" s="321"/>
      <c r="AH140" s="321"/>
      <c r="AI140" s="321"/>
      <c r="AJ140" s="321"/>
      <c r="AK140" s="321"/>
      <c r="AL140" s="321"/>
      <c r="AM140" s="321"/>
    </row>
    <row r="141" spans="1:39" ht="16.5" thickBot="1">
      <c r="A141" s="321"/>
      <c r="B141" s="446"/>
      <c r="C141" s="321"/>
      <c r="D141" s="321"/>
      <c r="E141" s="321"/>
      <c r="F141" s="560"/>
      <c r="G141" s="560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X141" s="321"/>
      <c r="Y141" s="321"/>
      <c r="Z141" s="321"/>
      <c r="AA141" s="321"/>
      <c r="AB141" s="321"/>
      <c r="AC141" s="321"/>
      <c r="AD141" s="321"/>
      <c r="AE141" s="321"/>
      <c r="AF141" s="321"/>
      <c r="AG141" s="321"/>
      <c r="AH141" s="321"/>
      <c r="AI141" s="321"/>
      <c r="AJ141" s="321"/>
      <c r="AK141" s="321"/>
      <c r="AL141" s="321"/>
      <c r="AM141" s="321"/>
    </row>
    <row r="142" spans="1:39" ht="16.5" thickBot="1">
      <c r="A142" s="321"/>
      <c r="B142" s="538"/>
      <c r="C142" s="1566" t="s">
        <v>138</v>
      </c>
      <c r="D142" s="1099"/>
      <c r="E142" s="647"/>
      <c r="F142" s="1100"/>
      <c r="G142" s="1099"/>
      <c r="H142" s="1101"/>
      <c r="I142" s="605"/>
      <c r="J142" s="1102"/>
      <c r="K142" s="321"/>
      <c r="L142" s="321"/>
      <c r="M142" s="321"/>
      <c r="N142" s="351"/>
      <c r="O142" s="321"/>
      <c r="P142" s="321"/>
      <c r="Q142" s="321"/>
      <c r="R142" s="321"/>
      <c r="S142" s="321"/>
      <c r="T142" s="321"/>
      <c r="U142" s="321"/>
      <c r="V142" s="321"/>
      <c r="X142" s="321"/>
      <c r="Y142" s="321"/>
      <c r="Z142" s="321"/>
      <c r="AA142" s="321"/>
      <c r="AB142" s="321"/>
      <c r="AC142" s="321"/>
      <c r="AD142" s="321"/>
      <c r="AE142" s="321"/>
      <c r="AF142" s="321"/>
      <c r="AG142" s="321"/>
      <c r="AH142" s="321"/>
      <c r="AI142" s="321"/>
      <c r="AJ142" s="321"/>
      <c r="AK142" s="321"/>
      <c r="AL142" s="321"/>
      <c r="AM142" s="321"/>
    </row>
    <row r="143" spans="1:39">
      <c r="A143" s="321"/>
      <c r="B143" s="538"/>
      <c r="C143" s="1567"/>
      <c r="D143" s="1103"/>
      <c r="E143" s="1576" t="s">
        <v>149</v>
      </c>
      <c r="F143" s="1577"/>
      <c r="G143" s="1103"/>
      <c r="H143" s="1576" t="s">
        <v>150</v>
      </c>
      <c r="I143" s="1577"/>
      <c r="J143" s="1098"/>
      <c r="K143" s="321"/>
      <c r="L143" s="321"/>
      <c r="M143" s="321"/>
      <c r="N143" s="351"/>
      <c r="O143" s="321"/>
      <c r="P143" s="321"/>
      <c r="Q143" s="321"/>
      <c r="R143" s="321"/>
      <c r="S143" s="321"/>
      <c r="T143" s="321"/>
      <c r="U143" s="321"/>
      <c r="V143" s="321"/>
      <c r="X143" s="321"/>
      <c r="Y143" s="321"/>
      <c r="Z143" s="321"/>
      <c r="AA143" s="321"/>
      <c r="AB143" s="321"/>
      <c r="AC143" s="321"/>
      <c r="AD143" s="321"/>
      <c r="AE143" s="321"/>
      <c r="AF143" s="321"/>
      <c r="AG143" s="321"/>
      <c r="AH143" s="321"/>
      <c r="AI143" s="321"/>
      <c r="AJ143" s="321"/>
      <c r="AK143" s="321"/>
      <c r="AL143" s="321"/>
      <c r="AM143" s="321"/>
    </row>
    <row r="144" spans="1:39">
      <c r="A144" s="321"/>
      <c r="B144" s="446"/>
      <c r="C144" s="1567"/>
      <c r="D144" s="1103"/>
      <c r="E144" s="1578"/>
      <c r="F144" s="1579"/>
      <c r="G144" s="1103"/>
      <c r="H144" s="1580"/>
      <c r="I144" s="1581"/>
      <c r="J144" s="1098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X144" s="321"/>
      <c r="Y144" s="321"/>
      <c r="Z144" s="321"/>
      <c r="AA144" s="321"/>
      <c r="AB144" s="321"/>
      <c r="AC144" s="321"/>
      <c r="AD144" s="321"/>
      <c r="AE144" s="321"/>
      <c r="AF144" s="321"/>
      <c r="AG144" s="321"/>
      <c r="AH144" s="321"/>
      <c r="AI144" s="321"/>
      <c r="AJ144" s="321"/>
      <c r="AK144" s="321"/>
      <c r="AL144" s="321"/>
      <c r="AM144" s="321"/>
    </row>
    <row r="145" spans="1:39">
      <c r="A145" s="321"/>
      <c r="B145" s="488"/>
      <c r="C145" s="1567"/>
      <c r="D145" s="1103"/>
      <c r="E145" s="1578"/>
      <c r="F145" s="1579"/>
      <c r="G145" s="1103"/>
      <c r="H145" s="648" t="s">
        <v>151</v>
      </c>
      <c r="I145" s="597">
        <f>SUM(T:T)</f>
        <v>37</v>
      </c>
      <c r="J145" s="1098"/>
      <c r="K145" s="321"/>
      <c r="L145" s="321"/>
      <c r="M145" s="321"/>
      <c r="N145" s="360"/>
      <c r="O145" s="321"/>
      <c r="P145" s="321"/>
      <c r="Q145" s="321"/>
      <c r="R145" s="321"/>
      <c r="S145" s="321"/>
      <c r="T145" s="321"/>
      <c r="U145" s="321"/>
      <c r="V145" s="321"/>
      <c r="X145" s="321"/>
      <c r="Y145" s="321"/>
      <c r="Z145" s="321"/>
      <c r="AA145" s="321"/>
      <c r="AB145" s="321"/>
      <c r="AC145" s="321"/>
      <c r="AD145" s="321"/>
      <c r="AE145" s="321"/>
      <c r="AF145" s="321"/>
      <c r="AG145" s="321"/>
      <c r="AH145" s="321"/>
      <c r="AI145" s="321"/>
      <c r="AJ145" s="321"/>
      <c r="AK145" s="321"/>
      <c r="AL145" s="321"/>
      <c r="AM145" s="321"/>
    </row>
    <row r="146" spans="1:39">
      <c r="A146" s="321"/>
      <c r="B146" s="488"/>
      <c r="C146" s="1567"/>
      <c r="D146" s="1103"/>
      <c r="E146" s="649" t="s">
        <v>152</v>
      </c>
      <c r="F146" s="650">
        <f>COUNTIF(Q:Q,40)</f>
        <v>3</v>
      </c>
      <c r="G146" s="1103"/>
      <c r="H146" s="651" t="s">
        <v>153</v>
      </c>
      <c r="I146" s="597">
        <f>SUMIFS(T:T,Q:Q, 40)</f>
        <v>7</v>
      </c>
      <c r="J146" s="1098"/>
      <c r="K146" s="321"/>
      <c r="L146" s="321"/>
      <c r="M146" s="321"/>
      <c r="N146" s="360"/>
      <c r="O146" s="321"/>
      <c r="P146" s="321"/>
      <c r="Q146" s="321"/>
      <c r="R146" s="321"/>
      <c r="S146" s="321"/>
      <c r="T146" s="321"/>
      <c r="U146" s="321"/>
      <c r="V146" s="321"/>
      <c r="X146" s="321"/>
      <c r="Y146" s="321"/>
      <c r="Z146" s="321"/>
      <c r="AA146" s="321"/>
      <c r="AB146" s="321"/>
      <c r="AC146" s="321"/>
      <c r="AD146" s="321"/>
      <c r="AE146" s="321"/>
      <c r="AF146" s="321"/>
      <c r="AG146" s="321"/>
      <c r="AH146" s="321"/>
      <c r="AI146" s="321"/>
      <c r="AJ146" s="321"/>
      <c r="AK146" s="321"/>
      <c r="AL146" s="321"/>
      <c r="AM146" s="321"/>
    </row>
    <row r="147" spans="1:39">
      <c r="A147" s="321"/>
      <c r="B147" s="488"/>
      <c r="C147" s="1567"/>
      <c r="D147" s="1105"/>
      <c r="E147" s="651" t="s">
        <v>154</v>
      </c>
      <c r="F147" s="650">
        <f>COUNTIF(Q:Q,65)</f>
        <v>4</v>
      </c>
      <c r="G147" s="1106"/>
      <c r="H147" s="651" t="s">
        <v>155</v>
      </c>
      <c r="I147" s="597">
        <f>SUMIFS(T:T,Q:Q, 65)</f>
        <v>17</v>
      </c>
      <c r="J147" s="1107"/>
      <c r="K147" s="326"/>
      <c r="L147" s="321"/>
      <c r="M147" s="321"/>
      <c r="N147" s="360"/>
      <c r="O147" s="321"/>
      <c r="P147" s="321"/>
      <c r="Q147" s="321"/>
      <c r="R147" s="321"/>
      <c r="S147" s="321"/>
      <c r="T147" s="321"/>
      <c r="U147" s="321"/>
      <c r="V147" s="321"/>
      <c r="X147" s="321"/>
      <c r="Y147" s="321"/>
      <c r="Z147" s="321"/>
      <c r="AA147" s="321"/>
      <c r="AB147" s="321"/>
      <c r="AC147" s="321"/>
      <c r="AD147" s="321"/>
      <c r="AE147" s="321"/>
      <c r="AF147" s="321"/>
      <c r="AG147" s="321"/>
      <c r="AH147" s="321"/>
      <c r="AI147" s="321"/>
      <c r="AJ147" s="321"/>
      <c r="AK147" s="321"/>
      <c r="AL147" s="321"/>
      <c r="AM147" s="321"/>
    </row>
    <row r="148" spans="1:39" ht="16.5" thickBot="1">
      <c r="A148" s="321"/>
      <c r="B148" s="539"/>
      <c r="C148" s="1567"/>
      <c r="D148" s="1105"/>
      <c r="E148" s="652" t="s">
        <v>156</v>
      </c>
      <c r="F148" s="653">
        <f>COUNTIF(Q:Q,64)</f>
        <v>4</v>
      </c>
      <c r="G148" s="1106"/>
      <c r="H148" s="652" t="s">
        <v>157</v>
      </c>
      <c r="I148" s="598">
        <f>SUMIFS(T:T,Q:Q, 64)</f>
        <v>13</v>
      </c>
      <c r="J148" s="1107"/>
      <c r="K148" s="326"/>
      <c r="L148" s="321"/>
      <c r="M148" s="321"/>
      <c r="N148" s="363"/>
      <c r="O148" s="321"/>
      <c r="P148" s="321"/>
      <c r="Q148" s="321"/>
      <c r="R148" s="321"/>
      <c r="S148" s="321"/>
      <c r="T148" s="321"/>
      <c r="U148" s="321"/>
      <c r="V148" s="321"/>
      <c r="X148" s="321"/>
      <c r="Y148" s="321"/>
      <c r="Z148" s="321"/>
      <c r="AA148" s="321"/>
      <c r="AB148" s="321"/>
      <c r="AC148" s="321"/>
      <c r="AD148" s="321"/>
      <c r="AE148" s="321"/>
      <c r="AF148" s="321"/>
      <c r="AG148" s="321"/>
      <c r="AH148" s="321"/>
      <c r="AI148" s="321"/>
      <c r="AJ148" s="321"/>
      <c r="AK148" s="321"/>
      <c r="AL148" s="321"/>
      <c r="AM148" s="321"/>
    </row>
    <row r="149" spans="1:39" ht="16.5" thickBot="1">
      <c r="A149" s="321"/>
      <c r="B149" s="488"/>
      <c r="C149" s="1568"/>
      <c r="D149" s="1108"/>
      <c r="E149" s="1108"/>
      <c r="F149" s="1109"/>
      <c r="G149" s="1109"/>
      <c r="H149" s="1108"/>
      <c r="I149" s="1108"/>
      <c r="J149" s="1110"/>
      <c r="K149" s="327"/>
      <c r="L149" s="321"/>
      <c r="M149" s="321"/>
      <c r="N149" s="360"/>
      <c r="O149" s="321"/>
      <c r="P149" s="321"/>
      <c r="Q149" s="321"/>
      <c r="R149" s="321"/>
      <c r="S149" s="321"/>
      <c r="T149" s="321"/>
      <c r="U149" s="321"/>
      <c r="V149" s="321"/>
      <c r="X149" s="321"/>
      <c r="Y149" s="321"/>
      <c r="Z149" s="321"/>
      <c r="AA149" s="321"/>
      <c r="AB149" s="321"/>
      <c r="AC149" s="321"/>
      <c r="AD149" s="321"/>
      <c r="AE149" s="321"/>
      <c r="AF149" s="321"/>
      <c r="AG149" s="321"/>
      <c r="AH149" s="321"/>
      <c r="AI149" s="321"/>
      <c r="AJ149" s="321"/>
      <c r="AK149" s="321"/>
      <c r="AL149" s="321"/>
      <c r="AM149" s="321"/>
    </row>
    <row r="150" spans="1:39" ht="16.5" thickBot="1">
      <c r="A150" s="321"/>
      <c r="B150" s="446"/>
      <c r="C150" s="368"/>
      <c r="D150" s="324"/>
      <c r="E150" s="321"/>
      <c r="F150" s="567"/>
      <c r="G150" s="654"/>
      <c r="H150" s="655"/>
      <c r="I150" s="656"/>
      <c r="J150" s="656"/>
      <c r="K150" s="326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X150" s="321"/>
      <c r="Y150" s="321"/>
      <c r="Z150" s="321"/>
      <c r="AA150" s="321"/>
      <c r="AB150" s="321"/>
      <c r="AC150" s="321"/>
      <c r="AD150" s="321"/>
      <c r="AE150" s="321"/>
      <c r="AF150" s="321"/>
      <c r="AG150" s="321"/>
      <c r="AH150" s="321"/>
      <c r="AI150" s="321"/>
      <c r="AJ150" s="321"/>
      <c r="AK150" s="321"/>
      <c r="AL150" s="321"/>
      <c r="AM150" s="321"/>
    </row>
    <row r="151" spans="1:39" ht="16.5" thickBot="1">
      <c r="A151" s="321"/>
      <c r="B151" s="539"/>
      <c r="C151" s="1566" t="s">
        <v>138</v>
      </c>
      <c r="D151" s="1111"/>
      <c r="E151" s="1111"/>
      <c r="F151" s="1112"/>
      <c r="G151" s="1112"/>
      <c r="H151" s="1111"/>
      <c r="I151" s="1111"/>
      <c r="J151" s="1113"/>
      <c r="K151" s="321"/>
      <c r="L151" s="321"/>
      <c r="M151" s="321"/>
      <c r="N151" s="363"/>
      <c r="O151" s="321"/>
      <c r="P151" s="321"/>
      <c r="Q151" s="321"/>
      <c r="R151" s="321"/>
      <c r="S151" s="321"/>
      <c r="T151" s="321"/>
      <c r="U151" s="321"/>
      <c r="V151" s="321"/>
      <c r="X151" s="321"/>
      <c r="Y151" s="321"/>
      <c r="Z151" s="321"/>
      <c r="AA151" s="321"/>
      <c r="AB151" s="321"/>
      <c r="AC151" s="321"/>
      <c r="AD151" s="321"/>
      <c r="AE151" s="321"/>
      <c r="AF151" s="321"/>
      <c r="AG151" s="321"/>
      <c r="AH151" s="321"/>
      <c r="AI151" s="321"/>
      <c r="AJ151" s="321"/>
      <c r="AK151" s="321"/>
      <c r="AL151" s="321"/>
      <c r="AM151" s="321"/>
    </row>
    <row r="152" spans="1:39">
      <c r="A152" s="321"/>
      <c r="B152" s="488"/>
      <c r="C152" s="1567"/>
      <c r="D152" s="1105"/>
      <c r="E152" s="1596" t="s">
        <v>158</v>
      </c>
      <c r="F152" s="1597"/>
      <c r="G152" s="1597"/>
      <c r="H152" s="1597"/>
      <c r="I152" s="1598"/>
      <c r="J152" s="1107"/>
      <c r="K152" s="321"/>
      <c r="L152" s="321"/>
      <c r="M152" s="321"/>
      <c r="N152" s="360"/>
      <c r="O152" s="321"/>
      <c r="P152" s="321"/>
      <c r="Q152" s="321"/>
      <c r="R152" s="321"/>
      <c r="S152" s="321"/>
      <c r="T152" s="321"/>
      <c r="U152" s="321"/>
      <c r="V152" s="321"/>
      <c r="X152" s="321"/>
      <c r="Y152" s="321"/>
      <c r="Z152" s="321"/>
      <c r="AA152" s="321"/>
      <c r="AB152" s="321"/>
      <c r="AC152" s="321"/>
      <c r="AD152" s="321"/>
      <c r="AE152" s="321"/>
      <c r="AF152" s="321"/>
      <c r="AG152" s="321"/>
      <c r="AH152" s="321"/>
      <c r="AI152" s="321"/>
      <c r="AJ152" s="321"/>
      <c r="AK152" s="321"/>
      <c r="AL152" s="321"/>
      <c r="AM152" s="321"/>
    </row>
    <row r="153" spans="1:39">
      <c r="A153" s="321"/>
      <c r="B153" s="488"/>
      <c r="C153" s="1567"/>
      <c r="D153" s="1105"/>
      <c r="E153" s="347" t="s">
        <v>72</v>
      </c>
      <c r="F153" s="657" t="s">
        <v>159</v>
      </c>
      <c r="G153" s="658" t="s">
        <v>143</v>
      </c>
      <c r="H153" s="659" t="s">
        <v>132</v>
      </c>
      <c r="I153" s="660" t="s">
        <v>134</v>
      </c>
      <c r="J153" s="1107"/>
      <c r="K153" s="321"/>
      <c r="L153" s="321"/>
      <c r="M153" s="321"/>
      <c r="N153" s="360"/>
      <c r="O153" s="321"/>
      <c r="P153" s="321"/>
      <c r="Q153" s="321"/>
      <c r="R153" s="321"/>
      <c r="S153" s="321"/>
      <c r="T153" s="321"/>
      <c r="U153" s="321"/>
      <c r="V153" s="321"/>
      <c r="X153" s="321"/>
      <c r="Y153" s="321"/>
      <c r="Z153" s="321"/>
      <c r="AA153" s="321"/>
      <c r="AB153" s="321"/>
      <c r="AC153" s="321"/>
      <c r="AD153" s="321"/>
      <c r="AE153" s="321"/>
      <c r="AF153" s="321"/>
      <c r="AG153" s="321"/>
      <c r="AH153" s="321"/>
      <c r="AI153" s="321"/>
      <c r="AJ153" s="321"/>
      <c r="AK153" s="321"/>
      <c r="AL153" s="321"/>
      <c r="AM153" s="321"/>
    </row>
    <row r="154" spans="1:39">
      <c r="A154" s="321"/>
      <c r="B154" s="446"/>
      <c r="C154" s="1567"/>
      <c r="D154" s="1105"/>
      <c r="E154" s="661" t="s">
        <v>47</v>
      </c>
      <c r="F154" s="1114">
        <f t="shared" ref="F154:F161" si="0">COUNTIFS(I$11:I$132, E154)</f>
        <v>2</v>
      </c>
      <c r="G154" s="1115">
        <f t="shared" ref="G154:G161" si="1">COUNTIFS(G$11:G$132,40,I$11:I$132, E154)</f>
        <v>1</v>
      </c>
      <c r="H154" s="1116">
        <f t="shared" ref="H154:H161" si="2">COUNTIFS(G$11:G$132,65,I$11:I$132, E154)</f>
        <v>1</v>
      </c>
      <c r="I154" s="1117">
        <f t="shared" ref="I154:I161" si="3">COUNTIFS(G$11:G$132,64,I$11:I$132, E154)</f>
        <v>0</v>
      </c>
      <c r="J154" s="1107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X154" s="321"/>
      <c r="Y154" s="321"/>
      <c r="Z154" s="321"/>
      <c r="AA154" s="321"/>
      <c r="AB154" s="321"/>
      <c r="AC154" s="321"/>
      <c r="AD154" s="321"/>
      <c r="AE154" s="321"/>
      <c r="AF154" s="321"/>
      <c r="AG154" s="321"/>
      <c r="AH154" s="321"/>
      <c r="AI154" s="321"/>
      <c r="AJ154" s="321"/>
      <c r="AK154" s="321"/>
      <c r="AL154" s="321"/>
      <c r="AM154" s="321"/>
    </row>
    <row r="155" spans="1:39">
      <c r="A155" s="321"/>
      <c r="B155" s="446"/>
      <c r="C155" s="1567"/>
      <c r="D155" s="1105"/>
      <c r="E155" s="662" t="s">
        <v>48</v>
      </c>
      <c r="F155" s="1114">
        <f t="shared" si="0"/>
        <v>0</v>
      </c>
      <c r="G155" s="1115">
        <f t="shared" si="1"/>
        <v>0</v>
      </c>
      <c r="H155" s="1116">
        <f t="shared" si="2"/>
        <v>0</v>
      </c>
      <c r="I155" s="1117">
        <f t="shared" si="3"/>
        <v>0</v>
      </c>
      <c r="J155" s="1107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X155" s="321"/>
      <c r="Y155" s="321"/>
      <c r="Z155" s="321"/>
      <c r="AA155" s="321"/>
      <c r="AB155" s="321"/>
      <c r="AC155" s="321"/>
      <c r="AD155" s="321"/>
      <c r="AE155" s="321"/>
      <c r="AF155" s="321"/>
      <c r="AG155" s="321"/>
      <c r="AH155" s="321"/>
      <c r="AI155" s="321"/>
      <c r="AJ155" s="321"/>
      <c r="AK155" s="321"/>
      <c r="AL155" s="321"/>
      <c r="AM155" s="321"/>
    </row>
    <row r="156" spans="1:39">
      <c r="A156" s="321"/>
      <c r="B156" s="446"/>
      <c r="C156" s="1567"/>
      <c r="D156" s="1105"/>
      <c r="E156" s="662" t="s">
        <v>49</v>
      </c>
      <c r="F156" s="1114">
        <f t="shared" si="0"/>
        <v>2</v>
      </c>
      <c r="G156" s="1115">
        <f t="shared" si="1"/>
        <v>0</v>
      </c>
      <c r="H156" s="1116">
        <f t="shared" si="2"/>
        <v>0</v>
      </c>
      <c r="I156" s="1117">
        <f t="shared" si="3"/>
        <v>2</v>
      </c>
      <c r="J156" s="1107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X156" s="321"/>
      <c r="Y156" s="321"/>
      <c r="Z156" s="321"/>
      <c r="AA156" s="321"/>
      <c r="AB156" s="321"/>
      <c r="AC156" s="321"/>
      <c r="AD156" s="321"/>
      <c r="AE156" s="321"/>
      <c r="AF156" s="321"/>
      <c r="AG156" s="321"/>
      <c r="AH156" s="321"/>
      <c r="AI156" s="321"/>
      <c r="AJ156" s="321"/>
      <c r="AK156" s="321"/>
      <c r="AL156" s="321"/>
      <c r="AM156" s="321"/>
    </row>
    <row r="157" spans="1:39">
      <c r="A157" s="321"/>
      <c r="B157" s="488"/>
      <c r="C157" s="1567"/>
      <c r="D157" s="1105"/>
      <c r="E157" s="662" t="s">
        <v>50</v>
      </c>
      <c r="F157" s="1114">
        <f t="shared" si="0"/>
        <v>5</v>
      </c>
      <c r="G157" s="1115">
        <f t="shared" si="1"/>
        <v>0</v>
      </c>
      <c r="H157" s="1116">
        <f t="shared" si="2"/>
        <v>3</v>
      </c>
      <c r="I157" s="1117">
        <f t="shared" si="3"/>
        <v>2</v>
      </c>
      <c r="J157" s="1107"/>
      <c r="K157" s="321"/>
      <c r="L157" s="321"/>
      <c r="M157" s="321"/>
      <c r="N157" s="360"/>
      <c r="O157" s="321"/>
      <c r="P157" s="321"/>
      <c r="Q157" s="321"/>
      <c r="R157" s="321"/>
      <c r="S157" s="321"/>
      <c r="T157" s="321"/>
      <c r="U157" s="321"/>
      <c r="V157" s="321"/>
      <c r="X157" s="321"/>
      <c r="Y157" s="321"/>
      <c r="Z157" s="321"/>
      <c r="AA157" s="321"/>
      <c r="AB157" s="321"/>
      <c r="AC157" s="321"/>
      <c r="AD157" s="321"/>
      <c r="AE157" s="321"/>
      <c r="AF157" s="321"/>
      <c r="AG157" s="321"/>
      <c r="AH157" s="321"/>
      <c r="AI157" s="321"/>
      <c r="AJ157" s="321"/>
      <c r="AK157" s="321"/>
      <c r="AL157" s="321"/>
      <c r="AM157" s="321"/>
    </row>
    <row r="158" spans="1:39">
      <c r="A158" s="321"/>
      <c r="B158" s="488"/>
      <c r="C158" s="1567"/>
      <c r="D158" s="1105"/>
      <c r="E158" s="662" t="s">
        <v>51</v>
      </c>
      <c r="F158" s="1114">
        <f t="shared" si="0"/>
        <v>5</v>
      </c>
      <c r="G158" s="1115">
        <f t="shared" si="1"/>
        <v>0</v>
      </c>
      <c r="H158" s="1116">
        <f t="shared" si="2"/>
        <v>0</v>
      </c>
      <c r="I158" s="1117">
        <f t="shared" si="3"/>
        <v>5</v>
      </c>
      <c r="J158" s="1107"/>
      <c r="K158" s="321"/>
      <c r="L158" s="321"/>
      <c r="M158" s="321"/>
      <c r="N158" s="360"/>
      <c r="O158" s="321"/>
      <c r="P158" s="321"/>
      <c r="Q158" s="321"/>
      <c r="R158" s="321"/>
      <c r="S158" s="321"/>
      <c r="T158" s="321"/>
      <c r="U158" s="321"/>
      <c r="V158" s="321"/>
      <c r="X158" s="321"/>
      <c r="Y158" s="321"/>
      <c r="Z158" s="321"/>
      <c r="AA158" s="321"/>
      <c r="AB158" s="321"/>
      <c r="AC158" s="321"/>
      <c r="AD158" s="321"/>
      <c r="AE158" s="321"/>
      <c r="AF158" s="321"/>
      <c r="AG158" s="321"/>
      <c r="AH158" s="321"/>
      <c r="AI158" s="321"/>
      <c r="AJ158" s="321"/>
      <c r="AK158" s="321"/>
      <c r="AL158" s="321"/>
      <c r="AM158" s="321"/>
    </row>
    <row r="159" spans="1:39">
      <c r="A159" s="321"/>
      <c r="B159" s="488"/>
      <c r="C159" s="1567"/>
      <c r="D159" s="1105"/>
      <c r="E159" s="662" t="s">
        <v>52</v>
      </c>
      <c r="F159" s="1114">
        <f t="shared" si="0"/>
        <v>6</v>
      </c>
      <c r="G159" s="1115">
        <f t="shared" si="1"/>
        <v>3</v>
      </c>
      <c r="H159" s="1116">
        <f t="shared" si="2"/>
        <v>2</v>
      </c>
      <c r="I159" s="1117">
        <f t="shared" si="3"/>
        <v>1</v>
      </c>
      <c r="J159" s="1107"/>
      <c r="K159" s="321"/>
      <c r="L159" s="321"/>
      <c r="M159" s="321"/>
      <c r="N159" s="360"/>
      <c r="O159" s="321"/>
      <c r="P159" s="321"/>
      <c r="Q159" s="321"/>
      <c r="R159" s="321"/>
      <c r="S159" s="321"/>
      <c r="T159" s="321"/>
      <c r="U159" s="321"/>
      <c r="V159" s="321"/>
      <c r="X159" s="321"/>
      <c r="Y159" s="321"/>
      <c r="Z159" s="321"/>
      <c r="AA159" s="321"/>
      <c r="AB159" s="321"/>
      <c r="AC159" s="321"/>
      <c r="AD159" s="321"/>
      <c r="AE159" s="321"/>
      <c r="AF159" s="321"/>
      <c r="AG159" s="321"/>
      <c r="AH159" s="321"/>
      <c r="AI159" s="321"/>
      <c r="AJ159" s="321"/>
      <c r="AK159" s="321"/>
      <c r="AL159" s="321"/>
      <c r="AM159" s="321"/>
    </row>
    <row r="160" spans="1:39">
      <c r="A160" s="321"/>
      <c r="B160" s="446"/>
      <c r="C160" s="1567"/>
      <c r="D160" s="1105"/>
      <c r="E160" s="662" t="s">
        <v>53</v>
      </c>
      <c r="F160" s="1114">
        <f t="shared" si="0"/>
        <v>8</v>
      </c>
      <c r="G160" s="1115">
        <f t="shared" si="1"/>
        <v>5</v>
      </c>
      <c r="H160" s="1116">
        <f t="shared" si="2"/>
        <v>2</v>
      </c>
      <c r="I160" s="1117">
        <f t="shared" si="3"/>
        <v>1</v>
      </c>
      <c r="J160" s="1107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X160" s="321"/>
      <c r="Y160" s="321"/>
      <c r="Z160" s="321"/>
      <c r="AA160" s="321"/>
      <c r="AB160" s="321"/>
      <c r="AC160" s="321"/>
      <c r="AD160" s="321"/>
      <c r="AE160" s="321"/>
      <c r="AF160" s="321"/>
      <c r="AG160" s="321"/>
      <c r="AH160" s="321"/>
      <c r="AI160" s="321"/>
      <c r="AJ160" s="321"/>
      <c r="AK160" s="321"/>
      <c r="AL160" s="321"/>
      <c r="AM160" s="321"/>
    </row>
    <row r="161" spans="1:39" ht="16.5" thickBot="1">
      <c r="A161" s="321"/>
      <c r="B161" s="488"/>
      <c r="C161" s="1567"/>
      <c r="D161" s="1105"/>
      <c r="E161" s="663" t="s">
        <v>54</v>
      </c>
      <c r="F161" s="1118">
        <f t="shared" si="0"/>
        <v>0</v>
      </c>
      <c r="G161" s="1119">
        <f t="shared" si="1"/>
        <v>0</v>
      </c>
      <c r="H161" s="1120">
        <f t="shared" si="2"/>
        <v>0</v>
      </c>
      <c r="I161" s="1121">
        <f t="shared" si="3"/>
        <v>0</v>
      </c>
      <c r="J161" s="1107"/>
      <c r="K161" s="321"/>
      <c r="L161" s="321"/>
      <c r="M161" s="321"/>
      <c r="N161" s="360"/>
      <c r="O161" s="321"/>
      <c r="P161" s="321"/>
      <c r="Q161" s="321"/>
      <c r="R161" s="321"/>
      <c r="S161" s="321"/>
      <c r="T161" s="321"/>
      <c r="U161" s="321"/>
      <c r="V161" s="321"/>
      <c r="X161" s="321"/>
      <c r="Y161" s="321"/>
      <c r="Z161" s="321"/>
      <c r="AA161" s="321"/>
      <c r="AB161" s="321"/>
      <c r="AC161" s="321"/>
      <c r="AD161" s="321"/>
      <c r="AE161" s="321"/>
      <c r="AF161" s="321"/>
      <c r="AG161" s="321"/>
      <c r="AH161" s="321"/>
      <c r="AI161" s="321"/>
      <c r="AJ161" s="321"/>
      <c r="AK161" s="321"/>
      <c r="AL161" s="321"/>
      <c r="AM161" s="321"/>
    </row>
    <row r="162" spans="1:39">
      <c r="A162" s="321"/>
      <c r="B162" s="446"/>
      <c r="C162" s="1567"/>
      <c r="D162" s="1105"/>
      <c r="E162" s="1105"/>
      <c r="F162" s="1106"/>
      <c r="G162" s="1106"/>
      <c r="H162" s="1105"/>
      <c r="I162" s="1105"/>
      <c r="J162" s="1107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X162" s="321"/>
      <c r="Y162" s="321"/>
      <c r="Z162" s="321"/>
      <c r="AA162" s="321"/>
      <c r="AB162" s="321"/>
      <c r="AC162" s="321"/>
      <c r="AD162" s="321"/>
      <c r="AE162" s="321"/>
      <c r="AF162" s="321"/>
      <c r="AG162" s="321"/>
      <c r="AH162" s="321"/>
      <c r="AI162" s="321"/>
      <c r="AJ162" s="321"/>
      <c r="AK162" s="321"/>
      <c r="AL162" s="321"/>
      <c r="AM162" s="321"/>
    </row>
    <row r="163" spans="1:39" ht="16.5" thickBot="1">
      <c r="A163" s="321"/>
      <c r="B163" s="488"/>
      <c r="C163" s="1568"/>
      <c r="D163" s="1108"/>
      <c r="E163" s="1108"/>
      <c r="F163" s="1109"/>
      <c r="G163" s="1109"/>
      <c r="H163" s="1108"/>
      <c r="I163" s="1108"/>
      <c r="J163" s="1110"/>
      <c r="K163" s="321"/>
      <c r="L163" s="321"/>
      <c r="M163" s="321"/>
      <c r="N163" s="360"/>
      <c r="O163" s="321"/>
      <c r="P163" s="321"/>
      <c r="Q163" s="321"/>
      <c r="R163" s="321"/>
      <c r="S163" s="321"/>
      <c r="T163" s="321"/>
      <c r="U163" s="321"/>
      <c r="V163" s="321"/>
      <c r="X163" s="321"/>
      <c r="Y163" s="321"/>
      <c r="Z163" s="321"/>
      <c r="AA163" s="321"/>
      <c r="AB163" s="321"/>
      <c r="AC163" s="321"/>
      <c r="AD163" s="321"/>
      <c r="AE163" s="321"/>
      <c r="AF163" s="321"/>
      <c r="AG163" s="321"/>
      <c r="AH163" s="321"/>
      <c r="AI163" s="321"/>
      <c r="AJ163" s="321"/>
      <c r="AK163" s="321"/>
      <c r="AL163" s="321"/>
      <c r="AM163" s="321"/>
    </row>
    <row r="164" spans="1:39">
      <c r="A164" s="321"/>
      <c r="B164" s="488"/>
      <c r="C164" s="321"/>
      <c r="D164" s="321"/>
      <c r="E164" s="321"/>
      <c r="F164" s="560"/>
      <c r="G164" s="560"/>
      <c r="H164" s="321"/>
      <c r="I164" s="321"/>
      <c r="J164" s="321"/>
      <c r="K164" s="321"/>
      <c r="L164" s="321"/>
      <c r="M164" s="321"/>
      <c r="N164" s="360"/>
      <c r="O164" s="321"/>
      <c r="P164" s="321"/>
      <c r="Q164" s="321"/>
      <c r="R164" s="321"/>
      <c r="S164" s="321"/>
      <c r="T164" s="321"/>
      <c r="U164" s="321"/>
      <c r="V164" s="321"/>
      <c r="X164" s="321"/>
      <c r="Y164" s="321"/>
      <c r="Z164" s="321"/>
      <c r="AA164" s="321"/>
      <c r="AB164" s="321"/>
      <c r="AC164" s="321"/>
      <c r="AD164" s="321"/>
      <c r="AE164" s="321"/>
      <c r="AF164" s="321"/>
      <c r="AG164" s="321"/>
      <c r="AH164" s="321"/>
      <c r="AI164" s="321"/>
      <c r="AJ164" s="321"/>
      <c r="AK164" s="321"/>
      <c r="AL164" s="321"/>
      <c r="AM164" s="321"/>
    </row>
    <row r="165" spans="1:39" ht="16.5" thickBot="1">
      <c r="A165" s="321"/>
      <c r="B165" s="488"/>
      <c r="C165" s="321"/>
      <c r="D165" s="321"/>
      <c r="E165" s="321"/>
      <c r="F165" s="560"/>
      <c r="G165" s="560"/>
      <c r="H165" s="321"/>
      <c r="I165" s="321"/>
      <c r="J165" s="321"/>
      <c r="K165" s="321"/>
      <c r="L165" s="321"/>
      <c r="M165" s="321"/>
      <c r="N165" s="360"/>
      <c r="O165" s="321"/>
      <c r="P165" s="321"/>
      <c r="Q165" s="321"/>
      <c r="R165" s="321"/>
      <c r="S165" s="321"/>
      <c r="T165" s="321"/>
      <c r="U165" s="321"/>
      <c r="V165" s="321"/>
      <c r="X165" s="321"/>
      <c r="Y165" s="321"/>
      <c r="Z165" s="321"/>
      <c r="AA165" s="321"/>
      <c r="AB165" s="321"/>
      <c r="AC165" s="321"/>
      <c r="AD165" s="321"/>
      <c r="AE165" s="321"/>
      <c r="AF165" s="321"/>
      <c r="AG165" s="321"/>
      <c r="AH165" s="321"/>
      <c r="AI165" s="321"/>
      <c r="AJ165" s="321"/>
      <c r="AK165" s="321"/>
      <c r="AL165" s="321"/>
      <c r="AM165" s="321"/>
    </row>
    <row r="166" spans="1:39" ht="16.5" thickBot="1">
      <c r="A166" s="321"/>
      <c r="B166" s="488"/>
      <c r="C166" s="1589" t="s">
        <v>138</v>
      </c>
      <c r="D166" s="333"/>
      <c r="E166" s="337"/>
      <c r="F166" s="664"/>
      <c r="G166" s="664"/>
      <c r="H166" s="337"/>
      <c r="I166" s="337"/>
      <c r="J166" s="337"/>
      <c r="K166" s="337"/>
      <c r="L166" s="337"/>
      <c r="M166" s="337"/>
      <c r="N166" s="338"/>
      <c r="O166" s="321"/>
      <c r="P166" s="321"/>
      <c r="Q166" s="321"/>
      <c r="R166" s="321"/>
      <c r="S166" s="321"/>
      <c r="T166" s="321"/>
      <c r="U166" s="321"/>
      <c r="V166" s="321"/>
      <c r="X166" s="321"/>
      <c r="Y166" s="321"/>
      <c r="Z166" s="321"/>
      <c r="AA166" s="321"/>
      <c r="AB166" s="321"/>
      <c r="AC166" s="321"/>
      <c r="AD166" s="321"/>
      <c r="AE166" s="321"/>
      <c r="AF166" s="321"/>
      <c r="AG166" s="321"/>
      <c r="AH166" s="321"/>
      <c r="AI166" s="321"/>
      <c r="AJ166" s="321"/>
      <c r="AK166" s="321"/>
      <c r="AL166" s="321"/>
      <c r="AM166" s="321"/>
    </row>
    <row r="167" spans="1:39">
      <c r="A167" s="321"/>
      <c r="B167" s="488"/>
      <c r="C167" s="1590"/>
      <c r="D167" s="339"/>
      <c r="E167" s="1583" t="s">
        <v>160</v>
      </c>
      <c r="F167" s="1584"/>
      <c r="G167" s="1584"/>
      <c r="H167" s="1584"/>
      <c r="I167" s="1584"/>
      <c r="J167" s="1584"/>
      <c r="K167" s="1584"/>
      <c r="L167" s="1584"/>
      <c r="M167" s="1585"/>
      <c r="N167" s="1122"/>
      <c r="O167" s="321"/>
      <c r="P167" s="321"/>
      <c r="Q167" s="321"/>
      <c r="R167" s="321"/>
      <c r="S167" s="321"/>
      <c r="T167" s="321"/>
      <c r="U167" s="321"/>
      <c r="V167" s="321"/>
      <c r="X167" s="321"/>
      <c r="Y167" s="321"/>
      <c r="Z167" s="321"/>
      <c r="AA167" s="321"/>
      <c r="AB167" s="321"/>
      <c r="AC167" s="321"/>
      <c r="AD167" s="321"/>
      <c r="AE167" s="321"/>
      <c r="AF167" s="321"/>
      <c r="AG167" s="321"/>
      <c r="AH167" s="321"/>
      <c r="AI167" s="321"/>
      <c r="AJ167" s="321"/>
      <c r="AK167" s="321"/>
      <c r="AL167" s="321"/>
      <c r="AM167" s="321"/>
    </row>
    <row r="168" spans="1:39">
      <c r="A168" s="321"/>
      <c r="B168" s="488"/>
      <c r="C168" s="1590"/>
      <c r="D168" s="339"/>
      <c r="E168" s="1586"/>
      <c r="F168" s="1587"/>
      <c r="G168" s="1587"/>
      <c r="H168" s="1587"/>
      <c r="I168" s="1587"/>
      <c r="J168" s="1587"/>
      <c r="K168" s="1587"/>
      <c r="L168" s="1587"/>
      <c r="M168" s="1588"/>
      <c r="N168" s="341"/>
      <c r="O168" s="321"/>
      <c r="P168" s="321"/>
      <c r="Q168" s="321"/>
      <c r="R168" s="321"/>
      <c r="S168" s="321"/>
      <c r="T168" s="321"/>
      <c r="U168" s="321"/>
      <c r="V168" s="321"/>
      <c r="X168" s="321"/>
      <c r="Y168" s="321"/>
      <c r="Z168" s="321"/>
      <c r="AA168" s="321"/>
      <c r="AB168" s="321"/>
      <c r="AC168" s="321"/>
      <c r="AD168" s="321"/>
      <c r="AE168" s="321"/>
      <c r="AF168" s="321"/>
      <c r="AG168" s="321"/>
      <c r="AH168" s="321"/>
      <c r="AI168" s="321"/>
      <c r="AJ168" s="321"/>
      <c r="AK168" s="321"/>
      <c r="AL168" s="321"/>
      <c r="AM168" s="321"/>
    </row>
    <row r="169" spans="1:39">
      <c r="A169" s="321"/>
      <c r="B169" s="488"/>
      <c r="C169" s="1590"/>
      <c r="D169" s="339"/>
      <c r="E169" s="347" t="s">
        <v>161</v>
      </c>
      <c r="F169" s="1592" t="s">
        <v>159</v>
      </c>
      <c r="G169" s="1593"/>
      <c r="H169" s="1594" t="s">
        <v>143</v>
      </c>
      <c r="I169" s="1595"/>
      <c r="J169" s="1594" t="s">
        <v>162</v>
      </c>
      <c r="K169" s="1595"/>
      <c r="L169" s="1594" t="s">
        <v>163</v>
      </c>
      <c r="M169" s="1599"/>
      <c r="N169" s="341"/>
      <c r="O169" s="321"/>
      <c r="P169" s="321"/>
      <c r="Q169" s="321"/>
      <c r="R169" s="321"/>
      <c r="S169" s="321"/>
      <c r="T169" s="321"/>
      <c r="U169" s="321"/>
      <c r="V169" s="321"/>
      <c r="X169" s="321"/>
      <c r="Y169" s="321"/>
      <c r="Z169" s="321"/>
      <c r="AA169" s="321"/>
      <c r="AB169" s="321"/>
      <c r="AC169" s="321"/>
      <c r="AD169" s="321"/>
      <c r="AE169" s="321"/>
      <c r="AF169" s="321"/>
      <c r="AG169" s="321"/>
      <c r="AH169" s="321"/>
      <c r="AI169" s="321"/>
      <c r="AJ169" s="321"/>
      <c r="AK169" s="321"/>
      <c r="AL169" s="321"/>
      <c r="AM169" s="321"/>
    </row>
    <row r="170" spans="1:39">
      <c r="A170" s="321"/>
      <c r="B170" s="446"/>
      <c r="C170" s="1590"/>
      <c r="D170" s="339"/>
      <c r="E170" s="665" t="s">
        <v>47</v>
      </c>
      <c r="F170" s="1123">
        <f>SUM(H170,J170,L170)</f>
        <v>2</v>
      </c>
      <c r="G170" s="1124">
        <f>SUM(I170,K170,M170)</f>
        <v>0</v>
      </c>
      <c r="H170" s="1125">
        <f t="shared" ref="H170:H177" si="4">COUNTIFS(I$1:I$132, E170,J$1:J$132, "Positif",G$1:G$132, 40)</f>
        <v>1</v>
      </c>
      <c r="I170" s="1126">
        <f t="shared" ref="I170:I177" si="5">COUNTIFS(I$1:I$132,E170,J$1:J$132,"Negatif",G$1:G$132,40)+COUNTIFS(I$1:I$132,E170,J$1:J$132,"Négatif",G$1:G$132,40)</f>
        <v>0</v>
      </c>
      <c r="J170" s="1125">
        <f t="shared" ref="J170:J177" si="6">COUNTIFS(I$1:I$132, E170,J$1:J$132, "Positif",G$1:G$132, 65)</f>
        <v>1</v>
      </c>
      <c r="K170" s="1126">
        <f t="shared" ref="K170:K177" si="7">COUNTIFS(I$1:I$132,E170,J$1:J$132,"Negatif",G$1:G$132,65)+COUNTIFS(I$1:I$132,E170,J$1:J$132,"Négatif",G$1:G$132,65)</f>
        <v>0</v>
      </c>
      <c r="L170" s="1125">
        <f t="shared" ref="L170:L177" si="8">COUNTIFS(I$1:I$132, E170,J$1:J$132, "Positif",G$1:G$132,64)</f>
        <v>0</v>
      </c>
      <c r="M170" s="1127">
        <f t="shared" ref="M170:M177" si="9">COUNTIFS(I$1:I$132,E170,J$1:J$132,"Negatif",G$1:G$132,64)+COUNTIFS(I$1:I$132,E170,J$1:J$132,"Négatif",G$1:G$132,64)</f>
        <v>0</v>
      </c>
      <c r="N170" s="341"/>
      <c r="O170" s="321"/>
      <c r="P170" s="321"/>
      <c r="Q170" s="321"/>
      <c r="R170" s="321"/>
      <c r="S170" s="321"/>
      <c r="T170" s="321"/>
      <c r="U170" s="321"/>
      <c r="V170" s="321"/>
      <c r="X170" s="321"/>
      <c r="Y170" s="321"/>
      <c r="Z170" s="321"/>
      <c r="AA170" s="321"/>
      <c r="AB170" s="321"/>
      <c r="AC170" s="321"/>
      <c r="AD170" s="321"/>
      <c r="AE170" s="321"/>
      <c r="AF170" s="321"/>
      <c r="AG170" s="321"/>
      <c r="AH170" s="321"/>
      <c r="AI170" s="321"/>
      <c r="AJ170" s="321"/>
      <c r="AK170" s="321"/>
      <c r="AL170" s="321"/>
      <c r="AM170" s="321"/>
    </row>
    <row r="171" spans="1:39">
      <c r="A171" s="321"/>
      <c r="B171" s="446"/>
      <c r="C171" s="1590"/>
      <c r="D171" s="339"/>
      <c r="E171" s="665" t="s">
        <v>48</v>
      </c>
      <c r="F171" s="1123">
        <f t="shared" ref="F171:F177" si="10">SUM(H171,J171,L171)</f>
        <v>0</v>
      </c>
      <c r="G171" s="1124">
        <f t="shared" ref="G171:G177" si="11">SUM(I171,K171,M171)</f>
        <v>0</v>
      </c>
      <c r="H171" s="1125">
        <f t="shared" si="4"/>
        <v>0</v>
      </c>
      <c r="I171" s="1126">
        <f t="shared" si="5"/>
        <v>0</v>
      </c>
      <c r="J171" s="1125">
        <f t="shared" si="6"/>
        <v>0</v>
      </c>
      <c r="K171" s="1126">
        <f t="shared" si="7"/>
        <v>0</v>
      </c>
      <c r="L171" s="1125">
        <f t="shared" si="8"/>
        <v>0</v>
      </c>
      <c r="M171" s="1127">
        <f t="shared" si="9"/>
        <v>0</v>
      </c>
      <c r="N171" s="341"/>
      <c r="O171" s="321"/>
      <c r="P171" s="321"/>
      <c r="Q171" s="321"/>
      <c r="R171" s="321"/>
      <c r="S171" s="321"/>
      <c r="T171" s="321"/>
      <c r="U171" s="321"/>
      <c r="V171" s="321"/>
      <c r="X171" s="321"/>
      <c r="Y171" s="321"/>
      <c r="Z171" s="321"/>
      <c r="AA171" s="321"/>
      <c r="AB171" s="321"/>
      <c r="AC171" s="321"/>
      <c r="AD171" s="321"/>
      <c r="AE171" s="321"/>
      <c r="AF171" s="321"/>
      <c r="AG171" s="321"/>
      <c r="AH171" s="321"/>
      <c r="AI171" s="321"/>
      <c r="AJ171" s="321"/>
      <c r="AK171" s="321"/>
      <c r="AL171" s="321"/>
      <c r="AM171" s="321"/>
    </row>
    <row r="172" spans="1:39">
      <c r="A172" s="321"/>
      <c r="B172" s="446"/>
      <c r="C172" s="1590"/>
      <c r="D172" s="339"/>
      <c r="E172" s="665" t="s">
        <v>49</v>
      </c>
      <c r="F172" s="1123">
        <f t="shared" si="10"/>
        <v>2</v>
      </c>
      <c r="G172" s="1124">
        <f t="shared" si="11"/>
        <v>0</v>
      </c>
      <c r="H172" s="1125">
        <f t="shared" si="4"/>
        <v>0</v>
      </c>
      <c r="I172" s="1126">
        <f t="shared" si="5"/>
        <v>0</v>
      </c>
      <c r="J172" s="1125">
        <f t="shared" si="6"/>
        <v>0</v>
      </c>
      <c r="K172" s="1126">
        <f t="shared" si="7"/>
        <v>0</v>
      </c>
      <c r="L172" s="1125">
        <f t="shared" si="8"/>
        <v>2</v>
      </c>
      <c r="M172" s="1127">
        <f t="shared" si="9"/>
        <v>0</v>
      </c>
      <c r="N172" s="341"/>
      <c r="O172" s="321"/>
      <c r="P172" s="321"/>
      <c r="Q172" s="321"/>
      <c r="R172" s="321"/>
      <c r="S172" s="321"/>
      <c r="T172" s="321"/>
      <c r="U172" s="321"/>
      <c r="V172" s="321"/>
      <c r="X172" s="321"/>
      <c r="Y172" s="321"/>
      <c r="Z172" s="321"/>
      <c r="AA172" s="321"/>
      <c r="AB172" s="321"/>
      <c r="AC172" s="321"/>
      <c r="AD172" s="321"/>
      <c r="AE172" s="321"/>
      <c r="AF172" s="321"/>
      <c r="AG172" s="321"/>
      <c r="AH172" s="321"/>
      <c r="AI172" s="321"/>
      <c r="AJ172" s="321"/>
      <c r="AK172" s="321"/>
      <c r="AL172" s="321"/>
      <c r="AM172" s="321"/>
    </row>
    <row r="173" spans="1:39">
      <c r="A173" s="321"/>
      <c r="B173" s="446"/>
      <c r="C173" s="1590"/>
      <c r="D173" s="339"/>
      <c r="E173" s="665" t="s">
        <v>50</v>
      </c>
      <c r="F173" s="1123">
        <f t="shared" si="10"/>
        <v>4</v>
      </c>
      <c r="G173" s="1124">
        <f t="shared" si="11"/>
        <v>1</v>
      </c>
      <c r="H173" s="1125">
        <f t="shared" si="4"/>
        <v>0</v>
      </c>
      <c r="I173" s="1126">
        <f t="shared" si="5"/>
        <v>0</v>
      </c>
      <c r="J173" s="1125">
        <f t="shared" si="6"/>
        <v>3</v>
      </c>
      <c r="K173" s="1126">
        <f t="shared" si="7"/>
        <v>0</v>
      </c>
      <c r="L173" s="1125">
        <f t="shared" si="8"/>
        <v>1</v>
      </c>
      <c r="M173" s="1127">
        <f t="shared" si="9"/>
        <v>1</v>
      </c>
      <c r="N173" s="341"/>
      <c r="O173" s="321"/>
      <c r="P173" s="321"/>
      <c r="Q173" s="321"/>
      <c r="R173" s="321"/>
      <c r="S173" s="321"/>
      <c r="T173" s="321"/>
      <c r="U173" s="321"/>
      <c r="V173" s="321"/>
      <c r="X173" s="321"/>
      <c r="Y173" s="321"/>
      <c r="Z173" s="321"/>
      <c r="AA173" s="321"/>
      <c r="AB173" s="321"/>
      <c r="AC173" s="321"/>
      <c r="AD173" s="321"/>
      <c r="AE173" s="321"/>
      <c r="AF173" s="321"/>
      <c r="AG173" s="321"/>
      <c r="AH173" s="321"/>
      <c r="AI173" s="321"/>
      <c r="AJ173" s="321"/>
      <c r="AK173" s="321"/>
      <c r="AL173" s="321"/>
      <c r="AM173" s="321"/>
    </row>
    <row r="174" spans="1:39">
      <c r="A174" s="321"/>
      <c r="B174" s="488"/>
      <c r="C174" s="1590"/>
      <c r="D174" s="339"/>
      <c r="E174" s="665" t="s">
        <v>51</v>
      </c>
      <c r="F174" s="1123">
        <f t="shared" si="10"/>
        <v>5</v>
      </c>
      <c r="G174" s="1124">
        <f t="shared" si="11"/>
        <v>0</v>
      </c>
      <c r="H174" s="1125">
        <f t="shared" si="4"/>
        <v>0</v>
      </c>
      <c r="I174" s="1126">
        <f t="shared" si="5"/>
        <v>0</v>
      </c>
      <c r="J174" s="1125">
        <f t="shared" si="6"/>
        <v>0</v>
      </c>
      <c r="K174" s="1126">
        <f t="shared" si="7"/>
        <v>0</v>
      </c>
      <c r="L174" s="1125">
        <f t="shared" si="8"/>
        <v>5</v>
      </c>
      <c r="M174" s="1127">
        <f t="shared" si="9"/>
        <v>0</v>
      </c>
      <c r="N174" s="341"/>
      <c r="O174" s="321"/>
      <c r="P174" s="321"/>
      <c r="Q174" s="321"/>
      <c r="R174" s="321"/>
      <c r="S174" s="321"/>
      <c r="T174" s="321"/>
      <c r="U174" s="321"/>
      <c r="V174" s="321"/>
      <c r="X174" s="321"/>
      <c r="Y174" s="321"/>
      <c r="Z174" s="321"/>
      <c r="AA174" s="321"/>
      <c r="AB174" s="321"/>
      <c r="AC174" s="321"/>
      <c r="AD174" s="321"/>
      <c r="AE174" s="321"/>
      <c r="AF174" s="321"/>
      <c r="AG174" s="321"/>
      <c r="AH174" s="321"/>
      <c r="AI174" s="321"/>
      <c r="AJ174" s="321"/>
      <c r="AK174" s="321"/>
      <c r="AL174" s="321"/>
      <c r="AM174" s="321"/>
    </row>
    <row r="175" spans="1:39">
      <c r="A175" s="321"/>
      <c r="B175" s="488"/>
      <c r="C175" s="1590"/>
      <c r="D175" s="339"/>
      <c r="E175" s="665" t="s">
        <v>52</v>
      </c>
      <c r="F175" s="1123">
        <f t="shared" si="10"/>
        <v>5</v>
      </c>
      <c r="G175" s="1124">
        <f t="shared" si="11"/>
        <v>1</v>
      </c>
      <c r="H175" s="1125">
        <f t="shared" si="4"/>
        <v>3</v>
      </c>
      <c r="I175" s="1126">
        <f t="shared" si="5"/>
        <v>0</v>
      </c>
      <c r="J175" s="1125">
        <f t="shared" si="6"/>
        <v>1</v>
      </c>
      <c r="K175" s="1126">
        <f t="shared" si="7"/>
        <v>1</v>
      </c>
      <c r="L175" s="1125">
        <f t="shared" si="8"/>
        <v>1</v>
      </c>
      <c r="M175" s="1127">
        <f t="shared" si="9"/>
        <v>0</v>
      </c>
      <c r="N175" s="341"/>
      <c r="O175" s="321"/>
      <c r="P175" s="321"/>
      <c r="Q175" s="321"/>
      <c r="R175" s="321"/>
      <c r="S175" s="321"/>
      <c r="T175" s="321"/>
      <c r="U175" s="321"/>
      <c r="V175" s="321"/>
      <c r="X175" s="321"/>
      <c r="Y175" s="321"/>
      <c r="Z175" s="321"/>
      <c r="AA175" s="321"/>
      <c r="AB175" s="321"/>
      <c r="AC175" s="321"/>
      <c r="AD175" s="321"/>
      <c r="AE175" s="321"/>
      <c r="AF175" s="321"/>
      <c r="AG175" s="321"/>
      <c r="AH175" s="321"/>
      <c r="AI175" s="321"/>
      <c r="AJ175" s="321"/>
      <c r="AK175" s="321"/>
      <c r="AL175" s="321"/>
      <c r="AM175" s="321"/>
    </row>
    <row r="176" spans="1:39">
      <c r="A176" s="321"/>
      <c r="B176" s="488"/>
      <c r="C176" s="1590"/>
      <c r="D176" s="339"/>
      <c r="E176" s="665" t="s">
        <v>53</v>
      </c>
      <c r="F176" s="1123">
        <f t="shared" si="10"/>
        <v>6</v>
      </c>
      <c r="G176" s="1124">
        <f t="shared" si="11"/>
        <v>2</v>
      </c>
      <c r="H176" s="1125">
        <f t="shared" si="4"/>
        <v>5</v>
      </c>
      <c r="I176" s="1126">
        <f t="shared" si="5"/>
        <v>0</v>
      </c>
      <c r="J176" s="1125">
        <f t="shared" si="6"/>
        <v>0</v>
      </c>
      <c r="K176" s="1126">
        <f t="shared" si="7"/>
        <v>2</v>
      </c>
      <c r="L176" s="1125">
        <f t="shared" si="8"/>
        <v>1</v>
      </c>
      <c r="M176" s="1127">
        <f t="shared" si="9"/>
        <v>0</v>
      </c>
      <c r="N176" s="341"/>
      <c r="O176" s="321"/>
      <c r="P176" s="321"/>
      <c r="Q176" s="321"/>
      <c r="R176" s="321"/>
      <c r="S176" s="321"/>
      <c r="T176" s="321"/>
      <c r="U176" s="321"/>
      <c r="V176" s="321"/>
      <c r="X176" s="321"/>
      <c r="Y176" s="321"/>
      <c r="Z176" s="321"/>
      <c r="AA176" s="321"/>
      <c r="AB176" s="321"/>
      <c r="AC176" s="321"/>
      <c r="AD176" s="321"/>
      <c r="AE176" s="321"/>
      <c r="AF176" s="321"/>
      <c r="AG176" s="321"/>
      <c r="AH176" s="321"/>
      <c r="AI176" s="321"/>
      <c r="AJ176" s="321"/>
      <c r="AK176" s="321"/>
      <c r="AL176" s="321"/>
      <c r="AM176" s="321"/>
    </row>
    <row r="177" spans="1:39" ht="16.5" thickBot="1">
      <c r="A177" s="321"/>
      <c r="B177" s="488"/>
      <c r="C177" s="1590"/>
      <c r="D177" s="339"/>
      <c r="E177" s="666" t="s">
        <v>54</v>
      </c>
      <c r="F177" s="1128">
        <f t="shared" si="10"/>
        <v>0</v>
      </c>
      <c r="G177" s="1129">
        <f t="shared" si="11"/>
        <v>0</v>
      </c>
      <c r="H177" s="1130">
        <f t="shared" si="4"/>
        <v>0</v>
      </c>
      <c r="I177" s="1131">
        <f t="shared" si="5"/>
        <v>0</v>
      </c>
      <c r="J177" s="1130">
        <f t="shared" si="6"/>
        <v>0</v>
      </c>
      <c r="K177" s="1131">
        <f t="shared" si="7"/>
        <v>0</v>
      </c>
      <c r="L177" s="1130">
        <f t="shared" si="8"/>
        <v>0</v>
      </c>
      <c r="M177" s="1132">
        <f t="shared" si="9"/>
        <v>0</v>
      </c>
      <c r="N177" s="341"/>
      <c r="O177" s="321"/>
      <c r="P177" s="321"/>
      <c r="Q177" s="321"/>
      <c r="R177" s="321"/>
      <c r="S177" s="321"/>
      <c r="T177" s="321"/>
      <c r="U177" s="321"/>
      <c r="V177" s="321"/>
      <c r="X177" s="321"/>
      <c r="Y177" s="321"/>
      <c r="Z177" s="321"/>
      <c r="AA177" s="321"/>
      <c r="AB177" s="321"/>
      <c r="AC177" s="321"/>
      <c r="AD177" s="321"/>
      <c r="AE177" s="321"/>
      <c r="AF177" s="321"/>
      <c r="AG177" s="321"/>
      <c r="AH177" s="321"/>
      <c r="AI177" s="321"/>
      <c r="AJ177" s="321"/>
      <c r="AK177" s="321"/>
      <c r="AL177" s="321"/>
      <c r="AM177" s="321"/>
    </row>
    <row r="178" spans="1:39">
      <c r="A178" s="321"/>
      <c r="B178" s="488"/>
      <c r="C178" s="1590"/>
      <c r="D178" s="339"/>
      <c r="E178" s="667"/>
      <c r="F178" s="668"/>
      <c r="G178" s="668"/>
      <c r="H178" s="669"/>
      <c r="I178" s="669"/>
      <c r="J178" s="369"/>
      <c r="K178" s="369"/>
      <c r="L178" s="369"/>
      <c r="M178" s="369"/>
      <c r="N178" s="341"/>
      <c r="O178" s="321"/>
      <c r="P178" s="321"/>
      <c r="Q178" s="321"/>
      <c r="R178" s="321"/>
      <c r="S178" s="321"/>
      <c r="T178" s="321"/>
      <c r="U178" s="321"/>
      <c r="V178" s="321"/>
      <c r="X178" s="321"/>
      <c r="Y178" s="321"/>
      <c r="Z178" s="321"/>
      <c r="AA178" s="321"/>
      <c r="AB178" s="321"/>
      <c r="AC178" s="321"/>
      <c r="AD178" s="321"/>
      <c r="AE178" s="321"/>
      <c r="AF178" s="321"/>
      <c r="AG178" s="321"/>
      <c r="AH178" s="321"/>
      <c r="AI178" s="321"/>
      <c r="AJ178" s="321"/>
      <c r="AK178" s="321"/>
      <c r="AL178" s="321"/>
      <c r="AM178" s="321"/>
    </row>
    <row r="179" spans="1:39" ht="16.5" thickBot="1">
      <c r="A179" s="321"/>
      <c r="B179" s="488"/>
      <c r="C179" s="1591"/>
      <c r="D179" s="670"/>
      <c r="E179" s="376"/>
      <c r="F179" s="671"/>
      <c r="G179" s="671"/>
      <c r="H179" s="376"/>
      <c r="I179" s="376"/>
      <c r="J179" s="376"/>
      <c r="K179" s="376"/>
      <c r="L179" s="376"/>
      <c r="M179" s="376"/>
      <c r="N179" s="672"/>
      <c r="O179" s="321"/>
      <c r="P179" s="321"/>
      <c r="Q179" s="321"/>
      <c r="R179" s="321"/>
      <c r="S179" s="321"/>
      <c r="T179" s="321"/>
      <c r="U179" s="321"/>
      <c r="V179" s="321"/>
      <c r="X179" s="321"/>
      <c r="Y179" s="321"/>
      <c r="Z179" s="321"/>
      <c r="AA179" s="321"/>
      <c r="AB179" s="321"/>
      <c r="AC179" s="321"/>
      <c r="AD179" s="321"/>
      <c r="AE179" s="321"/>
      <c r="AF179" s="321"/>
      <c r="AG179" s="321"/>
      <c r="AH179" s="321"/>
      <c r="AI179" s="321"/>
      <c r="AJ179" s="321"/>
      <c r="AK179" s="321"/>
      <c r="AL179" s="321"/>
      <c r="AM179" s="321"/>
    </row>
    <row r="180" spans="1:39">
      <c r="A180" s="321"/>
      <c r="B180" s="321"/>
      <c r="C180" s="322"/>
      <c r="D180" s="323"/>
      <c r="E180" s="324"/>
      <c r="F180" s="560"/>
      <c r="G180" s="567"/>
      <c r="H180" s="321"/>
      <c r="I180" s="321"/>
      <c r="J180" s="322"/>
      <c r="K180" s="321"/>
      <c r="L180" s="360"/>
      <c r="M180" s="392"/>
      <c r="N180" s="321"/>
      <c r="O180" s="321"/>
      <c r="P180" s="321"/>
      <c r="Q180" s="321"/>
      <c r="R180" s="321"/>
      <c r="S180" s="321"/>
      <c r="T180" s="321"/>
      <c r="U180" s="321"/>
      <c r="V180" s="321"/>
      <c r="X180" s="321"/>
      <c r="Y180" s="321"/>
      <c r="Z180" s="321"/>
      <c r="AA180" s="321"/>
      <c r="AB180" s="321"/>
      <c r="AC180" s="321"/>
      <c r="AD180" s="321"/>
      <c r="AE180" s="321"/>
      <c r="AF180" s="321"/>
      <c r="AG180" s="321"/>
      <c r="AH180" s="321"/>
      <c r="AI180" s="321"/>
      <c r="AJ180" s="321"/>
      <c r="AK180" s="321"/>
      <c r="AL180" s="321"/>
      <c r="AM180" s="321"/>
    </row>
    <row r="181" spans="1:39">
      <c r="A181" s="321"/>
      <c r="B181" s="321"/>
      <c r="C181" s="322"/>
      <c r="D181" s="323"/>
      <c r="E181" s="324"/>
      <c r="F181" s="560"/>
      <c r="G181" s="567"/>
      <c r="H181" s="321"/>
      <c r="I181" s="321"/>
      <c r="J181" s="322"/>
      <c r="K181" s="321"/>
      <c r="L181" s="360"/>
      <c r="M181" s="392"/>
      <c r="N181" s="321"/>
      <c r="O181" s="321"/>
      <c r="P181" s="321"/>
      <c r="Q181" s="321"/>
      <c r="R181" s="321"/>
      <c r="S181" s="321"/>
      <c r="T181" s="321"/>
      <c r="U181" s="321"/>
      <c r="V181" s="321"/>
      <c r="X181" s="321"/>
      <c r="Y181" s="321"/>
      <c r="Z181" s="321"/>
      <c r="AA181" s="321"/>
      <c r="AB181" s="321"/>
      <c r="AC181" s="321"/>
      <c r="AD181" s="321"/>
      <c r="AE181" s="321"/>
      <c r="AF181" s="321"/>
      <c r="AG181" s="321"/>
      <c r="AH181" s="321"/>
      <c r="AI181" s="321"/>
      <c r="AJ181" s="321"/>
      <c r="AK181" s="321"/>
      <c r="AL181" s="321"/>
      <c r="AM181" s="321"/>
    </row>
    <row r="182" spans="1:39">
      <c r="A182" s="321"/>
      <c r="B182" s="321"/>
      <c r="C182" s="322"/>
      <c r="D182" s="323"/>
      <c r="E182" s="324"/>
      <c r="F182" s="560"/>
      <c r="G182" s="567"/>
      <c r="H182" s="321"/>
      <c r="I182" s="321"/>
      <c r="J182" s="322"/>
      <c r="K182" s="321"/>
      <c r="L182" s="360"/>
      <c r="M182" s="392"/>
      <c r="N182" s="321"/>
      <c r="O182" s="321"/>
      <c r="P182" s="321"/>
      <c r="Q182" s="321"/>
      <c r="R182" s="321"/>
      <c r="S182" s="321"/>
      <c r="T182" s="321"/>
      <c r="U182" s="321"/>
      <c r="V182" s="321"/>
      <c r="X182" s="321"/>
      <c r="Y182" s="321"/>
      <c r="Z182" s="321"/>
      <c r="AA182" s="321"/>
      <c r="AB182" s="321"/>
      <c r="AC182" s="321"/>
      <c r="AD182" s="321"/>
      <c r="AE182" s="321"/>
      <c r="AF182" s="321"/>
      <c r="AG182" s="321"/>
      <c r="AH182" s="321"/>
      <c r="AI182" s="321"/>
      <c r="AJ182" s="321"/>
      <c r="AK182" s="321"/>
      <c r="AL182" s="321"/>
      <c r="AM182" s="321"/>
    </row>
    <row r="183" spans="1:39">
      <c r="A183" s="321"/>
      <c r="B183" s="321"/>
      <c r="C183" s="322"/>
      <c r="D183" s="323"/>
      <c r="E183" s="324"/>
      <c r="F183" s="560"/>
      <c r="G183" s="567"/>
      <c r="H183" s="321"/>
      <c r="I183" s="321"/>
      <c r="J183" s="322"/>
      <c r="K183" s="321"/>
      <c r="L183" s="360"/>
      <c r="M183" s="392"/>
      <c r="N183" s="321"/>
      <c r="O183" s="321"/>
      <c r="P183" s="321"/>
      <c r="Q183" s="321"/>
      <c r="R183" s="321"/>
      <c r="S183" s="321"/>
      <c r="T183" s="321"/>
      <c r="U183" s="321"/>
      <c r="V183" s="321"/>
      <c r="X183" s="321"/>
      <c r="Y183" s="321"/>
      <c r="Z183" s="321"/>
      <c r="AA183" s="321"/>
      <c r="AB183" s="321"/>
      <c r="AC183" s="321"/>
      <c r="AD183" s="321"/>
      <c r="AE183" s="321"/>
      <c r="AF183" s="321"/>
      <c r="AG183" s="321"/>
      <c r="AH183" s="321"/>
      <c r="AI183" s="321"/>
      <c r="AJ183" s="321"/>
      <c r="AK183" s="321"/>
      <c r="AL183" s="321"/>
      <c r="AM183" s="321"/>
    </row>
    <row r="184" spans="1:39">
      <c r="A184" s="321"/>
      <c r="B184" s="321"/>
      <c r="C184" s="322"/>
      <c r="D184" s="323"/>
      <c r="E184" s="324"/>
      <c r="F184" s="560"/>
      <c r="G184" s="567"/>
      <c r="H184" s="321"/>
      <c r="I184" s="321"/>
      <c r="J184" s="322"/>
      <c r="K184" s="321"/>
      <c r="L184" s="360"/>
      <c r="M184" s="392"/>
      <c r="N184" s="321"/>
      <c r="O184" s="321"/>
      <c r="P184" s="321"/>
      <c r="Q184" s="321"/>
      <c r="R184" s="321"/>
      <c r="S184" s="321"/>
      <c r="T184" s="321"/>
      <c r="U184" s="321"/>
      <c r="V184" s="321"/>
      <c r="X184" s="321"/>
      <c r="Y184" s="321"/>
      <c r="Z184" s="321"/>
      <c r="AA184" s="321"/>
      <c r="AB184" s="321"/>
      <c r="AC184" s="321"/>
      <c r="AD184" s="321"/>
      <c r="AE184" s="321"/>
      <c r="AF184" s="321"/>
      <c r="AG184" s="321"/>
      <c r="AH184" s="321"/>
      <c r="AI184" s="321"/>
      <c r="AJ184" s="321"/>
      <c r="AK184" s="321"/>
      <c r="AL184" s="321"/>
      <c r="AM184" s="321"/>
    </row>
    <row r="185" spans="1:39">
      <c r="A185" s="321"/>
      <c r="B185" s="321"/>
      <c r="C185" s="322"/>
      <c r="D185" s="323"/>
      <c r="E185" s="324"/>
      <c r="F185" s="560"/>
      <c r="G185" s="567"/>
      <c r="H185" s="321"/>
      <c r="I185" s="321"/>
      <c r="J185" s="322"/>
      <c r="K185" s="321"/>
      <c r="L185" s="360"/>
      <c r="M185" s="392"/>
      <c r="N185" s="321"/>
      <c r="O185" s="321"/>
      <c r="P185" s="321"/>
      <c r="Q185" s="321"/>
      <c r="R185" s="321"/>
      <c r="S185" s="321"/>
      <c r="T185" s="321"/>
      <c r="U185" s="321"/>
      <c r="V185" s="321"/>
      <c r="X185" s="321"/>
      <c r="Y185" s="321"/>
      <c r="Z185" s="321"/>
      <c r="AA185" s="321"/>
      <c r="AB185" s="321"/>
      <c r="AC185" s="321"/>
      <c r="AD185" s="321"/>
      <c r="AE185" s="321"/>
      <c r="AF185" s="321"/>
      <c r="AG185" s="321"/>
      <c r="AH185" s="321"/>
      <c r="AI185" s="321"/>
      <c r="AJ185" s="321"/>
      <c r="AK185" s="321"/>
      <c r="AL185" s="321"/>
      <c r="AM185" s="321"/>
    </row>
    <row r="186" spans="1:39">
      <c r="A186" s="321"/>
      <c r="B186" s="321"/>
      <c r="C186" s="322"/>
      <c r="D186" s="323"/>
      <c r="E186" s="324"/>
      <c r="F186" s="560"/>
      <c r="G186" s="567"/>
      <c r="H186" s="321"/>
      <c r="I186" s="321"/>
      <c r="J186" s="322"/>
      <c r="K186" s="321"/>
      <c r="L186" s="360"/>
      <c r="M186" s="392"/>
      <c r="N186" s="321"/>
      <c r="O186" s="321"/>
      <c r="P186" s="321"/>
      <c r="Q186" s="321"/>
      <c r="R186" s="321"/>
      <c r="S186" s="321"/>
      <c r="T186" s="321"/>
      <c r="U186" s="321"/>
      <c r="V186" s="321"/>
      <c r="X186" s="321"/>
      <c r="Y186" s="321"/>
      <c r="Z186" s="321"/>
      <c r="AA186" s="321"/>
      <c r="AB186" s="321"/>
      <c r="AC186" s="321"/>
      <c r="AD186" s="321"/>
      <c r="AE186" s="321"/>
      <c r="AF186" s="321"/>
      <c r="AG186" s="321"/>
      <c r="AH186" s="321"/>
      <c r="AI186" s="321"/>
      <c r="AJ186" s="321"/>
      <c r="AK186" s="321"/>
      <c r="AL186" s="321"/>
      <c r="AM186" s="321"/>
    </row>
  </sheetData>
  <sheetProtection formatCells="0" insertHyperlinks="0"/>
  <autoFilter ref="C10:K75" xr:uid="{00000000-0009-0000-0000-000004000000}"/>
  <mergeCells count="18">
    <mergeCell ref="E167:M168"/>
    <mergeCell ref="C166:C179"/>
    <mergeCell ref="C151:C163"/>
    <mergeCell ref="F169:G169"/>
    <mergeCell ref="H169:I169"/>
    <mergeCell ref="J169:K169"/>
    <mergeCell ref="E152:I152"/>
    <mergeCell ref="L169:M169"/>
    <mergeCell ref="M8:T9"/>
    <mergeCell ref="B2:L4"/>
    <mergeCell ref="C133:C140"/>
    <mergeCell ref="C8:K9"/>
    <mergeCell ref="C142:C149"/>
    <mergeCell ref="C132:M132"/>
    <mergeCell ref="E143:F145"/>
    <mergeCell ref="H143:I144"/>
    <mergeCell ref="K63:K64"/>
    <mergeCell ref="K60:K61"/>
  </mergeCells>
  <conditionalFormatting sqref="J26">
    <cfRule type="cellIs" dxfId="515" priority="2" operator="equal">
      <formula>"Positif"</formula>
    </cfRule>
    <cfRule type="cellIs" dxfId="514" priority="3" operator="equal">
      <formula>"Negatif"</formula>
    </cfRule>
  </conditionalFormatting>
  <conditionalFormatting sqref="J26">
    <cfRule type="cellIs" dxfId="513" priority="1" operator="equal">
      <formula>"négatif"</formula>
    </cfRule>
  </conditionalFormatting>
  <conditionalFormatting sqref="J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2" priority="5" operator="equal">
      <formula>"Negatif"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1" priority="8" operator="equal">
      <formula>"Negatif"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J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0" priority="11" operator="equal">
      <formula>"Negatif"</formula>
    </cfRule>
    <cfRule type="colorScale" priority="12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P35 I52:I53 I57:I74 R11:R16 I44:I46 I11:I41" xr:uid="{00000000-0002-0000-0400-000000000000}">
      <formula1>$E$154:$E$161</formula1>
    </dataValidation>
    <dataValidation type="list" allowBlank="1" showInputMessage="1" showErrorMessage="1" sqref="I75" xr:uid="{00000000-0002-0000-0400-000001000000}">
      <formula1>$E$156:$E$163</formula1>
    </dataValidation>
  </dataValidations>
  <hyperlinks>
    <hyperlink ref="K11" r:id="rId1" display="Lien" xr:uid="{00000000-0004-0000-0400-000000000000}"/>
    <hyperlink ref="K12" r:id="rId2" xr:uid="{00000000-0004-0000-0400-000001000000}"/>
    <hyperlink ref="K13" r:id="rId3" xr:uid="{00000000-0004-0000-0400-000002000000}"/>
    <hyperlink ref="S11" r:id="rId4" display="PDF" xr:uid="{00000000-0004-0000-0400-000003000000}"/>
    <hyperlink ref="S12" r:id="rId5" xr:uid="{00000000-0004-0000-0400-000004000000}"/>
    <hyperlink ref="K14:K15" r:id="rId6" display="PDF" xr:uid="{00000000-0004-0000-0400-000005000000}"/>
    <hyperlink ref="S13" r:id="rId7" xr:uid="{00000000-0004-0000-0400-000006000000}"/>
    <hyperlink ref="S14" r:id="rId8" xr:uid="{00000000-0004-0000-0400-000007000000}"/>
    <hyperlink ref="S15" r:id="rId9" xr:uid="{00000000-0004-0000-0400-000008000000}"/>
    <hyperlink ref="S16" r:id="rId10" xr:uid="{00000000-0004-0000-0400-000009000000}"/>
    <hyperlink ref="K14" r:id="rId11" xr:uid="{00000000-0004-0000-0400-00000A000000}"/>
    <hyperlink ref="K37" r:id="rId12" xr:uid="{00000000-0004-0000-0400-00000B000000}"/>
    <hyperlink ref="K36" r:id="rId13" xr:uid="{00000000-0004-0000-0400-00000C000000}"/>
    <hyperlink ref="K35" r:id="rId14" xr:uid="{00000000-0004-0000-0400-00000D000000}"/>
    <hyperlink ref="K34" r:id="rId15" xr:uid="{00000000-0004-0000-0400-00000E000000}"/>
    <hyperlink ref="K33" r:id="rId16" xr:uid="{00000000-0004-0000-0400-00000F000000}"/>
    <hyperlink ref="K32" r:id="rId17" xr:uid="{00000000-0004-0000-0400-000010000000}"/>
    <hyperlink ref="K31" r:id="rId18" xr:uid="{00000000-0004-0000-0400-000011000000}"/>
    <hyperlink ref="K30" r:id="rId19" xr:uid="{00000000-0004-0000-0400-000012000000}"/>
    <hyperlink ref="K29" r:id="rId20" xr:uid="{00000000-0004-0000-0400-000013000000}"/>
    <hyperlink ref="K28" r:id="rId21" xr:uid="{00000000-0004-0000-0400-000014000000}"/>
    <hyperlink ref="K27" r:id="rId22" xr:uid="{00000000-0004-0000-0400-000015000000}"/>
    <hyperlink ref="K26" r:id="rId23" xr:uid="{00000000-0004-0000-0400-000016000000}"/>
    <hyperlink ref="K24" r:id="rId24" xr:uid="{00000000-0004-0000-0400-000017000000}"/>
    <hyperlink ref="K25" r:id="rId25" xr:uid="{00000000-0004-0000-0400-000018000000}"/>
    <hyperlink ref="K23" r:id="rId26" xr:uid="{00000000-0004-0000-0400-000019000000}"/>
    <hyperlink ref="K22" r:id="rId27" xr:uid="{00000000-0004-0000-0400-00001A000000}"/>
    <hyperlink ref="K21" r:id="rId28" xr:uid="{00000000-0004-0000-0400-00001B000000}"/>
    <hyperlink ref="K20" r:id="rId29" xr:uid="{00000000-0004-0000-0400-00001C000000}"/>
    <hyperlink ref="K19" r:id="rId30" xr:uid="{00000000-0004-0000-0400-00001D000000}"/>
    <hyperlink ref="K18" r:id="rId31" xr:uid="{00000000-0004-0000-0400-00001E000000}"/>
    <hyperlink ref="K17" r:id="rId32" xr:uid="{00000000-0004-0000-0400-00001F000000}"/>
    <hyperlink ref="K16" r:id="rId33" xr:uid="{00000000-0004-0000-0400-000020000000}"/>
    <hyperlink ref="K15" r:id="rId34" xr:uid="{00000000-0004-0000-0400-000021000000}"/>
    <hyperlink ref="K38" r:id="rId35" xr:uid="{00000000-0004-0000-0400-000022000000}"/>
  </hyperlinks>
  <pageMargins left="0.7" right="0.7" top="0.75" bottom="0.75" header="0.3" footer="0.3"/>
  <pageSetup paperSize="9" orientation="portrait" r:id="rId3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AH216"/>
  <sheetViews>
    <sheetView topLeftCell="G4" zoomScale="70" zoomScaleNormal="70" workbookViewId="0">
      <selection activeCell="O12" sqref="O12"/>
    </sheetView>
  </sheetViews>
  <sheetFormatPr defaultColWidth="11" defaultRowHeight="15.75"/>
  <cols>
    <col min="1" max="1" width="4.25" style="329" customWidth="1"/>
    <col min="2" max="2" width="3.125" style="329" customWidth="1"/>
    <col min="3" max="3" width="9.25" style="400" customWidth="1"/>
    <col min="4" max="4" width="6.75" style="401" customWidth="1"/>
    <col min="5" max="5" width="93.75" style="402" customWidth="1"/>
    <col min="6" max="6" width="8.25" style="329" customWidth="1"/>
    <col min="7" max="7" width="7" style="403" customWidth="1"/>
    <col min="8" max="8" width="34.75" style="329" customWidth="1"/>
    <col min="9" max="9" width="21" style="329" customWidth="1"/>
    <col min="10" max="10" width="9.75" style="400" customWidth="1"/>
    <col min="11" max="11" width="7.25" style="329" customWidth="1"/>
    <col min="12" max="12" width="6.125" style="362" customWidth="1"/>
    <col min="13" max="13" width="16.25" style="404" customWidth="1"/>
    <col min="14" max="14" width="9" style="329" customWidth="1"/>
    <col min="15" max="15" width="55.5" style="329" customWidth="1"/>
    <col min="16" max="16" width="7.75" style="329" customWidth="1"/>
    <col min="17" max="17" width="8" style="329" customWidth="1"/>
    <col min="18" max="18" width="15.75" style="329" bestFit="1" customWidth="1"/>
    <col min="19" max="19" width="9.125" style="329" customWidth="1"/>
    <col min="20" max="20" width="16.75" style="329" customWidth="1"/>
    <col min="21" max="22" width="11" style="329"/>
    <col min="23" max="23" width="11" style="321"/>
    <col min="24" max="24" width="37.125" style="321" customWidth="1"/>
    <col min="25" max="25" width="9.75" style="321" customWidth="1"/>
    <col min="26" max="26" width="24.125" style="321" customWidth="1"/>
    <col min="27" max="27" width="13" style="321" customWidth="1"/>
    <col min="28" max="28" width="16.125" style="321" customWidth="1"/>
    <col min="29" max="29" width="14.625" style="321" customWidth="1"/>
    <col min="30" max="30" width="15.75" style="321" customWidth="1"/>
    <col min="31" max="32" width="11" style="321"/>
    <col min="33" max="16384" width="11" style="329"/>
  </cols>
  <sheetData>
    <row r="1" spans="1:32" ht="16.5" thickBot="1">
      <c r="A1" s="321"/>
      <c r="B1" s="321"/>
      <c r="C1" s="322"/>
      <c r="D1" s="323"/>
      <c r="E1" s="324"/>
      <c r="F1" s="321"/>
      <c r="G1" s="325"/>
      <c r="H1" s="321"/>
      <c r="I1" s="321"/>
      <c r="J1" s="322"/>
      <c r="K1" s="326"/>
      <c r="L1" s="327"/>
      <c r="M1" s="328"/>
      <c r="N1" s="321"/>
      <c r="O1" s="321"/>
      <c r="P1" s="321"/>
      <c r="Q1" s="321"/>
      <c r="R1" s="321"/>
      <c r="S1" s="321"/>
      <c r="T1" s="321"/>
      <c r="U1" s="321"/>
      <c r="V1" s="321"/>
    </row>
    <row r="2" spans="1:32" ht="15.75" customHeight="1">
      <c r="A2" s="321"/>
      <c r="B2" s="1557" t="s">
        <v>164</v>
      </c>
      <c r="C2" s="1558"/>
      <c r="D2" s="1558"/>
      <c r="E2" s="1558"/>
      <c r="F2" s="1558"/>
      <c r="G2" s="1558"/>
      <c r="H2" s="1558"/>
      <c r="I2" s="1558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  <c r="V2" s="321"/>
    </row>
    <row r="3" spans="1:32" ht="15.75" customHeight="1">
      <c r="A3" s="321"/>
      <c r="B3" s="1560"/>
      <c r="C3" s="1561"/>
      <c r="D3" s="1561"/>
      <c r="E3" s="1561"/>
      <c r="F3" s="1561"/>
      <c r="G3" s="1561"/>
      <c r="H3" s="1561"/>
      <c r="I3" s="1561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32" ht="15.75" customHeight="1" thickBot="1">
      <c r="A4" s="321"/>
      <c r="B4" s="1563"/>
      <c r="C4" s="1564"/>
      <c r="D4" s="1564"/>
      <c r="E4" s="1564"/>
      <c r="F4" s="1564"/>
      <c r="G4" s="1564"/>
      <c r="H4" s="1564"/>
      <c r="I4" s="1564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  <c r="V4" s="321"/>
    </row>
    <row r="5" spans="1:32" ht="15.75" customHeight="1">
      <c r="A5" s="321"/>
      <c r="B5" s="326"/>
      <c r="C5" s="330"/>
      <c r="D5" s="331"/>
      <c r="E5" s="330"/>
      <c r="F5" s="330"/>
      <c r="G5" s="330"/>
      <c r="H5" s="330"/>
      <c r="I5" s="330"/>
      <c r="J5" s="330"/>
      <c r="K5" s="332"/>
      <c r="L5" s="332"/>
      <c r="M5" s="326"/>
      <c r="N5" s="321"/>
      <c r="O5" s="321"/>
      <c r="P5" s="321"/>
      <c r="Q5" s="321"/>
      <c r="R5" s="321"/>
      <c r="S5" s="321"/>
      <c r="T5" s="321"/>
      <c r="U5" s="321"/>
      <c r="V5" s="321"/>
    </row>
    <row r="6" spans="1:32" ht="15.75" customHeight="1" thickBot="1">
      <c r="A6" s="321"/>
      <c r="B6" s="326"/>
      <c r="C6" s="330"/>
      <c r="D6" s="331"/>
      <c r="E6" s="330"/>
      <c r="F6" s="330"/>
      <c r="G6" s="330"/>
      <c r="H6" s="330"/>
      <c r="I6" s="330"/>
      <c r="J6" s="330"/>
      <c r="K6" s="332"/>
      <c r="L6" s="332"/>
      <c r="M6" s="326"/>
      <c r="N6" s="321"/>
      <c r="O6" s="321"/>
      <c r="P6" s="321"/>
      <c r="Q6" s="321"/>
      <c r="R6" s="321"/>
      <c r="S6" s="321"/>
      <c r="T6" s="321"/>
      <c r="U6" s="321"/>
      <c r="V6" s="321"/>
    </row>
    <row r="7" spans="1:32" ht="15.75" customHeight="1" thickBot="1">
      <c r="A7" s="321"/>
      <c r="B7" s="333"/>
      <c r="C7" s="334"/>
      <c r="D7" s="335"/>
      <c r="E7" s="334"/>
      <c r="F7" s="334"/>
      <c r="G7" s="334"/>
      <c r="H7" s="334"/>
      <c r="I7" s="334"/>
      <c r="J7" s="334"/>
      <c r="K7" s="336"/>
      <c r="L7" s="336"/>
      <c r="M7" s="337"/>
      <c r="N7" s="337"/>
      <c r="O7" s="337"/>
      <c r="P7" s="337"/>
      <c r="Q7" s="337"/>
      <c r="R7" s="337"/>
      <c r="S7" s="337"/>
      <c r="T7" s="337"/>
      <c r="U7" s="338"/>
      <c r="V7" s="321"/>
    </row>
    <row r="8" spans="1:32" ht="15.75" customHeight="1">
      <c r="A8" s="321"/>
      <c r="B8" s="339"/>
      <c r="C8" s="1620" t="s">
        <v>64</v>
      </c>
      <c r="D8" s="1621"/>
      <c r="E8" s="1621"/>
      <c r="F8" s="1621"/>
      <c r="G8" s="1621"/>
      <c r="H8" s="1621"/>
      <c r="I8" s="1621"/>
      <c r="J8" s="1621"/>
      <c r="K8" s="1622"/>
      <c r="L8" s="340"/>
      <c r="M8" s="1626" t="s">
        <v>65</v>
      </c>
      <c r="N8" s="1627"/>
      <c r="O8" s="1627"/>
      <c r="P8" s="1627"/>
      <c r="Q8" s="1627"/>
      <c r="R8" s="1627"/>
      <c r="S8" s="1627"/>
      <c r="T8" s="1628"/>
      <c r="U8" s="341"/>
      <c r="V8" s="321"/>
    </row>
    <row r="9" spans="1:32" ht="15.75" customHeight="1">
      <c r="A9" s="321"/>
      <c r="B9" s="339"/>
      <c r="C9" s="1623"/>
      <c r="D9" s="1624"/>
      <c r="E9" s="1624"/>
      <c r="F9" s="1624"/>
      <c r="G9" s="1624"/>
      <c r="H9" s="1624"/>
      <c r="I9" s="1624"/>
      <c r="J9" s="1624"/>
      <c r="K9" s="1625"/>
      <c r="L9" s="340"/>
      <c r="M9" s="1629"/>
      <c r="N9" s="1630"/>
      <c r="O9" s="1630"/>
      <c r="P9" s="1630"/>
      <c r="Q9" s="1630"/>
      <c r="R9" s="1630"/>
      <c r="S9" s="1630"/>
      <c r="T9" s="1631"/>
      <c r="U9" s="341"/>
      <c r="V9" s="321"/>
    </row>
    <row r="10" spans="1:32" ht="30" customHeight="1">
      <c r="A10" s="321"/>
      <c r="B10" s="339"/>
      <c r="C10" s="797" t="s">
        <v>66</v>
      </c>
      <c r="D10" s="798" t="s">
        <v>67</v>
      </c>
      <c r="E10" s="799" t="s">
        <v>68</v>
      </c>
      <c r="F10" s="801" t="s">
        <v>69</v>
      </c>
      <c r="G10" s="801" t="s">
        <v>70</v>
      </c>
      <c r="H10" s="801" t="s">
        <v>71</v>
      </c>
      <c r="I10" s="801" t="s">
        <v>72</v>
      </c>
      <c r="J10" s="802" t="s">
        <v>73</v>
      </c>
      <c r="K10" s="840" t="s">
        <v>74</v>
      </c>
      <c r="L10" s="346"/>
      <c r="M10" s="735" t="s">
        <v>75</v>
      </c>
      <c r="N10" s="348" t="s">
        <v>165</v>
      </c>
      <c r="O10" s="349" t="s">
        <v>77</v>
      </c>
      <c r="P10" s="349" t="s">
        <v>69</v>
      </c>
      <c r="Q10" s="349" t="s">
        <v>70</v>
      </c>
      <c r="R10" s="349" t="s">
        <v>72</v>
      </c>
      <c r="S10" s="349" t="s">
        <v>74</v>
      </c>
      <c r="T10" s="350" t="s">
        <v>64</v>
      </c>
      <c r="U10" s="341"/>
      <c r="V10" s="321"/>
    </row>
    <row r="11" spans="1:32" s="357" customFormat="1">
      <c r="A11" s="351"/>
      <c r="B11" s="352"/>
      <c r="C11" s="1058">
        <v>43862</v>
      </c>
      <c r="D11" s="1059">
        <v>6</v>
      </c>
      <c r="E11" s="1071" t="s">
        <v>166</v>
      </c>
      <c r="F11" s="1133" t="s">
        <v>9</v>
      </c>
      <c r="G11" s="1133">
        <v>65</v>
      </c>
      <c r="H11" s="1062" t="s">
        <v>167</v>
      </c>
      <c r="I11" s="1062" t="s">
        <v>52</v>
      </c>
      <c r="J11" s="1134" t="s">
        <v>80</v>
      </c>
      <c r="K11" s="825" t="s">
        <v>96</v>
      </c>
      <c r="L11" s="353"/>
      <c r="M11" s="739">
        <v>43864</v>
      </c>
      <c r="N11" s="1065">
        <v>7</v>
      </c>
      <c r="O11" s="1066" t="s">
        <v>168</v>
      </c>
      <c r="P11" s="1067" t="s">
        <v>83</v>
      </c>
      <c r="Q11" s="1067">
        <v>65</v>
      </c>
      <c r="R11" s="1008" t="s">
        <v>52</v>
      </c>
      <c r="S11" s="1135"/>
      <c r="T11" s="1136">
        <f>COUNTIF(D:D,N11)+COUNTIF(Mars!D:D,N11)</f>
        <v>4</v>
      </c>
      <c r="U11" s="356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</row>
    <row r="12" spans="1:32" s="357" customFormat="1" ht="30">
      <c r="A12" s="351"/>
      <c r="B12" s="352"/>
      <c r="C12" s="1058">
        <v>43862</v>
      </c>
      <c r="D12" s="1059">
        <v>6</v>
      </c>
      <c r="E12" s="1071" t="s">
        <v>169</v>
      </c>
      <c r="F12" s="1137" t="s">
        <v>9</v>
      </c>
      <c r="G12" s="1133">
        <v>65</v>
      </c>
      <c r="H12" s="1062" t="s">
        <v>170</v>
      </c>
      <c r="I12" s="1062" t="s">
        <v>52</v>
      </c>
      <c r="J12" s="1134" t="s">
        <v>80</v>
      </c>
      <c r="K12" s="825" t="s">
        <v>96</v>
      </c>
      <c r="L12" s="358"/>
      <c r="M12" s="739">
        <v>43867</v>
      </c>
      <c r="N12" s="1065">
        <v>8</v>
      </c>
      <c r="O12" s="1066" t="s">
        <v>171</v>
      </c>
      <c r="P12" s="1067" t="s">
        <v>94</v>
      </c>
      <c r="Q12" s="1067">
        <v>64</v>
      </c>
      <c r="R12" s="1008" t="s">
        <v>48</v>
      </c>
      <c r="S12" s="1035" t="s">
        <v>81</v>
      </c>
      <c r="T12" s="1136">
        <f>COUNTIF(D:D,N12)+COUNTIF(Mars!D:D,N12)</f>
        <v>0</v>
      </c>
      <c r="U12" s="34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</row>
    <row r="13" spans="1:32" ht="30">
      <c r="A13" s="321"/>
      <c r="B13" s="339"/>
      <c r="C13" s="1058">
        <v>43864</v>
      </c>
      <c r="D13" s="1059">
        <v>7</v>
      </c>
      <c r="E13" s="1062" t="s">
        <v>172</v>
      </c>
      <c r="F13" s="1133" t="s">
        <v>8</v>
      </c>
      <c r="G13" s="1133">
        <v>65</v>
      </c>
      <c r="H13" s="1062" t="s">
        <v>167</v>
      </c>
      <c r="I13" s="1062" t="s">
        <v>51</v>
      </c>
      <c r="J13" s="1134" t="s">
        <v>80</v>
      </c>
      <c r="K13" s="825" t="s">
        <v>81</v>
      </c>
      <c r="L13" s="359"/>
      <c r="M13" s="739">
        <v>43888</v>
      </c>
      <c r="N13" s="1065">
        <v>9</v>
      </c>
      <c r="O13" s="1066" t="s">
        <v>173</v>
      </c>
      <c r="P13" s="1067" t="s">
        <v>94</v>
      </c>
      <c r="Q13" s="1067">
        <v>40</v>
      </c>
      <c r="R13" s="1008" t="s">
        <v>54</v>
      </c>
      <c r="S13" s="1035" t="s">
        <v>81</v>
      </c>
      <c r="T13" s="1136">
        <f>COUNTIF(D:D,N13)+COUNTIF(Mars!D:D,N13)</f>
        <v>4</v>
      </c>
      <c r="U13" s="341"/>
      <c r="V13" s="321"/>
    </row>
    <row r="14" spans="1:32" s="362" customFormat="1">
      <c r="A14" s="360"/>
      <c r="B14" s="361"/>
      <c r="C14" s="1058">
        <v>43864</v>
      </c>
      <c r="D14" s="1059">
        <v>7</v>
      </c>
      <c r="E14" s="1062" t="s">
        <v>172</v>
      </c>
      <c r="F14" s="1137" t="s">
        <v>9</v>
      </c>
      <c r="G14" s="1133">
        <v>65</v>
      </c>
      <c r="H14" s="1062" t="s">
        <v>167</v>
      </c>
      <c r="I14" s="1062" t="s">
        <v>51</v>
      </c>
      <c r="J14" s="1134" t="s">
        <v>80</v>
      </c>
      <c r="K14" s="839" t="s">
        <v>96</v>
      </c>
      <c r="L14" s="358"/>
      <c r="M14" s="739"/>
      <c r="N14" s="1065">
        <v>10</v>
      </c>
      <c r="O14" s="1066" t="s">
        <v>174</v>
      </c>
      <c r="P14" s="1067" t="s">
        <v>83</v>
      </c>
      <c r="Q14" s="1067">
        <v>65</v>
      </c>
      <c r="R14" s="1008" t="s">
        <v>52</v>
      </c>
      <c r="S14" s="854"/>
      <c r="T14" s="1136">
        <f>COUNTIF(D:D,N14)+COUNTIF(Mars!D:D,N14)</f>
        <v>2</v>
      </c>
      <c r="U14" s="341"/>
      <c r="V14" s="360"/>
      <c r="W14" s="360"/>
      <c r="X14" s="360"/>
      <c r="Y14" s="360"/>
      <c r="Z14" s="360"/>
      <c r="AA14" s="360"/>
      <c r="AB14" s="360"/>
      <c r="AC14" s="360"/>
      <c r="AD14" s="360"/>
      <c r="AE14" s="360"/>
      <c r="AF14" s="360"/>
    </row>
    <row r="15" spans="1:32" s="362" customFormat="1" ht="16.5" thickBot="1">
      <c r="A15" s="360"/>
      <c r="B15" s="361"/>
      <c r="C15" s="1058">
        <v>43864</v>
      </c>
      <c r="D15" s="1059">
        <v>4</v>
      </c>
      <c r="E15" s="1062" t="s">
        <v>175</v>
      </c>
      <c r="F15" s="1137" t="s">
        <v>9</v>
      </c>
      <c r="G15" s="1133">
        <v>64</v>
      </c>
      <c r="H15" s="1062" t="s">
        <v>176</v>
      </c>
      <c r="I15" s="1062" t="s">
        <v>47</v>
      </c>
      <c r="J15" s="1134" t="s">
        <v>80</v>
      </c>
      <c r="K15" s="825" t="s">
        <v>81</v>
      </c>
      <c r="L15" s="358"/>
      <c r="M15" s="740">
        <v>43889</v>
      </c>
      <c r="N15" s="1074">
        <v>101</v>
      </c>
      <c r="O15" s="1075" t="s">
        <v>177</v>
      </c>
      <c r="P15" s="1138" t="s">
        <v>94</v>
      </c>
      <c r="Q15" s="1138">
        <v>65</v>
      </c>
      <c r="R15" s="1139" t="s">
        <v>178</v>
      </c>
      <c r="S15" s="729" t="s">
        <v>81</v>
      </c>
      <c r="T15" s="1140">
        <f>COUNTIF(D:D,N15)+COUNTIF(Mars!D:D,N15)</f>
        <v>7</v>
      </c>
      <c r="U15" s="341"/>
      <c r="V15" s="360"/>
      <c r="W15" s="360"/>
      <c r="X15" s="360"/>
      <c r="Y15" s="360"/>
      <c r="Z15" s="360"/>
      <c r="AA15" s="360"/>
      <c r="AB15" s="360"/>
      <c r="AC15" s="360"/>
      <c r="AD15" s="360"/>
      <c r="AE15" s="360"/>
      <c r="AF15" s="360"/>
    </row>
    <row r="16" spans="1:32" s="362" customFormat="1" ht="16.5" thickBot="1">
      <c r="A16" s="360"/>
      <c r="B16" s="361"/>
      <c r="C16" s="1058">
        <v>43865</v>
      </c>
      <c r="D16" s="1059"/>
      <c r="E16" s="1062" t="s">
        <v>179</v>
      </c>
      <c r="F16" s="1137" t="s">
        <v>8</v>
      </c>
      <c r="G16" s="1133">
        <v>40</v>
      </c>
      <c r="H16" s="1078" t="s">
        <v>85</v>
      </c>
      <c r="I16" s="1062" t="s">
        <v>49</v>
      </c>
      <c r="J16" s="1134" t="s">
        <v>80</v>
      </c>
      <c r="K16" s="825" t="s">
        <v>81</v>
      </c>
      <c r="L16" s="358"/>
      <c r="M16" s="740">
        <v>43890</v>
      </c>
      <c r="N16" s="1074">
        <v>102</v>
      </c>
      <c r="O16" s="1075" t="s">
        <v>180</v>
      </c>
      <c r="P16" s="1138" t="s">
        <v>181</v>
      </c>
      <c r="Q16" s="1138">
        <v>65</v>
      </c>
      <c r="R16" s="1139" t="s">
        <v>182</v>
      </c>
      <c r="S16" s="729"/>
      <c r="T16" s="1140">
        <f>COUNTIF(D:D,N16)+COUNTIF(Mars!D:D,N16)</f>
        <v>1</v>
      </c>
      <c r="U16" s="341"/>
      <c r="V16" s="360"/>
      <c r="W16" s="360"/>
      <c r="X16" s="360"/>
      <c r="Y16" s="360"/>
      <c r="Z16" s="360"/>
      <c r="AA16" s="360"/>
      <c r="AB16" s="360"/>
      <c r="AC16" s="360"/>
      <c r="AD16" s="360"/>
      <c r="AE16" s="360"/>
      <c r="AF16" s="360"/>
    </row>
    <row r="17" spans="1:32" s="365" customFormat="1" ht="16.5" thickBot="1">
      <c r="A17" s="363"/>
      <c r="B17" s="364"/>
      <c r="C17" s="1081">
        <v>43865</v>
      </c>
      <c r="D17" s="1059">
        <v>103</v>
      </c>
      <c r="E17" s="1060" t="s">
        <v>183</v>
      </c>
      <c r="F17" s="1137" t="s">
        <v>8</v>
      </c>
      <c r="G17" s="1133">
        <v>64</v>
      </c>
      <c r="H17" s="1078" t="s">
        <v>184</v>
      </c>
      <c r="I17" s="1062" t="s">
        <v>51</v>
      </c>
      <c r="J17" s="1134" t="s">
        <v>80</v>
      </c>
      <c r="K17" s="825" t="s">
        <v>81</v>
      </c>
      <c r="L17" s="353"/>
      <c r="M17" s="740">
        <v>44231</v>
      </c>
      <c r="N17" s="1074">
        <v>103</v>
      </c>
      <c r="O17" s="1075" t="s">
        <v>185</v>
      </c>
      <c r="P17" s="1138" t="s">
        <v>181</v>
      </c>
      <c r="Q17" s="1138">
        <v>64</v>
      </c>
      <c r="R17" s="1139" t="s">
        <v>186</v>
      </c>
      <c r="S17" s="729"/>
      <c r="T17" s="1140">
        <f>COUNTIF(D:D,N17)+COUNTIF(Mars!D:D,N17)</f>
        <v>2</v>
      </c>
      <c r="U17" s="341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</row>
    <row r="18" spans="1:32" s="362" customFormat="1" ht="16.5" thickBot="1">
      <c r="A18" s="360"/>
      <c r="B18" s="361"/>
      <c r="C18" s="1058">
        <v>43866</v>
      </c>
      <c r="D18" s="1059">
        <v>5</v>
      </c>
      <c r="E18" s="1062" t="s">
        <v>187</v>
      </c>
      <c r="F18" s="1137" t="s">
        <v>8</v>
      </c>
      <c r="G18" s="1133">
        <v>65</v>
      </c>
      <c r="H18" s="1062" t="s">
        <v>79</v>
      </c>
      <c r="I18" s="1062" t="s">
        <v>47</v>
      </c>
      <c r="J18" s="1134" t="s">
        <v>80</v>
      </c>
      <c r="K18" s="825" t="s">
        <v>81</v>
      </c>
      <c r="L18" s="353"/>
      <c r="M18" s="740">
        <v>44246</v>
      </c>
      <c r="N18" s="1074">
        <v>104</v>
      </c>
      <c r="O18" s="1075" t="s">
        <v>188</v>
      </c>
      <c r="P18" s="1138" t="s">
        <v>189</v>
      </c>
      <c r="Q18" s="1138">
        <v>40</v>
      </c>
      <c r="R18" s="1139" t="s">
        <v>190</v>
      </c>
      <c r="S18" s="729"/>
      <c r="T18" s="1140">
        <f>COUNTIF(D:D,N18)+COUNTIF(Mars!D:D,N18)</f>
        <v>1</v>
      </c>
      <c r="U18" s="341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</row>
    <row r="19" spans="1:32">
      <c r="A19" s="321"/>
      <c r="B19" s="339"/>
      <c r="C19" s="1058">
        <v>43866</v>
      </c>
      <c r="D19" s="1059">
        <v>5</v>
      </c>
      <c r="E19" s="1078" t="s">
        <v>191</v>
      </c>
      <c r="F19" s="1137" t="s">
        <v>9</v>
      </c>
      <c r="G19" s="1133">
        <v>65</v>
      </c>
      <c r="H19" s="1062" t="s">
        <v>79</v>
      </c>
      <c r="I19" s="1062" t="s">
        <v>47</v>
      </c>
      <c r="J19" s="1134" t="s">
        <v>80</v>
      </c>
      <c r="K19" s="825" t="s">
        <v>96</v>
      </c>
      <c r="L19" s="353"/>
      <c r="M19" s="379"/>
      <c r="N19" s="706"/>
      <c r="O19" s="713"/>
      <c r="P19" s="806"/>
      <c r="Q19" s="373"/>
      <c r="R19" s="346"/>
      <c r="S19" s="717"/>
      <c r="T19" s="718"/>
      <c r="U19" s="341"/>
      <c r="V19" s="321"/>
    </row>
    <row r="20" spans="1:32">
      <c r="A20" s="321"/>
      <c r="B20" s="339"/>
      <c r="C20" s="1058">
        <v>43866</v>
      </c>
      <c r="D20" s="1059">
        <v>5</v>
      </c>
      <c r="E20" s="1078" t="s">
        <v>192</v>
      </c>
      <c r="F20" s="1137" t="s">
        <v>8</v>
      </c>
      <c r="G20" s="1133">
        <v>65</v>
      </c>
      <c r="H20" s="1078" t="s">
        <v>193</v>
      </c>
      <c r="I20" s="1062" t="s">
        <v>47</v>
      </c>
      <c r="J20" s="1134" t="s">
        <v>80</v>
      </c>
      <c r="K20" s="825" t="s">
        <v>81</v>
      </c>
      <c r="L20" s="353"/>
      <c r="M20" s="379"/>
      <c r="N20" s="706"/>
      <c r="O20" s="713"/>
      <c r="P20" s="806"/>
      <c r="Q20" s="373"/>
      <c r="R20" s="346"/>
      <c r="S20" s="717"/>
      <c r="T20" s="718"/>
      <c r="U20" s="341"/>
      <c r="V20" s="321"/>
    </row>
    <row r="21" spans="1:32" s="365" customFormat="1">
      <c r="A21" s="363"/>
      <c r="B21" s="364"/>
      <c r="C21" s="1058">
        <v>43866</v>
      </c>
      <c r="D21" s="1059">
        <v>5</v>
      </c>
      <c r="E21" s="1079" t="s">
        <v>192</v>
      </c>
      <c r="F21" s="1137" t="s">
        <v>9</v>
      </c>
      <c r="G21" s="1133">
        <v>65</v>
      </c>
      <c r="H21" s="1078" t="s">
        <v>193</v>
      </c>
      <c r="I21" s="1062" t="s">
        <v>47</v>
      </c>
      <c r="J21" s="1134" t="s">
        <v>80</v>
      </c>
      <c r="K21" s="825" t="s">
        <v>96</v>
      </c>
      <c r="L21" s="353"/>
      <c r="M21" s="379"/>
      <c r="N21" s="706"/>
      <c r="O21" s="713"/>
      <c r="P21" s="806"/>
      <c r="Q21" s="373"/>
      <c r="R21" s="373"/>
      <c r="S21" s="711"/>
      <c r="T21" s="718"/>
      <c r="U21" s="341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</row>
    <row r="22" spans="1:32" s="362" customFormat="1">
      <c r="A22" s="360"/>
      <c r="B22" s="361"/>
      <c r="C22" s="1058">
        <v>43866</v>
      </c>
      <c r="D22" s="1059">
        <v>103</v>
      </c>
      <c r="E22" s="1071" t="s">
        <v>194</v>
      </c>
      <c r="F22" s="1137" t="s">
        <v>8</v>
      </c>
      <c r="G22" s="1133">
        <v>64</v>
      </c>
      <c r="H22" s="1062" t="s">
        <v>123</v>
      </c>
      <c r="I22" s="1062" t="s">
        <v>51</v>
      </c>
      <c r="J22" s="1134" t="s">
        <v>80</v>
      </c>
      <c r="K22" s="825" t="s">
        <v>81</v>
      </c>
      <c r="L22" s="358"/>
      <c r="M22" s="369"/>
      <c r="N22" s="369"/>
      <c r="O22" s="369"/>
      <c r="P22" s="806"/>
      <c r="Q22" s="369"/>
      <c r="R22" s="369"/>
      <c r="S22" s="369"/>
      <c r="T22" s="369"/>
      <c r="U22" s="341"/>
      <c r="V22" s="360"/>
      <c r="W22" s="360"/>
      <c r="X22" s="360"/>
      <c r="Y22" s="360"/>
      <c r="Z22" s="360"/>
      <c r="AA22" s="360"/>
      <c r="AB22" s="360"/>
      <c r="AC22" s="360"/>
      <c r="AD22" s="360"/>
      <c r="AE22" s="360"/>
      <c r="AF22" s="360"/>
    </row>
    <row r="23" spans="1:32" s="362" customFormat="1">
      <c r="A23" s="360"/>
      <c r="B23" s="361"/>
      <c r="C23" s="1058">
        <v>43866</v>
      </c>
      <c r="D23" s="1059">
        <v>6</v>
      </c>
      <c r="E23" s="1062" t="s">
        <v>195</v>
      </c>
      <c r="F23" s="1137" t="s">
        <v>8</v>
      </c>
      <c r="G23" s="1133">
        <v>65</v>
      </c>
      <c r="H23" s="1062" t="s">
        <v>196</v>
      </c>
      <c r="I23" s="1062" t="s">
        <v>52</v>
      </c>
      <c r="J23" s="1134" t="s">
        <v>80</v>
      </c>
      <c r="K23" s="825" t="s">
        <v>81</v>
      </c>
      <c r="L23" s="370"/>
      <c r="M23" s="369"/>
      <c r="N23" s="369"/>
      <c r="O23" s="369"/>
      <c r="P23" s="806"/>
      <c r="Q23" s="369"/>
      <c r="R23" s="369"/>
      <c r="S23" s="369"/>
      <c r="T23" s="369"/>
      <c r="U23" s="341"/>
      <c r="V23" s="360"/>
      <c r="W23" s="360"/>
      <c r="X23" s="360"/>
      <c r="Y23" s="360"/>
      <c r="Z23" s="360"/>
      <c r="AA23" s="360"/>
      <c r="AB23" s="360"/>
      <c r="AC23" s="360"/>
      <c r="AD23" s="360"/>
      <c r="AE23" s="360"/>
      <c r="AF23" s="360"/>
    </row>
    <row r="24" spans="1:32">
      <c r="A24" s="321"/>
      <c r="B24" s="339"/>
      <c r="C24" s="1058">
        <v>43866</v>
      </c>
      <c r="D24" s="1059">
        <v>6</v>
      </c>
      <c r="E24" s="1060" t="s">
        <v>195</v>
      </c>
      <c r="F24" s="1137" t="s">
        <v>9</v>
      </c>
      <c r="G24" s="1133">
        <v>65</v>
      </c>
      <c r="H24" s="1062" t="s">
        <v>196</v>
      </c>
      <c r="I24" s="1062" t="s">
        <v>52</v>
      </c>
      <c r="J24" s="1134" t="s">
        <v>80</v>
      </c>
      <c r="K24" s="825" t="s">
        <v>96</v>
      </c>
      <c r="L24" s="370"/>
      <c r="M24" s="369"/>
      <c r="N24" s="369"/>
      <c r="O24" s="369"/>
      <c r="P24" s="806"/>
      <c r="Q24" s="369"/>
      <c r="R24" s="369"/>
      <c r="S24" s="369"/>
      <c r="T24" s="369"/>
      <c r="U24" s="341"/>
      <c r="V24" s="321"/>
    </row>
    <row r="25" spans="1:32">
      <c r="A25" s="321"/>
      <c r="B25" s="339"/>
      <c r="C25" s="1081">
        <v>43866</v>
      </c>
      <c r="D25" s="1059">
        <v>4</v>
      </c>
      <c r="E25" s="1072" t="s">
        <v>197</v>
      </c>
      <c r="F25" s="1137" t="s">
        <v>9</v>
      </c>
      <c r="G25" s="1133">
        <v>64</v>
      </c>
      <c r="H25" s="1078" t="s">
        <v>198</v>
      </c>
      <c r="I25" s="1062" t="s">
        <v>47</v>
      </c>
      <c r="J25" s="1134" t="s">
        <v>80</v>
      </c>
      <c r="K25" s="825" t="s">
        <v>96</v>
      </c>
      <c r="L25" s="370"/>
      <c r="M25" s="369"/>
      <c r="N25" s="369"/>
      <c r="O25" s="346"/>
      <c r="P25" s="806"/>
      <c r="Q25" s="346"/>
      <c r="R25" s="346"/>
      <c r="S25" s="346"/>
      <c r="T25" s="346"/>
      <c r="U25" s="341"/>
      <c r="V25" s="321"/>
    </row>
    <row r="26" spans="1:32" ht="16.5" thickBot="1">
      <c r="A26" s="321"/>
      <c r="B26" s="339"/>
      <c r="C26" s="1058">
        <v>43867</v>
      </c>
      <c r="D26" s="1059">
        <v>6</v>
      </c>
      <c r="E26" s="1141" t="s">
        <v>199</v>
      </c>
      <c r="F26" s="1137" t="s">
        <v>8</v>
      </c>
      <c r="G26" s="1133">
        <v>65</v>
      </c>
      <c r="H26" s="1062" t="s">
        <v>79</v>
      </c>
      <c r="I26" s="1062" t="s">
        <v>52</v>
      </c>
      <c r="J26" s="1134" t="s">
        <v>80</v>
      </c>
      <c r="K26" s="825" t="s">
        <v>81</v>
      </c>
      <c r="L26" s="358"/>
      <c r="M26" s="369"/>
      <c r="N26" s="369"/>
      <c r="O26" s="346"/>
      <c r="P26" s="806"/>
      <c r="Q26" s="346"/>
      <c r="R26" s="346"/>
      <c r="S26" s="532"/>
      <c r="T26" s="346"/>
      <c r="U26" s="341"/>
      <c r="V26" s="321"/>
    </row>
    <row r="27" spans="1:32" s="362" customFormat="1">
      <c r="A27" s="360"/>
      <c r="B27" s="361"/>
      <c r="C27" s="1058">
        <v>43867</v>
      </c>
      <c r="D27" s="1059">
        <v>6</v>
      </c>
      <c r="E27" s="1069" t="s">
        <v>199</v>
      </c>
      <c r="F27" s="1137" t="s">
        <v>9</v>
      </c>
      <c r="G27" s="1133">
        <v>65</v>
      </c>
      <c r="H27" s="1062" t="s">
        <v>79</v>
      </c>
      <c r="I27" s="1062" t="s">
        <v>52</v>
      </c>
      <c r="J27" s="1134" t="s">
        <v>80</v>
      </c>
      <c r="K27" s="825" t="s">
        <v>96</v>
      </c>
      <c r="L27" s="370"/>
      <c r="M27" s="1036" t="s">
        <v>64</v>
      </c>
      <c r="N27" s="489"/>
      <c r="O27" s="346"/>
      <c r="P27" s="806"/>
      <c r="Q27" s="346"/>
      <c r="R27" s="346"/>
      <c r="S27" s="532"/>
      <c r="T27" s="346"/>
      <c r="U27" s="372"/>
      <c r="V27" s="360"/>
      <c r="W27" s="360"/>
      <c r="X27" s="360"/>
      <c r="Y27" s="360"/>
      <c r="Z27" s="360"/>
      <c r="AA27" s="360"/>
      <c r="AB27" s="360"/>
      <c r="AC27" s="360"/>
      <c r="AD27" s="360"/>
      <c r="AE27" s="360"/>
      <c r="AF27" s="360"/>
    </row>
    <row r="28" spans="1:32" s="362" customFormat="1">
      <c r="A28" s="360"/>
      <c r="B28" s="361"/>
      <c r="C28" s="1058">
        <v>43867</v>
      </c>
      <c r="D28" s="1059">
        <v>6</v>
      </c>
      <c r="E28" s="1141" t="s">
        <v>199</v>
      </c>
      <c r="F28" s="1137" t="s">
        <v>9</v>
      </c>
      <c r="G28" s="1133">
        <v>65</v>
      </c>
      <c r="H28" s="1062" t="s">
        <v>193</v>
      </c>
      <c r="I28" s="1062" t="s">
        <v>52</v>
      </c>
      <c r="J28" s="1134" t="s">
        <v>80</v>
      </c>
      <c r="K28" s="825" t="s">
        <v>96</v>
      </c>
      <c r="L28" s="370"/>
      <c r="M28" s="490" t="s">
        <v>128</v>
      </c>
      <c r="N28" s="450">
        <f>SUM(N29:N31)</f>
        <v>54</v>
      </c>
      <c r="O28" s="346"/>
      <c r="P28" s="806"/>
      <c r="Q28" s="346"/>
      <c r="R28" s="346"/>
      <c r="S28" s="532"/>
      <c r="T28" s="346"/>
      <c r="U28" s="372"/>
      <c r="V28" s="360"/>
      <c r="W28" s="360"/>
      <c r="X28" s="360"/>
      <c r="Y28" s="360"/>
      <c r="Z28" s="360"/>
      <c r="AA28" s="360"/>
      <c r="AB28" s="360"/>
      <c r="AC28" s="360"/>
      <c r="AD28" s="360"/>
      <c r="AE28" s="360"/>
      <c r="AF28" s="360"/>
    </row>
    <row r="29" spans="1:32" s="362" customFormat="1">
      <c r="A29" s="360"/>
      <c r="B29" s="361"/>
      <c r="C29" s="1058">
        <v>43867</v>
      </c>
      <c r="D29" s="1059">
        <v>7</v>
      </c>
      <c r="E29" s="1062" t="s">
        <v>200</v>
      </c>
      <c r="F29" s="1137" t="s">
        <v>8</v>
      </c>
      <c r="G29" s="1133">
        <v>65</v>
      </c>
      <c r="H29" s="1071" t="s">
        <v>193</v>
      </c>
      <c r="I29" s="1062" t="s">
        <v>51</v>
      </c>
      <c r="J29" s="1134" t="s">
        <v>80</v>
      </c>
      <c r="K29" s="825" t="s">
        <v>81</v>
      </c>
      <c r="L29" s="370"/>
      <c r="M29" s="491" t="s">
        <v>129</v>
      </c>
      <c r="N29" s="450">
        <f>COUNTIF(G$1:G229,40)</f>
        <v>9</v>
      </c>
      <c r="O29" s="346"/>
      <c r="P29" s="806"/>
      <c r="Q29" s="346"/>
      <c r="R29" s="346"/>
      <c r="S29" s="532"/>
      <c r="T29" s="346"/>
      <c r="U29" s="372"/>
      <c r="V29" s="360"/>
      <c r="W29" s="360"/>
      <c r="X29" s="360"/>
      <c r="Y29" s="360"/>
      <c r="Z29" s="360"/>
      <c r="AA29" s="360"/>
      <c r="AB29" s="360"/>
      <c r="AC29" s="360"/>
      <c r="AD29" s="360"/>
      <c r="AE29" s="360"/>
      <c r="AF29" s="360"/>
    </row>
    <row r="30" spans="1:32">
      <c r="A30" s="321"/>
      <c r="B30" s="339"/>
      <c r="C30" s="1058">
        <v>43867</v>
      </c>
      <c r="D30" s="1059">
        <v>7</v>
      </c>
      <c r="E30" s="1062" t="s">
        <v>200</v>
      </c>
      <c r="F30" s="1137" t="s">
        <v>8</v>
      </c>
      <c r="G30" s="1133">
        <v>65</v>
      </c>
      <c r="H30" s="1071" t="s">
        <v>79</v>
      </c>
      <c r="I30" s="1062" t="s">
        <v>51</v>
      </c>
      <c r="J30" s="1134" t="s">
        <v>80</v>
      </c>
      <c r="K30" s="825" t="s">
        <v>81</v>
      </c>
      <c r="L30" s="370"/>
      <c r="M30" s="491" t="s">
        <v>132</v>
      </c>
      <c r="N30" s="450">
        <f>COUNTIF(G$1:G229,65)</f>
        <v>36</v>
      </c>
      <c r="O30" s="369"/>
      <c r="P30" s="806"/>
      <c r="Q30" s="369"/>
      <c r="R30" s="369"/>
      <c r="S30" s="369"/>
      <c r="T30" s="369"/>
      <c r="U30" s="341"/>
      <c r="V30" s="321"/>
    </row>
    <row r="31" spans="1:32" s="362" customFormat="1" ht="16.5" thickBot="1">
      <c r="A31" s="360"/>
      <c r="B31" s="361"/>
      <c r="C31" s="1058">
        <v>43868</v>
      </c>
      <c r="D31" s="1059"/>
      <c r="E31" s="1062" t="s">
        <v>201</v>
      </c>
      <c r="F31" s="1137" t="s">
        <v>8</v>
      </c>
      <c r="G31" s="1133">
        <v>65</v>
      </c>
      <c r="H31" s="1071" t="s">
        <v>193</v>
      </c>
      <c r="I31" s="1062" t="s">
        <v>53</v>
      </c>
      <c r="J31" s="1142" t="s">
        <v>92</v>
      </c>
      <c r="K31" s="825" t="s">
        <v>81</v>
      </c>
      <c r="L31" s="370"/>
      <c r="M31" s="492" t="s">
        <v>134</v>
      </c>
      <c r="N31" s="456">
        <f>COUNTIF(G$1:G229,64)</f>
        <v>9</v>
      </c>
      <c r="O31" s="346"/>
      <c r="P31" s="806"/>
      <c r="Q31" s="346"/>
      <c r="R31" s="346"/>
      <c r="S31" s="346"/>
      <c r="T31" s="346"/>
      <c r="U31" s="372"/>
      <c r="V31" s="360"/>
      <c r="W31" s="360"/>
      <c r="X31" s="360"/>
      <c r="Y31" s="360"/>
      <c r="Z31" s="360"/>
      <c r="AA31" s="360"/>
      <c r="AB31" s="360"/>
      <c r="AC31" s="360"/>
      <c r="AD31" s="360"/>
      <c r="AE31" s="360"/>
      <c r="AF31" s="360"/>
    </row>
    <row r="32" spans="1:32">
      <c r="A32" s="321"/>
      <c r="B32" s="339"/>
      <c r="C32" s="1058">
        <v>43868</v>
      </c>
      <c r="D32" s="1059"/>
      <c r="E32" s="1062" t="s">
        <v>202</v>
      </c>
      <c r="F32" s="1137" t="s">
        <v>8</v>
      </c>
      <c r="G32" s="1133">
        <v>40</v>
      </c>
      <c r="H32" s="1062" t="s">
        <v>203</v>
      </c>
      <c r="I32" s="1062" t="s">
        <v>52</v>
      </c>
      <c r="J32" s="1134" t="s">
        <v>80</v>
      </c>
      <c r="K32" s="825" t="s">
        <v>81</v>
      </c>
      <c r="L32" s="358"/>
      <c r="M32" s="373"/>
      <c r="N32" s="369"/>
      <c r="O32" s="369"/>
      <c r="P32" s="806"/>
      <c r="Q32" s="369"/>
      <c r="R32" s="369"/>
      <c r="S32" s="369"/>
      <c r="T32" s="369"/>
      <c r="U32" s="341"/>
      <c r="V32" s="321"/>
    </row>
    <row r="33" spans="1:32" s="362" customFormat="1">
      <c r="A33" s="360"/>
      <c r="B33" s="361"/>
      <c r="C33" s="1058">
        <v>43869</v>
      </c>
      <c r="D33" s="1059">
        <v>4</v>
      </c>
      <c r="E33" s="1062" t="s">
        <v>204</v>
      </c>
      <c r="F33" s="1137" t="s">
        <v>8</v>
      </c>
      <c r="G33" s="1133">
        <v>64</v>
      </c>
      <c r="H33" s="1062" t="s">
        <v>109</v>
      </c>
      <c r="I33" s="1062" t="s">
        <v>47</v>
      </c>
      <c r="J33" s="1134" t="s">
        <v>80</v>
      </c>
      <c r="K33" s="825" t="s">
        <v>81</v>
      </c>
      <c r="L33" s="358"/>
      <c r="M33" s="373"/>
      <c r="N33" s="346"/>
      <c r="O33" s="346"/>
      <c r="P33" s="806"/>
      <c r="Q33" s="346"/>
      <c r="R33" s="346"/>
      <c r="S33" s="346"/>
      <c r="T33" s="346"/>
      <c r="U33" s="372"/>
      <c r="V33" s="360"/>
      <c r="W33" s="360"/>
      <c r="X33" s="360"/>
      <c r="Y33" s="360"/>
      <c r="Z33" s="360"/>
      <c r="AA33" s="360"/>
      <c r="AB33" s="360"/>
      <c r="AC33" s="360"/>
      <c r="AD33" s="360"/>
      <c r="AE33" s="360"/>
      <c r="AF33" s="360"/>
    </row>
    <row r="34" spans="1:32" s="362" customFormat="1">
      <c r="A34" s="360"/>
      <c r="B34" s="361"/>
      <c r="C34" s="1058">
        <v>43870</v>
      </c>
      <c r="D34" s="1059">
        <v>4</v>
      </c>
      <c r="E34" s="1062" t="s">
        <v>205</v>
      </c>
      <c r="F34" s="1137" t="s">
        <v>8</v>
      </c>
      <c r="G34" s="1133">
        <v>64</v>
      </c>
      <c r="H34" s="1071" t="s">
        <v>206</v>
      </c>
      <c r="I34" s="1062" t="s">
        <v>47</v>
      </c>
      <c r="J34" s="1134" t="s">
        <v>80</v>
      </c>
      <c r="K34" s="825" t="s">
        <v>81</v>
      </c>
      <c r="L34" s="358"/>
      <c r="M34" s="373"/>
      <c r="N34" s="346"/>
      <c r="O34" s="346"/>
      <c r="P34" s="806"/>
      <c r="Q34" s="346"/>
      <c r="R34" s="346"/>
      <c r="S34" s="346"/>
      <c r="T34" s="346"/>
      <c r="U34" s="372"/>
      <c r="V34" s="360"/>
      <c r="W34" s="360"/>
      <c r="X34" s="360"/>
      <c r="Y34" s="360"/>
      <c r="Z34" s="360"/>
      <c r="AA34" s="360"/>
      <c r="AB34" s="360"/>
      <c r="AC34" s="360"/>
      <c r="AD34" s="360"/>
      <c r="AE34" s="360"/>
      <c r="AF34" s="360"/>
    </row>
    <row r="35" spans="1:32" s="362" customFormat="1">
      <c r="A35" s="360"/>
      <c r="B35" s="361"/>
      <c r="C35" s="1058">
        <v>43870</v>
      </c>
      <c r="D35" s="1059">
        <v>4</v>
      </c>
      <c r="E35" s="1062" t="s">
        <v>205</v>
      </c>
      <c r="F35" s="1137" t="s">
        <v>9</v>
      </c>
      <c r="G35" s="1133">
        <v>64</v>
      </c>
      <c r="H35" s="1071" t="s">
        <v>206</v>
      </c>
      <c r="I35" s="1062" t="s">
        <v>47</v>
      </c>
      <c r="J35" s="1134" t="s">
        <v>80</v>
      </c>
      <c r="K35" s="825" t="s">
        <v>96</v>
      </c>
      <c r="L35" s="358"/>
      <c r="M35" s="373"/>
      <c r="N35" s="346"/>
      <c r="O35" s="346"/>
      <c r="P35" s="806"/>
      <c r="Q35" s="346"/>
      <c r="R35" s="346"/>
      <c r="S35" s="346"/>
      <c r="T35" s="346"/>
      <c r="U35" s="372"/>
      <c r="V35" s="360"/>
      <c r="W35" s="360"/>
      <c r="X35" s="360"/>
      <c r="Y35" s="360"/>
      <c r="Z35" s="360"/>
      <c r="AA35" s="360"/>
      <c r="AB35" s="360"/>
      <c r="AC35" s="360"/>
      <c r="AD35" s="360"/>
      <c r="AE35" s="360"/>
      <c r="AF35" s="360"/>
    </row>
    <row r="36" spans="1:32" s="362" customFormat="1" ht="16.5" customHeight="1">
      <c r="A36" s="360"/>
      <c r="B36" s="361"/>
      <c r="C36" s="1081">
        <v>43871</v>
      </c>
      <c r="D36" s="1059"/>
      <c r="E36" s="1072" t="s">
        <v>207</v>
      </c>
      <c r="F36" s="1137" t="s">
        <v>9</v>
      </c>
      <c r="G36" s="1133">
        <v>40</v>
      </c>
      <c r="H36" s="1078" t="s">
        <v>208</v>
      </c>
      <c r="I36" s="1062" t="s">
        <v>51</v>
      </c>
      <c r="J36" s="1134" t="s">
        <v>80</v>
      </c>
      <c r="K36" s="825" t="s">
        <v>96</v>
      </c>
      <c r="L36" s="358"/>
      <c r="M36" s="373"/>
      <c r="N36" s="346"/>
      <c r="O36" s="346"/>
      <c r="P36" s="806"/>
      <c r="Q36" s="346"/>
      <c r="R36" s="346"/>
      <c r="S36" s="346"/>
      <c r="T36" s="346"/>
      <c r="U36" s="372"/>
      <c r="V36" s="360"/>
      <c r="W36" s="360"/>
      <c r="X36" s="360"/>
      <c r="Y36" s="360"/>
      <c r="Z36" s="360"/>
      <c r="AA36" s="360"/>
      <c r="AB36" s="360"/>
      <c r="AC36" s="360"/>
      <c r="AD36" s="360"/>
      <c r="AE36" s="360"/>
      <c r="AF36" s="360"/>
    </row>
    <row r="37" spans="1:32" s="362" customFormat="1">
      <c r="A37" s="360"/>
      <c r="B37" s="361"/>
      <c r="C37" s="1058">
        <v>43871</v>
      </c>
      <c r="D37" s="1059"/>
      <c r="E37" s="1072" t="s">
        <v>209</v>
      </c>
      <c r="F37" s="1137" t="s">
        <v>9</v>
      </c>
      <c r="G37" s="1133">
        <v>40</v>
      </c>
      <c r="H37" s="1062" t="s">
        <v>210</v>
      </c>
      <c r="I37" s="1062" t="s">
        <v>51</v>
      </c>
      <c r="J37" s="1134" t="s">
        <v>80</v>
      </c>
      <c r="K37" s="825" t="s">
        <v>96</v>
      </c>
      <c r="L37" s="358"/>
      <c r="M37" s="373"/>
      <c r="N37" s="374"/>
      <c r="O37" s="346"/>
      <c r="P37" s="806"/>
      <c r="Q37" s="346"/>
      <c r="R37" s="346"/>
      <c r="S37" s="346"/>
      <c r="T37" s="346"/>
      <c r="U37" s="372"/>
      <c r="V37" s="360"/>
      <c r="W37" s="360"/>
      <c r="X37" s="360"/>
      <c r="Y37" s="360"/>
      <c r="Z37" s="360"/>
      <c r="AA37" s="360"/>
      <c r="AB37" s="360"/>
      <c r="AC37" s="360"/>
      <c r="AD37" s="360"/>
      <c r="AE37" s="360"/>
      <c r="AF37" s="360"/>
    </row>
    <row r="38" spans="1:32" s="362" customFormat="1">
      <c r="A38" s="360"/>
      <c r="B38" s="361"/>
      <c r="C38" s="1058">
        <v>43871</v>
      </c>
      <c r="D38" s="1059"/>
      <c r="E38" s="1071" t="s">
        <v>211</v>
      </c>
      <c r="F38" s="1137" t="s">
        <v>9</v>
      </c>
      <c r="G38" s="1133">
        <v>40</v>
      </c>
      <c r="H38" s="1062" t="s">
        <v>212</v>
      </c>
      <c r="I38" s="1062" t="s">
        <v>51</v>
      </c>
      <c r="J38" s="1134" t="s">
        <v>80</v>
      </c>
      <c r="K38" s="825" t="s">
        <v>96</v>
      </c>
      <c r="L38" s="370"/>
      <c r="M38" s="373"/>
      <c r="N38" s="374"/>
      <c r="O38" s="346"/>
      <c r="P38" s="806"/>
      <c r="Q38" s="346"/>
      <c r="R38" s="346"/>
      <c r="S38" s="346"/>
      <c r="T38" s="346"/>
      <c r="U38" s="372"/>
      <c r="V38" s="360"/>
      <c r="W38" s="360"/>
      <c r="X38" s="360"/>
      <c r="Y38" s="360"/>
      <c r="Z38" s="360"/>
      <c r="AA38" s="360"/>
      <c r="AB38" s="360"/>
      <c r="AC38" s="360"/>
      <c r="AD38" s="360"/>
      <c r="AE38" s="360"/>
      <c r="AF38" s="360"/>
    </row>
    <row r="39" spans="1:32" s="362" customFormat="1">
      <c r="A39" s="360"/>
      <c r="B39" s="361"/>
      <c r="C39" s="1058">
        <v>43871</v>
      </c>
      <c r="D39" s="1059"/>
      <c r="E39" s="1071" t="s">
        <v>213</v>
      </c>
      <c r="F39" s="1137" t="s">
        <v>9</v>
      </c>
      <c r="G39" s="1133">
        <v>40</v>
      </c>
      <c r="H39" s="1071" t="s">
        <v>214</v>
      </c>
      <c r="I39" s="1062" t="s">
        <v>51</v>
      </c>
      <c r="J39" s="1134" t="s">
        <v>80</v>
      </c>
      <c r="K39" s="825" t="s">
        <v>96</v>
      </c>
      <c r="L39" s="370"/>
      <c r="M39" s="373"/>
      <c r="N39" s="374"/>
      <c r="O39" s="346"/>
      <c r="P39" s="806"/>
      <c r="Q39" s="346"/>
      <c r="R39" s="346"/>
      <c r="S39" s="346"/>
      <c r="T39" s="346"/>
      <c r="U39" s="372"/>
      <c r="V39" s="360"/>
      <c r="W39" s="360"/>
      <c r="X39" s="360"/>
      <c r="Y39" s="360"/>
      <c r="Z39" s="360"/>
      <c r="AA39" s="360"/>
      <c r="AB39" s="360"/>
      <c r="AC39" s="360"/>
      <c r="AD39" s="360"/>
      <c r="AE39" s="360"/>
      <c r="AF39" s="360"/>
    </row>
    <row r="40" spans="1:32">
      <c r="A40" s="321"/>
      <c r="B40" s="339"/>
      <c r="C40" s="1058">
        <v>43871</v>
      </c>
      <c r="D40" s="1059">
        <v>61</v>
      </c>
      <c r="E40" s="1078" t="s">
        <v>215</v>
      </c>
      <c r="F40" s="1137" t="s">
        <v>9</v>
      </c>
      <c r="G40" s="1133">
        <v>40</v>
      </c>
      <c r="H40" s="1071" t="s">
        <v>216</v>
      </c>
      <c r="I40" s="1062" t="s">
        <v>52</v>
      </c>
      <c r="J40" s="1134" t="s">
        <v>80</v>
      </c>
      <c r="K40" s="825" t="s">
        <v>96</v>
      </c>
      <c r="L40" s="370"/>
      <c r="M40" s="373"/>
      <c r="N40" s="369"/>
      <c r="O40" s="369"/>
      <c r="P40" s="806"/>
      <c r="Q40" s="369"/>
      <c r="R40" s="369"/>
      <c r="S40" s="369"/>
      <c r="T40" s="369"/>
      <c r="U40" s="341"/>
      <c r="V40" s="321"/>
    </row>
    <row r="41" spans="1:32">
      <c r="A41" s="321"/>
      <c r="B41" s="339"/>
      <c r="C41" s="1058">
        <v>43873</v>
      </c>
      <c r="D41" s="1059">
        <v>4</v>
      </c>
      <c r="E41" s="1060" t="s">
        <v>217</v>
      </c>
      <c r="F41" s="1137" t="s">
        <v>8</v>
      </c>
      <c r="G41" s="1133">
        <v>64</v>
      </c>
      <c r="H41" s="1078" t="s">
        <v>123</v>
      </c>
      <c r="I41" s="1062" t="s">
        <v>47</v>
      </c>
      <c r="J41" s="1134" t="s">
        <v>80</v>
      </c>
      <c r="K41" s="825" t="s">
        <v>81</v>
      </c>
      <c r="L41" s="370"/>
      <c r="M41" s="373"/>
      <c r="N41" s="369"/>
      <c r="O41" s="369"/>
      <c r="P41" s="806"/>
      <c r="Q41" s="369"/>
      <c r="R41" s="369"/>
      <c r="S41" s="369"/>
      <c r="T41" s="369"/>
      <c r="U41" s="341"/>
      <c r="V41" s="321"/>
    </row>
    <row r="42" spans="1:32">
      <c r="A42" s="321"/>
      <c r="B42" s="339"/>
      <c r="C42" s="1058">
        <v>43873</v>
      </c>
      <c r="D42" s="1059">
        <v>4</v>
      </c>
      <c r="E42" s="1062" t="s">
        <v>217</v>
      </c>
      <c r="F42" s="1137" t="s">
        <v>9</v>
      </c>
      <c r="G42" s="1133">
        <v>64</v>
      </c>
      <c r="H42" s="1078" t="s">
        <v>118</v>
      </c>
      <c r="I42" s="1062" t="s">
        <v>47</v>
      </c>
      <c r="J42" s="1134" t="s">
        <v>80</v>
      </c>
      <c r="K42" s="825" t="s">
        <v>96</v>
      </c>
      <c r="L42" s="370"/>
      <c r="M42" s="373"/>
      <c r="N42" s="369"/>
      <c r="O42" s="369"/>
      <c r="P42" s="806"/>
      <c r="Q42" s="369"/>
      <c r="R42" s="369"/>
      <c r="S42" s="369"/>
      <c r="T42" s="369"/>
      <c r="U42" s="341"/>
      <c r="V42" s="321"/>
    </row>
    <row r="43" spans="1:32">
      <c r="A43" s="321"/>
      <c r="B43" s="339"/>
      <c r="C43" s="1058">
        <v>43873</v>
      </c>
      <c r="D43" s="1059"/>
      <c r="E43" s="1062" t="s">
        <v>218</v>
      </c>
      <c r="F43" s="1137" t="s">
        <v>8</v>
      </c>
      <c r="G43" s="1133">
        <v>65</v>
      </c>
      <c r="H43" s="1078" t="s">
        <v>167</v>
      </c>
      <c r="I43" s="1062" t="s">
        <v>50</v>
      </c>
      <c r="J43" s="1142" t="s">
        <v>92</v>
      </c>
      <c r="K43" s="825" t="s">
        <v>81</v>
      </c>
      <c r="L43" s="375"/>
      <c r="M43" s="373"/>
      <c r="N43" s="369"/>
      <c r="O43" s="369"/>
      <c r="P43" s="806"/>
      <c r="Q43" s="369"/>
      <c r="R43" s="369"/>
      <c r="S43" s="369"/>
      <c r="T43" s="369"/>
      <c r="U43" s="341"/>
      <c r="V43" s="321"/>
    </row>
    <row r="44" spans="1:32" s="362" customFormat="1">
      <c r="A44" s="360"/>
      <c r="B44" s="361"/>
      <c r="C44" s="1058">
        <v>43873</v>
      </c>
      <c r="D44" s="1059"/>
      <c r="E44" s="1062" t="s">
        <v>219</v>
      </c>
      <c r="F44" s="1137" t="s">
        <v>9</v>
      </c>
      <c r="G44" s="1133">
        <v>65</v>
      </c>
      <c r="H44" s="1078" t="s">
        <v>167</v>
      </c>
      <c r="I44" s="1062" t="s">
        <v>50</v>
      </c>
      <c r="J44" s="1142" t="s">
        <v>92</v>
      </c>
      <c r="K44" s="825" t="s">
        <v>96</v>
      </c>
      <c r="L44" s="358"/>
      <c r="M44" s="373"/>
      <c r="N44" s="346"/>
      <c r="O44" s="346"/>
      <c r="P44" s="806"/>
      <c r="Q44" s="346"/>
      <c r="R44" s="346"/>
      <c r="S44" s="346"/>
      <c r="T44" s="346"/>
      <c r="U44" s="372"/>
      <c r="V44" s="360"/>
      <c r="W44" s="360"/>
      <c r="X44" s="360"/>
      <c r="Y44" s="360"/>
      <c r="Z44" s="360"/>
      <c r="AA44" s="360"/>
      <c r="AB44" s="360"/>
      <c r="AC44" s="360"/>
      <c r="AD44" s="360"/>
      <c r="AE44" s="360"/>
      <c r="AF44" s="360"/>
    </row>
    <row r="45" spans="1:32" s="362" customFormat="1">
      <c r="A45" s="360"/>
      <c r="B45" s="361"/>
      <c r="C45" s="1058">
        <v>43873</v>
      </c>
      <c r="D45" s="1059"/>
      <c r="E45" s="1060" t="s">
        <v>220</v>
      </c>
      <c r="F45" s="1137" t="s">
        <v>9</v>
      </c>
      <c r="G45" s="1133">
        <v>65</v>
      </c>
      <c r="H45" s="1078" t="s">
        <v>79</v>
      </c>
      <c r="I45" s="1062" t="s">
        <v>50</v>
      </c>
      <c r="J45" s="1142" t="s">
        <v>92</v>
      </c>
      <c r="K45" s="825" t="s">
        <v>96</v>
      </c>
      <c r="L45" s="370"/>
      <c r="M45" s="373"/>
      <c r="N45" s="346"/>
      <c r="O45" s="346"/>
      <c r="P45" s="806"/>
      <c r="Q45" s="346"/>
      <c r="R45" s="346"/>
      <c r="S45" s="346"/>
      <c r="T45" s="346"/>
      <c r="U45" s="372"/>
      <c r="V45" s="360"/>
      <c r="W45" s="360"/>
      <c r="X45" s="360"/>
      <c r="Y45" s="360"/>
      <c r="Z45" s="360"/>
      <c r="AA45" s="360"/>
      <c r="AB45" s="360"/>
      <c r="AC45" s="360"/>
      <c r="AD45" s="360"/>
      <c r="AE45" s="360"/>
      <c r="AF45" s="360"/>
    </row>
    <row r="46" spans="1:32" s="362" customFormat="1">
      <c r="A46" s="360"/>
      <c r="B46" s="361"/>
      <c r="C46" s="1058">
        <v>43873</v>
      </c>
      <c r="D46" s="1059"/>
      <c r="E46" s="1062" t="s">
        <v>218</v>
      </c>
      <c r="F46" s="1137" t="s">
        <v>9</v>
      </c>
      <c r="G46" s="1133">
        <v>65</v>
      </c>
      <c r="H46" s="1062" t="s">
        <v>167</v>
      </c>
      <c r="I46" s="1062" t="s">
        <v>50</v>
      </c>
      <c r="J46" s="1142" t="s">
        <v>92</v>
      </c>
      <c r="K46" s="825" t="s">
        <v>96</v>
      </c>
      <c r="L46" s="370"/>
      <c r="M46" s="373"/>
      <c r="N46" s="346"/>
      <c r="O46" s="346"/>
      <c r="P46" s="806"/>
      <c r="Q46" s="346"/>
      <c r="R46" s="346"/>
      <c r="S46" s="346"/>
      <c r="T46" s="346"/>
      <c r="U46" s="372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  <c r="AF46" s="360"/>
    </row>
    <row r="47" spans="1:32" s="362" customFormat="1">
      <c r="A47" s="360"/>
      <c r="B47" s="361"/>
      <c r="C47" s="1058">
        <v>43873</v>
      </c>
      <c r="D47" s="1059">
        <v>102</v>
      </c>
      <c r="E47" s="1062" t="s">
        <v>221</v>
      </c>
      <c r="F47" s="1137" t="s">
        <v>8</v>
      </c>
      <c r="G47" s="1133">
        <v>65</v>
      </c>
      <c r="H47" s="1062" t="s">
        <v>79</v>
      </c>
      <c r="I47" s="1062" t="s">
        <v>53</v>
      </c>
      <c r="J47" s="1134" t="s">
        <v>80</v>
      </c>
      <c r="K47" s="825" t="s">
        <v>81</v>
      </c>
      <c r="L47" s="370"/>
      <c r="M47" s="373"/>
      <c r="N47" s="346"/>
      <c r="O47" s="346"/>
      <c r="P47" s="806"/>
      <c r="Q47" s="346"/>
      <c r="R47" s="346"/>
      <c r="S47" s="346"/>
      <c r="T47" s="346"/>
      <c r="U47" s="372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  <c r="AF47" s="360"/>
    </row>
    <row r="48" spans="1:32" s="362" customFormat="1" ht="16.5" thickBot="1">
      <c r="A48" s="360"/>
      <c r="B48" s="361"/>
      <c r="C48" s="1058">
        <v>43880</v>
      </c>
      <c r="D48" s="1059">
        <v>104</v>
      </c>
      <c r="E48" s="1078" t="s">
        <v>222</v>
      </c>
      <c r="F48" s="1137" t="s">
        <v>9</v>
      </c>
      <c r="G48" s="1133">
        <v>40</v>
      </c>
      <c r="H48" s="1062" t="s">
        <v>223</v>
      </c>
      <c r="I48" s="1062" t="s">
        <v>47</v>
      </c>
      <c r="J48" s="1134" t="s">
        <v>80</v>
      </c>
      <c r="K48" s="826" t="s">
        <v>96</v>
      </c>
      <c r="L48" s="370"/>
      <c r="M48" s="373"/>
      <c r="N48" s="346"/>
      <c r="O48" s="346"/>
      <c r="P48" s="806"/>
      <c r="Q48" s="346"/>
      <c r="R48" s="346"/>
      <c r="S48" s="346"/>
      <c r="T48" s="346"/>
      <c r="U48" s="372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  <c r="AF48" s="360"/>
    </row>
    <row r="49" spans="1:34" s="362" customFormat="1">
      <c r="A49" s="360"/>
      <c r="B49" s="361"/>
      <c r="C49" s="1058">
        <v>43882</v>
      </c>
      <c r="D49" s="1059">
        <v>10</v>
      </c>
      <c r="E49" s="1062" t="s">
        <v>224</v>
      </c>
      <c r="F49" s="1137" t="s">
        <v>9</v>
      </c>
      <c r="G49" s="1133">
        <v>65</v>
      </c>
      <c r="H49" s="1078" t="s">
        <v>225</v>
      </c>
      <c r="I49" s="1062" t="s">
        <v>52</v>
      </c>
      <c r="J49" s="1134" t="s">
        <v>80</v>
      </c>
      <c r="K49" s="825" t="s">
        <v>96</v>
      </c>
      <c r="L49" s="375"/>
      <c r="M49" s="373"/>
      <c r="N49" s="346"/>
      <c r="O49" s="346"/>
      <c r="P49" s="806"/>
      <c r="Q49" s="346"/>
      <c r="R49" s="346"/>
      <c r="S49" s="346"/>
      <c r="T49" s="346"/>
      <c r="U49" s="372"/>
      <c r="V49" s="327"/>
      <c r="W49" s="458"/>
      <c r="X49" s="484"/>
      <c r="Y49" s="454"/>
      <c r="Z49" s="485"/>
      <c r="AA49" s="1096"/>
      <c r="AB49" s="1096"/>
      <c r="AC49" s="1096"/>
      <c r="AD49" s="1096"/>
      <c r="AE49" s="454"/>
      <c r="AF49" s="454"/>
      <c r="AG49" s="405"/>
      <c r="AH49" s="405"/>
    </row>
    <row r="50" spans="1:34" s="362" customFormat="1">
      <c r="A50" s="360"/>
      <c r="B50" s="361"/>
      <c r="C50" s="1058">
        <v>43886</v>
      </c>
      <c r="D50" s="1059"/>
      <c r="E50" s="1062" t="s">
        <v>226</v>
      </c>
      <c r="F50" s="1137" t="s">
        <v>8</v>
      </c>
      <c r="G50" s="1133">
        <v>65</v>
      </c>
      <c r="H50" s="1060" t="s">
        <v>193</v>
      </c>
      <c r="I50" s="1062" t="s">
        <v>53</v>
      </c>
      <c r="J50" s="1142" t="s">
        <v>92</v>
      </c>
      <c r="K50" s="825" t="s">
        <v>81</v>
      </c>
      <c r="L50" s="358"/>
      <c r="M50" s="373"/>
      <c r="N50" s="346"/>
      <c r="O50" s="346"/>
      <c r="P50" s="806"/>
      <c r="Q50" s="346"/>
      <c r="R50" s="346"/>
      <c r="S50" s="346"/>
      <c r="T50" s="346"/>
      <c r="U50" s="372"/>
      <c r="V50" s="327"/>
      <c r="W50" s="458"/>
      <c r="X50" s="484"/>
      <c r="Y50" s="454"/>
      <c r="Z50" s="485"/>
      <c r="AA50" s="1096"/>
      <c r="AB50" s="1096"/>
      <c r="AC50" s="1096"/>
      <c r="AD50" s="1096"/>
      <c r="AE50" s="454"/>
      <c r="AF50" s="454"/>
      <c r="AG50" s="405"/>
      <c r="AH50" s="405"/>
    </row>
    <row r="51" spans="1:34" s="362" customFormat="1">
      <c r="A51" s="360"/>
      <c r="B51" s="361"/>
      <c r="C51" s="1058">
        <v>43886</v>
      </c>
      <c r="D51" s="1059"/>
      <c r="E51" s="1062" t="s">
        <v>226</v>
      </c>
      <c r="F51" s="1137" t="s">
        <v>8</v>
      </c>
      <c r="G51" s="1133">
        <v>65</v>
      </c>
      <c r="H51" s="1062" t="s">
        <v>79</v>
      </c>
      <c r="I51" s="1062" t="s">
        <v>53</v>
      </c>
      <c r="J51" s="1142" t="s">
        <v>92</v>
      </c>
      <c r="K51" s="825" t="s">
        <v>81</v>
      </c>
      <c r="L51" s="358"/>
      <c r="M51" s="373"/>
      <c r="N51" s="346"/>
      <c r="O51" s="346"/>
      <c r="P51" s="806"/>
      <c r="Q51" s="346"/>
      <c r="R51" s="346"/>
      <c r="S51" s="346"/>
      <c r="T51" s="346"/>
      <c r="U51" s="372"/>
      <c r="V51" s="327"/>
      <c r="W51" s="458"/>
      <c r="X51" s="484"/>
      <c r="Y51" s="454"/>
      <c r="Z51" s="485"/>
      <c r="AA51" s="1096"/>
      <c r="AB51" s="1096"/>
      <c r="AC51" s="1096"/>
      <c r="AD51" s="1096"/>
      <c r="AE51" s="454"/>
      <c r="AF51" s="454"/>
      <c r="AG51" s="405"/>
      <c r="AH51" s="405"/>
    </row>
    <row r="52" spans="1:34" s="362" customFormat="1">
      <c r="A52" s="360"/>
      <c r="B52" s="361"/>
      <c r="C52" s="1058">
        <v>43886</v>
      </c>
      <c r="D52" s="1059"/>
      <c r="E52" s="1060" t="s">
        <v>226</v>
      </c>
      <c r="F52" s="1137" t="s">
        <v>9</v>
      </c>
      <c r="G52" s="1133">
        <v>65</v>
      </c>
      <c r="H52" s="1143" t="s">
        <v>193</v>
      </c>
      <c r="I52" s="1062" t="s">
        <v>53</v>
      </c>
      <c r="J52" s="1142" t="s">
        <v>92</v>
      </c>
      <c r="K52" s="825" t="s">
        <v>96</v>
      </c>
      <c r="L52" s="358"/>
      <c r="M52" s="373"/>
      <c r="N52" s="369"/>
      <c r="O52" s="346"/>
      <c r="P52" s="806"/>
      <c r="Q52" s="346"/>
      <c r="R52" s="346"/>
      <c r="S52" s="346"/>
      <c r="T52" s="346"/>
      <c r="U52" s="372"/>
      <c r="V52" s="327"/>
      <c r="W52" s="458"/>
      <c r="X52" s="484"/>
      <c r="Y52" s="454"/>
      <c r="Z52" s="485"/>
      <c r="AA52" s="1096"/>
      <c r="AB52" s="1096"/>
      <c r="AC52" s="1096"/>
      <c r="AD52" s="1096"/>
      <c r="AE52" s="454"/>
      <c r="AF52" s="454"/>
      <c r="AG52" s="405"/>
      <c r="AH52" s="405"/>
    </row>
    <row r="53" spans="1:34" s="362" customFormat="1">
      <c r="A53" s="360"/>
      <c r="B53" s="361"/>
      <c r="C53" s="1081">
        <v>43886</v>
      </c>
      <c r="D53" s="1059"/>
      <c r="E53" s="1062" t="s">
        <v>226</v>
      </c>
      <c r="F53" s="1137" t="s">
        <v>9</v>
      </c>
      <c r="G53" s="1133">
        <v>65</v>
      </c>
      <c r="H53" s="1062" t="s">
        <v>79</v>
      </c>
      <c r="I53" s="1062" t="s">
        <v>53</v>
      </c>
      <c r="J53" s="1142" t="s">
        <v>92</v>
      </c>
      <c r="K53" s="825" t="s">
        <v>96</v>
      </c>
      <c r="L53" s="358"/>
      <c r="M53" s="373"/>
      <c r="N53" s="369"/>
      <c r="O53" s="346"/>
      <c r="P53" s="806"/>
      <c r="Q53" s="346"/>
      <c r="R53" s="346"/>
      <c r="S53" s="346"/>
      <c r="T53" s="346"/>
      <c r="U53" s="372"/>
      <c r="V53" s="327"/>
      <c r="W53" s="458"/>
      <c r="X53" s="484"/>
      <c r="Y53" s="454"/>
      <c r="Z53" s="485"/>
      <c r="AA53" s="1096"/>
      <c r="AB53" s="1096"/>
      <c r="AC53" s="1096"/>
      <c r="AD53" s="1096"/>
      <c r="AE53" s="454"/>
      <c r="AF53" s="454"/>
      <c r="AG53" s="405"/>
      <c r="AH53" s="405"/>
    </row>
    <row r="54" spans="1:34" s="362" customFormat="1">
      <c r="A54" s="360"/>
      <c r="B54" s="361"/>
      <c r="C54" s="1058">
        <v>43886</v>
      </c>
      <c r="D54" s="1059">
        <v>10</v>
      </c>
      <c r="E54" s="1062" t="s">
        <v>227</v>
      </c>
      <c r="F54" s="1137" t="s">
        <v>8</v>
      </c>
      <c r="G54" s="1133">
        <v>65</v>
      </c>
      <c r="H54" s="1062" t="s">
        <v>228</v>
      </c>
      <c r="I54" s="1062" t="s">
        <v>52</v>
      </c>
      <c r="J54" s="1134" t="s">
        <v>80</v>
      </c>
      <c r="K54" s="816" t="s">
        <v>81</v>
      </c>
      <c r="L54" s="358"/>
      <c r="M54" s="373"/>
      <c r="N54" s="369"/>
      <c r="O54" s="346"/>
      <c r="P54" s="806"/>
      <c r="Q54" s="346"/>
      <c r="R54" s="346"/>
      <c r="S54" s="346"/>
      <c r="T54" s="346"/>
      <c r="U54" s="372"/>
      <c r="V54" s="327"/>
      <c r="W54" s="458"/>
      <c r="X54" s="484"/>
      <c r="Y54" s="454"/>
      <c r="Z54" s="485"/>
      <c r="AA54" s="1096"/>
      <c r="AB54" s="1096"/>
      <c r="AC54" s="1096"/>
      <c r="AD54" s="1096"/>
      <c r="AE54" s="454"/>
      <c r="AF54" s="454"/>
      <c r="AG54" s="405"/>
      <c r="AH54" s="405"/>
    </row>
    <row r="55" spans="1:34" s="362" customFormat="1">
      <c r="A55" s="360"/>
      <c r="B55" s="361"/>
      <c r="C55" s="1058">
        <v>43886</v>
      </c>
      <c r="D55" s="1059"/>
      <c r="E55" s="1062" t="s">
        <v>229</v>
      </c>
      <c r="F55" s="1137" t="s">
        <v>8</v>
      </c>
      <c r="G55" s="1133">
        <v>65</v>
      </c>
      <c r="H55" s="1062" t="s">
        <v>167</v>
      </c>
      <c r="I55" s="1062" t="s">
        <v>52</v>
      </c>
      <c r="J55" s="1134" t="s">
        <v>80</v>
      </c>
      <c r="K55" s="825" t="s">
        <v>81</v>
      </c>
      <c r="L55" s="346"/>
      <c r="M55" s="373"/>
      <c r="N55" s="346"/>
      <c r="O55" s="346"/>
      <c r="P55" s="806"/>
      <c r="Q55" s="346"/>
      <c r="R55" s="346"/>
      <c r="S55" s="346"/>
      <c r="T55" s="346"/>
      <c r="U55" s="372"/>
      <c r="V55" s="360"/>
      <c r="W55" s="488"/>
      <c r="X55" s="488"/>
      <c r="Y55" s="488"/>
      <c r="Z55" s="488"/>
      <c r="AA55" s="488"/>
      <c r="AB55" s="488"/>
      <c r="AC55" s="488"/>
      <c r="AD55" s="488"/>
      <c r="AE55" s="488"/>
      <c r="AF55" s="488"/>
      <c r="AG55" s="451"/>
      <c r="AH55" s="451"/>
    </row>
    <row r="56" spans="1:34" s="362" customFormat="1">
      <c r="A56" s="360"/>
      <c r="B56" s="361"/>
      <c r="C56" s="1058">
        <v>43886</v>
      </c>
      <c r="D56" s="1059"/>
      <c r="E56" s="1069" t="s">
        <v>230</v>
      </c>
      <c r="F56" s="1137" t="s">
        <v>9</v>
      </c>
      <c r="G56" s="1133">
        <v>65</v>
      </c>
      <c r="H56" s="1062" t="s">
        <v>196</v>
      </c>
      <c r="I56" s="1062" t="s">
        <v>52</v>
      </c>
      <c r="J56" s="1134" t="s">
        <v>80</v>
      </c>
      <c r="K56" s="825" t="s">
        <v>96</v>
      </c>
      <c r="L56" s="346"/>
      <c r="M56" s="373"/>
      <c r="N56" s="346"/>
      <c r="O56" s="346"/>
      <c r="P56" s="806"/>
      <c r="Q56" s="346"/>
      <c r="R56" s="346"/>
      <c r="S56" s="346"/>
      <c r="T56" s="346"/>
      <c r="U56" s="372"/>
      <c r="V56" s="360"/>
      <c r="W56" s="488"/>
      <c r="X56" s="488"/>
      <c r="Y56" s="488"/>
      <c r="Z56" s="488"/>
      <c r="AA56" s="488"/>
      <c r="AB56" s="488"/>
      <c r="AC56" s="488"/>
      <c r="AD56" s="488"/>
      <c r="AE56" s="488"/>
      <c r="AF56" s="488"/>
      <c r="AG56" s="451"/>
      <c r="AH56" s="451"/>
    </row>
    <row r="57" spans="1:34" s="362" customFormat="1">
      <c r="A57" s="360"/>
      <c r="B57" s="361"/>
      <c r="C57" s="1058">
        <v>43886</v>
      </c>
      <c r="D57" s="1059"/>
      <c r="E57" s="1141" t="s">
        <v>229</v>
      </c>
      <c r="F57" s="1137" t="s">
        <v>9</v>
      </c>
      <c r="G57" s="1133">
        <v>65</v>
      </c>
      <c r="H57" s="1062" t="s">
        <v>167</v>
      </c>
      <c r="I57" s="1062" t="s">
        <v>52</v>
      </c>
      <c r="J57" s="1134" t="s">
        <v>80</v>
      </c>
      <c r="K57" s="825" t="s">
        <v>96</v>
      </c>
      <c r="L57" s="346"/>
      <c r="M57" s="373"/>
      <c r="N57" s="346"/>
      <c r="O57" s="346"/>
      <c r="P57" s="806"/>
      <c r="Q57" s="346"/>
      <c r="R57" s="346"/>
      <c r="S57" s="346"/>
      <c r="T57" s="346"/>
      <c r="U57" s="372"/>
      <c r="V57" s="360"/>
      <c r="W57" s="488"/>
      <c r="X57" s="488"/>
      <c r="Y57" s="488"/>
      <c r="Z57" s="488"/>
      <c r="AA57" s="488"/>
      <c r="AB57" s="488"/>
      <c r="AC57" s="488"/>
      <c r="AD57" s="488"/>
      <c r="AE57" s="488"/>
      <c r="AF57" s="488"/>
      <c r="AG57" s="451"/>
      <c r="AH57" s="451"/>
    </row>
    <row r="58" spans="1:34" s="362" customFormat="1">
      <c r="A58" s="360"/>
      <c r="B58" s="361"/>
      <c r="C58" s="1058">
        <v>43886</v>
      </c>
      <c r="D58" s="1059"/>
      <c r="E58" s="1069" t="s">
        <v>230</v>
      </c>
      <c r="F58" s="1137" t="s">
        <v>8</v>
      </c>
      <c r="G58" s="1133">
        <v>65</v>
      </c>
      <c r="H58" s="1062" t="s">
        <v>196</v>
      </c>
      <c r="I58" s="1062" t="s">
        <v>52</v>
      </c>
      <c r="J58" s="1134" t="s">
        <v>80</v>
      </c>
      <c r="K58" s="825" t="s">
        <v>81</v>
      </c>
      <c r="L58" s="346"/>
      <c r="M58" s="373"/>
      <c r="N58" s="346"/>
      <c r="O58" s="346"/>
      <c r="P58" s="806"/>
      <c r="Q58" s="346"/>
      <c r="R58" s="346"/>
      <c r="S58" s="346"/>
      <c r="T58" s="346"/>
      <c r="U58" s="372"/>
      <c r="V58" s="360"/>
      <c r="W58" s="488"/>
      <c r="X58" s="488"/>
      <c r="Y58" s="488"/>
      <c r="Z58" s="488"/>
      <c r="AA58" s="488"/>
      <c r="AB58" s="488"/>
      <c r="AC58" s="488"/>
      <c r="AD58" s="488"/>
      <c r="AE58" s="488"/>
      <c r="AF58" s="488"/>
      <c r="AG58" s="451"/>
      <c r="AH58" s="451"/>
    </row>
    <row r="59" spans="1:34" s="362" customFormat="1">
      <c r="A59" s="360"/>
      <c r="B59" s="361"/>
      <c r="C59" s="1058">
        <v>43886</v>
      </c>
      <c r="D59" s="1059"/>
      <c r="E59" s="1078" t="s">
        <v>231</v>
      </c>
      <c r="F59" s="1137" t="s">
        <v>8</v>
      </c>
      <c r="G59" s="1133">
        <v>40</v>
      </c>
      <c r="H59" s="1062" t="s">
        <v>85</v>
      </c>
      <c r="I59" s="1062" t="s">
        <v>52</v>
      </c>
      <c r="J59" s="1134" t="s">
        <v>80</v>
      </c>
      <c r="K59" s="825" t="s">
        <v>81</v>
      </c>
      <c r="L59" s="346"/>
      <c r="M59" s="373"/>
      <c r="N59" s="346"/>
      <c r="O59" s="346"/>
      <c r="P59" s="806"/>
      <c r="Q59" s="346"/>
      <c r="R59" s="346"/>
      <c r="S59" s="346"/>
      <c r="T59" s="346"/>
      <c r="U59" s="372"/>
      <c r="V59" s="360"/>
      <c r="W59" s="488"/>
      <c r="X59" s="488"/>
      <c r="Y59" s="488"/>
      <c r="Z59" s="488"/>
      <c r="AA59" s="488"/>
      <c r="AB59" s="488"/>
      <c r="AC59" s="488"/>
      <c r="AD59" s="488"/>
      <c r="AE59" s="488"/>
      <c r="AF59" s="488"/>
      <c r="AG59" s="451"/>
      <c r="AH59" s="451"/>
    </row>
    <row r="60" spans="1:34" s="362" customFormat="1">
      <c r="A60" s="360"/>
      <c r="B60" s="361"/>
      <c r="C60" s="1081">
        <v>43888</v>
      </c>
      <c r="D60" s="1059"/>
      <c r="E60" s="1062" t="s">
        <v>232</v>
      </c>
      <c r="F60" s="1137" t="s">
        <v>8</v>
      </c>
      <c r="G60" s="1144">
        <v>65</v>
      </c>
      <c r="H60" s="1062" t="s">
        <v>79</v>
      </c>
      <c r="I60" s="1062" t="s">
        <v>52</v>
      </c>
      <c r="J60" s="1134" t="s">
        <v>80</v>
      </c>
      <c r="K60" s="825" t="s">
        <v>81</v>
      </c>
      <c r="L60" s="346"/>
      <c r="M60" s="373"/>
      <c r="N60" s="346"/>
      <c r="O60" s="346"/>
      <c r="P60" s="806"/>
      <c r="Q60" s="346"/>
      <c r="R60" s="346"/>
      <c r="S60" s="346"/>
      <c r="T60" s="346"/>
      <c r="U60" s="372"/>
      <c r="V60" s="360"/>
      <c r="W60" s="488"/>
      <c r="X60" s="488"/>
      <c r="Y60" s="488"/>
      <c r="Z60" s="488"/>
      <c r="AA60" s="488"/>
      <c r="AB60" s="488"/>
      <c r="AC60" s="488"/>
      <c r="AD60" s="488"/>
      <c r="AE60" s="488"/>
      <c r="AF60" s="488"/>
      <c r="AG60" s="451"/>
      <c r="AH60" s="451"/>
    </row>
    <row r="61" spans="1:34" s="362" customFormat="1">
      <c r="A61" s="360"/>
      <c r="B61" s="361"/>
      <c r="C61" s="1081">
        <v>43888</v>
      </c>
      <c r="D61" s="1059"/>
      <c r="E61" s="1078" t="s">
        <v>233</v>
      </c>
      <c r="F61" s="1137" t="s">
        <v>9</v>
      </c>
      <c r="G61" s="1144">
        <v>65</v>
      </c>
      <c r="H61" s="1062" t="s">
        <v>79</v>
      </c>
      <c r="I61" s="1062" t="s">
        <v>52</v>
      </c>
      <c r="J61" s="1134" t="s">
        <v>80</v>
      </c>
      <c r="K61" s="825" t="s">
        <v>96</v>
      </c>
      <c r="L61" s="346"/>
      <c r="M61" s="373"/>
      <c r="N61" s="346"/>
      <c r="O61" s="346"/>
      <c r="P61" s="806"/>
      <c r="Q61" s="346"/>
      <c r="R61" s="346"/>
      <c r="S61" s="346"/>
      <c r="T61" s="346"/>
      <c r="U61" s="372"/>
      <c r="V61" s="360"/>
      <c r="W61" s="488"/>
      <c r="X61" s="488"/>
      <c r="Y61" s="488"/>
      <c r="Z61" s="488"/>
      <c r="AA61" s="488"/>
      <c r="AB61" s="488"/>
      <c r="AC61" s="488"/>
      <c r="AD61" s="488"/>
      <c r="AE61" s="488"/>
      <c r="AF61" s="488"/>
      <c r="AG61" s="451"/>
      <c r="AH61" s="451"/>
    </row>
    <row r="62" spans="1:34" s="362" customFormat="1">
      <c r="A62" s="360"/>
      <c r="B62" s="361"/>
      <c r="C62" s="1058">
        <v>43888</v>
      </c>
      <c r="D62" s="1059"/>
      <c r="E62" s="1062" t="s">
        <v>232</v>
      </c>
      <c r="F62" s="1137" t="s">
        <v>9</v>
      </c>
      <c r="G62" s="1133">
        <v>65</v>
      </c>
      <c r="H62" s="1062" t="s">
        <v>234</v>
      </c>
      <c r="I62" s="1062" t="s">
        <v>52</v>
      </c>
      <c r="J62" s="1134" t="s">
        <v>80</v>
      </c>
      <c r="K62" s="825" t="s">
        <v>96</v>
      </c>
      <c r="L62" s="346"/>
      <c r="M62" s="373"/>
      <c r="N62" s="346"/>
      <c r="O62" s="346"/>
      <c r="P62" s="824"/>
      <c r="Q62" s="346"/>
      <c r="R62" s="346"/>
      <c r="S62" s="346"/>
      <c r="T62" s="346"/>
      <c r="U62" s="372"/>
      <c r="V62" s="360"/>
      <c r="W62" s="488"/>
      <c r="X62" s="488"/>
      <c r="Y62" s="488"/>
      <c r="Z62" s="488"/>
      <c r="AA62" s="488"/>
      <c r="AB62" s="488"/>
      <c r="AC62" s="488"/>
      <c r="AD62" s="488"/>
      <c r="AE62" s="488"/>
      <c r="AF62" s="488"/>
      <c r="AG62" s="451"/>
      <c r="AH62" s="451"/>
    </row>
    <row r="63" spans="1:34" s="362" customFormat="1">
      <c r="A63" s="360"/>
      <c r="B63" s="361"/>
      <c r="C63" s="1058">
        <v>43889</v>
      </c>
      <c r="D63" s="1059">
        <v>101</v>
      </c>
      <c r="E63" s="1078" t="s">
        <v>235</v>
      </c>
      <c r="F63" s="1137" t="s">
        <v>9</v>
      </c>
      <c r="G63" s="1133">
        <v>65</v>
      </c>
      <c r="H63" s="1062" t="s">
        <v>167</v>
      </c>
      <c r="I63" s="1062" t="s">
        <v>50</v>
      </c>
      <c r="J63" s="1134" t="s">
        <v>80</v>
      </c>
      <c r="K63" s="825" t="s">
        <v>96</v>
      </c>
      <c r="L63" s="346"/>
      <c r="M63" s="373"/>
      <c r="N63" s="346"/>
      <c r="O63" s="346"/>
      <c r="P63" s="806"/>
      <c r="Q63" s="346"/>
      <c r="R63" s="346"/>
      <c r="S63" s="346"/>
      <c r="T63" s="346"/>
      <c r="U63" s="372"/>
      <c r="V63" s="360"/>
      <c r="W63" s="488"/>
      <c r="X63" s="488"/>
      <c r="Y63" s="488"/>
      <c r="Z63" s="488"/>
      <c r="AA63" s="488"/>
      <c r="AB63" s="488"/>
      <c r="AC63" s="488"/>
      <c r="AD63" s="488"/>
      <c r="AE63" s="488"/>
      <c r="AF63" s="488"/>
      <c r="AG63" s="451"/>
      <c r="AH63" s="451"/>
    </row>
    <row r="64" spans="1:34" s="362" customFormat="1">
      <c r="A64" s="360"/>
      <c r="B64" s="361"/>
      <c r="C64" s="1058">
        <v>43889</v>
      </c>
      <c r="D64" s="1059">
        <v>101</v>
      </c>
      <c r="E64" s="1078" t="s">
        <v>235</v>
      </c>
      <c r="F64" s="1137" t="s">
        <v>9</v>
      </c>
      <c r="G64" s="1133">
        <v>65</v>
      </c>
      <c r="H64" s="1062" t="s">
        <v>196</v>
      </c>
      <c r="I64" s="1062" t="s">
        <v>50</v>
      </c>
      <c r="J64" s="1134" t="s">
        <v>80</v>
      </c>
      <c r="K64" s="825" t="s">
        <v>96</v>
      </c>
      <c r="L64" s="346"/>
      <c r="M64" s="373"/>
      <c r="N64" s="346"/>
      <c r="O64" s="346"/>
      <c r="P64" s="806"/>
      <c r="Q64" s="346"/>
      <c r="R64" s="346"/>
      <c r="S64" s="346"/>
      <c r="T64" s="346"/>
      <c r="U64" s="372"/>
      <c r="V64" s="360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51"/>
      <c r="AH64" s="451"/>
    </row>
    <row r="65" spans="1:34" s="362" customFormat="1">
      <c r="A65" s="360"/>
      <c r="B65" s="361"/>
      <c r="C65" s="377"/>
      <c r="D65" s="706"/>
      <c r="E65" s="359"/>
      <c r="F65" s="379"/>
      <c r="G65" s="373"/>
      <c r="H65" s="358"/>
      <c r="I65" s="346"/>
      <c r="J65" s="1095"/>
      <c r="K65" s="1632"/>
      <c r="L65" s="346"/>
      <c r="M65" s="373"/>
      <c r="N65" s="346"/>
      <c r="O65" s="346"/>
      <c r="P65" s="806"/>
      <c r="Q65" s="346"/>
      <c r="R65" s="346"/>
      <c r="S65" s="346"/>
      <c r="T65" s="346"/>
      <c r="U65" s="372"/>
      <c r="V65" s="360"/>
      <c r="W65" s="488"/>
      <c r="X65" s="488"/>
      <c r="Y65" s="488"/>
      <c r="Z65" s="488"/>
      <c r="AA65" s="488"/>
      <c r="AB65" s="488"/>
      <c r="AC65" s="488"/>
      <c r="AD65" s="488"/>
      <c r="AE65" s="488"/>
      <c r="AF65" s="488"/>
      <c r="AG65" s="451"/>
      <c r="AH65" s="451"/>
    </row>
    <row r="66" spans="1:34" s="362" customFormat="1">
      <c r="A66" s="360"/>
      <c r="B66" s="361"/>
      <c r="C66" s="707"/>
      <c r="D66" s="706"/>
      <c r="E66" s="359"/>
      <c r="F66" s="379"/>
      <c r="G66" s="373"/>
      <c r="H66" s="353"/>
      <c r="I66" s="346"/>
      <c r="J66" s="1095"/>
      <c r="K66" s="1632"/>
      <c r="L66" s="346"/>
      <c r="M66" s="373"/>
      <c r="N66" s="346"/>
      <c r="O66" s="346"/>
      <c r="P66" s="806"/>
      <c r="Q66" s="346"/>
      <c r="R66" s="346"/>
      <c r="S66" s="346"/>
      <c r="T66" s="346"/>
      <c r="U66" s="372"/>
      <c r="V66" s="360"/>
      <c r="W66" s="488"/>
      <c r="X66" s="488"/>
      <c r="Y66" s="488"/>
      <c r="Z66" s="488"/>
      <c r="AA66" s="488"/>
      <c r="AB66" s="488"/>
      <c r="AC66" s="488"/>
      <c r="AD66" s="488"/>
      <c r="AE66" s="488"/>
      <c r="AF66" s="488"/>
      <c r="AG66" s="451"/>
      <c r="AH66" s="451"/>
    </row>
    <row r="67" spans="1:34" s="362" customFormat="1">
      <c r="A67" s="360"/>
      <c r="B67" s="361"/>
      <c r="C67" s="377"/>
      <c r="D67" s="706"/>
      <c r="E67" s="359"/>
      <c r="F67" s="379"/>
      <c r="G67" s="373"/>
      <c r="H67" s="358"/>
      <c r="I67" s="346"/>
      <c r="J67" s="1095"/>
      <c r="K67" s="48"/>
      <c r="L67" s="346"/>
      <c r="M67" s="373"/>
      <c r="N67" s="346"/>
      <c r="O67" s="346"/>
      <c r="P67" s="806"/>
      <c r="Q67" s="346"/>
      <c r="R67" s="346"/>
      <c r="S67" s="346"/>
      <c r="T67" s="346"/>
      <c r="U67" s="372"/>
      <c r="V67" s="360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51"/>
      <c r="AH67" s="451"/>
    </row>
    <row r="68" spans="1:34" s="362" customFormat="1">
      <c r="A68" s="360"/>
      <c r="B68" s="361"/>
      <c r="C68" s="377"/>
      <c r="D68" s="706"/>
      <c r="E68" s="707"/>
      <c r="F68" s="379"/>
      <c r="G68" s="373"/>
      <c r="H68" s="359"/>
      <c r="I68" s="346"/>
      <c r="J68" s="1095"/>
      <c r="K68" s="1029"/>
      <c r="L68" s="346"/>
      <c r="M68" s="373"/>
      <c r="N68" s="346"/>
      <c r="O68" s="346"/>
      <c r="P68" s="806"/>
      <c r="Q68" s="346"/>
      <c r="R68" s="346"/>
      <c r="S68" s="346"/>
      <c r="T68" s="346"/>
      <c r="U68" s="372"/>
      <c r="V68" s="360"/>
      <c r="W68" s="488"/>
      <c r="X68" s="488"/>
      <c r="Y68" s="488"/>
      <c r="Z68" s="488"/>
      <c r="AA68" s="488"/>
      <c r="AB68" s="488"/>
      <c r="AC68" s="488"/>
      <c r="AD68" s="488"/>
      <c r="AE68" s="488"/>
      <c r="AF68" s="488"/>
      <c r="AG68" s="451"/>
      <c r="AH68" s="451"/>
    </row>
    <row r="69" spans="1:34" s="362" customFormat="1">
      <c r="A69" s="360"/>
      <c r="B69" s="361"/>
      <c r="C69" s="377"/>
      <c r="D69" s="706"/>
      <c r="E69" s="707"/>
      <c r="F69" s="379"/>
      <c r="G69" s="373"/>
      <c r="H69" s="359"/>
      <c r="I69" s="346"/>
      <c r="J69" s="1095"/>
      <c r="K69" s="715"/>
      <c r="L69" s="346"/>
      <c r="M69" s="373"/>
      <c r="N69" s="346"/>
      <c r="O69" s="346"/>
      <c r="P69" s="806"/>
      <c r="Q69" s="346"/>
      <c r="R69" s="346"/>
      <c r="S69" s="346"/>
      <c r="T69" s="346"/>
      <c r="U69" s="372"/>
      <c r="V69" s="360"/>
      <c r="W69" s="488"/>
      <c r="X69" s="488"/>
      <c r="Y69" s="488"/>
      <c r="Z69" s="488"/>
      <c r="AA69" s="488"/>
      <c r="AB69" s="488"/>
      <c r="AC69" s="488"/>
      <c r="AD69" s="488"/>
      <c r="AE69" s="488"/>
      <c r="AF69" s="488"/>
      <c r="AG69" s="451"/>
      <c r="AH69" s="451"/>
    </row>
    <row r="70" spans="1:34" s="362" customFormat="1">
      <c r="A70" s="360"/>
      <c r="B70" s="361"/>
      <c r="C70" s="377"/>
      <c r="D70" s="716"/>
      <c r="E70" s="209"/>
      <c r="F70" s="379"/>
      <c r="G70" s="373"/>
      <c r="H70" s="380"/>
      <c r="I70" s="346"/>
      <c r="J70" s="353"/>
      <c r="K70" s="715"/>
      <c r="L70" s="346"/>
      <c r="M70" s="373"/>
      <c r="N70" s="346"/>
      <c r="O70" s="346"/>
      <c r="P70" s="806"/>
      <c r="Q70" s="346"/>
      <c r="R70" s="346"/>
      <c r="S70" s="346"/>
      <c r="T70" s="346"/>
      <c r="U70" s="372"/>
      <c r="V70" s="360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51"/>
      <c r="AH70" s="451"/>
    </row>
    <row r="71" spans="1:34" s="362" customFormat="1">
      <c r="A71" s="360"/>
      <c r="B71" s="361"/>
      <c r="C71" s="377"/>
      <c r="D71" s="716"/>
      <c r="E71" s="209"/>
      <c r="F71" s="379"/>
      <c r="G71" s="373"/>
      <c r="H71" s="380"/>
      <c r="I71" s="346"/>
      <c r="J71" s="353"/>
      <c r="K71" s="1029"/>
      <c r="L71" s="346"/>
      <c r="M71" s="373"/>
      <c r="N71" s="346"/>
      <c r="O71" s="346"/>
      <c r="P71" s="748"/>
      <c r="Q71" s="346"/>
      <c r="R71" s="346"/>
      <c r="S71" s="346"/>
      <c r="T71" s="346"/>
      <c r="U71" s="372"/>
      <c r="V71" s="360"/>
      <c r="W71" s="488"/>
      <c r="X71" s="488"/>
      <c r="Y71" s="488"/>
      <c r="Z71" s="488"/>
      <c r="AA71" s="488"/>
      <c r="AB71" s="488"/>
      <c r="AC71" s="488"/>
      <c r="AD71" s="488"/>
      <c r="AE71" s="488"/>
      <c r="AF71" s="488"/>
      <c r="AG71" s="451"/>
      <c r="AH71" s="451"/>
    </row>
    <row r="72" spans="1:34" s="362" customFormat="1">
      <c r="A72" s="360"/>
      <c r="B72" s="361"/>
      <c r="C72" s="377"/>
      <c r="D72" s="716"/>
      <c r="E72" s="209"/>
      <c r="F72" s="379"/>
      <c r="G72" s="373"/>
      <c r="H72" s="380"/>
      <c r="I72" s="346"/>
      <c r="J72" s="353"/>
      <c r="K72" s="715"/>
      <c r="L72" s="346"/>
      <c r="M72" s="373"/>
      <c r="N72" s="346"/>
      <c r="O72" s="346"/>
      <c r="P72" s="752"/>
      <c r="Q72" s="346"/>
      <c r="R72" s="346"/>
      <c r="S72" s="346"/>
      <c r="T72" s="346"/>
      <c r="U72" s="372"/>
      <c r="V72" s="360"/>
      <c r="W72" s="488"/>
      <c r="X72" s="488"/>
      <c r="Y72" s="488"/>
      <c r="Z72" s="488"/>
      <c r="AA72" s="488"/>
      <c r="AB72" s="488"/>
      <c r="AC72" s="488"/>
      <c r="AD72" s="488"/>
      <c r="AE72" s="488"/>
      <c r="AF72" s="488"/>
      <c r="AG72" s="451"/>
      <c r="AH72" s="451"/>
    </row>
    <row r="73" spans="1:34" s="362" customFormat="1">
      <c r="A73" s="360"/>
      <c r="B73" s="361"/>
      <c r="C73" s="377"/>
      <c r="D73" s="378"/>
      <c r="E73" s="359"/>
      <c r="F73" s="379"/>
      <c r="G73" s="373"/>
      <c r="H73" s="380"/>
      <c r="I73" s="353"/>
      <c r="J73" s="353"/>
      <c r="K73" s="715"/>
      <c r="L73" s="346"/>
      <c r="M73" s="373"/>
      <c r="N73" s="346"/>
      <c r="O73" s="346"/>
      <c r="P73" s="346"/>
      <c r="Q73" s="346"/>
      <c r="R73" s="346"/>
      <c r="S73" s="346"/>
      <c r="T73" s="346"/>
      <c r="U73" s="372"/>
      <c r="V73" s="360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51"/>
      <c r="AH73" s="451"/>
    </row>
    <row r="74" spans="1:34" s="362" customFormat="1">
      <c r="A74" s="360"/>
      <c r="B74" s="361"/>
      <c r="C74" s="377"/>
      <c r="D74" s="378"/>
      <c r="E74" s="359"/>
      <c r="F74" s="379"/>
      <c r="G74" s="373"/>
      <c r="H74" s="380"/>
      <c r="I74" s="353"/>
      <c r="J74" s="353"/>
      <c r="K74" s="715"/>
      <c r="L74" s="346"/>
      <c r="M74" s="373"/>
      <c r="N74" s="346"/>
      <c r="O74" s="346"/>
      <c r="P74" s="346"/>
      <c r="Q74" s="346"/>
      <c r="R74" s="346"/>
      <c r="S74" s="346"/>
      <c r="T74" s="346"/>
      <c r="U74" s="372"/>
      <c r="V74" s="360"/>
      <c r="W74" s="488"/>
      <c r="X74" s="488"/>
      <c r="Y74" s="488"/>
      <c r="Z74" s="488"/>
      <c r="AA74" s="488"/>
      <c r="AB74" s="488"/>
      <c r="AC74" s="488"/>
      <c r="AD74" s="488"/>
      <c r="AE74" s="488"/>
      <c r="AF74" s="488"/>
      <c r="AG74" s="451"/>
      <c r="AH74" s="451"/>
    </row>
    <row r="75" spans="1:34" s="362" customFormat="1">
      <c r="A75" s="360"/>
      <c r="B75" s="361"/>
      <c r="C75" s="377"/>
      <c r="D75" s="378"/>
      <c r="E75" s="359"/>
      <c r="F75" s="379"/>
      <c r="G75" s="373"/>
      <c r="H75" s="380"/>
      <c r="I75" s="346"/>
      <c r="J75" s="353"/>
      <c r="K75" s="1029"/>
      <c r="L75" s="346"/>
      <c r="M75" s="373"/>
      <c r="N75" s="346"/>
      <c r="O75" s="346"/>
      <c r="P75" s="346"/>
      <c r="Q75" s="346"/>
      <c r="R75" s="346"/>
      <c r="S75" s="346"/>
      <c r="T75" s="346"/>
      <c r="U75" s="372"/>
      <c r="V75" s="360"/>
      <c r="W75" s="488"/>
      <c r="X75" s="488"/>
      <c r="Y75" s="488"/>
      <c r="Z75" s="488"/>
      <c r="AA75" s="488"/>
      <c r="AB75" s="488"/>
      <c r="AC75" s="488"/>
      <c r="AD75" s="488"/>
      <c r="AE75" s="488"/>
      <c r="AF75" s="488"/>
      <c r="AG75" s="451"/>
      <c r="AH75" s="451"/>
    </row>
    <row r="76" spans="1:34" s="362" customFormat="1">
      <c r="A76" s="360"/>
      <c r="B76" s="361"/>
      <c r="C76" s="377"/>
      <c r="D76" s="716"/>
      <c r="E76" s="209"/>
      <c r="F76" s="379"/>
      <c r="G76" s="373"/>
      <c r="H76" s="380"/>
      <c r="I76" s="346"/>
      <c r="J76" s="353"/>
      <c r="K76" s="532"/>
      <c r="L76" s="346"/>
      <c r="M76" s="373"/>
      <c r="N76" s="346"/>
      <c r="O76" s="346"/>
      <c r="P76" s="346"/>
      <c r="Q76" s="346"/>
      <c r="R76" s="346"/>
      <c r="S76" s="346"/>
      <c r="T76" s="346"/>
      <c r="U76" s="372"/>
      <c r="V76" s="360"/>
      <c r="W76" s="488"/>
      <c r="X76" s="488"/>
      <c r="Y76" s="488"/>
      <c r="Z76" s="488"/>
      <c r="AA76" s="488"/>
      <c r="AB76" s="488"/>
      <c r="AC76" s="488"/>
      <c r="AD76" s="488"/>
      <c r="AE76" s="488"/>
      <c r="AF76" s="488"/>
      <c r="AG76" s="451"/>
      <c r="AH76" s="451"/>
    </row>
    <row r="77" spans="1:34" s="362" customFormat="1">
      <c r="A77" s="360"/>
      <c r="B77" s="361"/>
      <c r="C77" s="377"/>
      <c r="D77" s="378"/>
      <c r="E77" s="359"/>
      <c r="F77" s="379"/>
      <c r="G77" s="373"/>
      <c r="H77" s="380"/>
      <c r="I77" s="346"/>
      <c r="J77" s="353"/>
      <c r="K77" s="496"/>
      <c r="L77" s="346"/>
      <c r="M77" s="373"/>
      <c r="N77" s="346"/>
      <c r="O77" s="346"/>
      <c r="P77" s="346"/>
      <c r="Q77" s="346"/>
      <c r="R77" s="346"/>
      <c r="S77" s="346"/>
      <c r="T77" s="346"/>
      <c r="U77" s="372"/>
      <c r="V77" s="360"/>
      <c r="W77" s="488"/>
      <c r="X77" s="488"/>
      <c r="Y77" s="488"/>
      <c r="Z77" s="488"/>
      <c r="AA77" s="488"/>
      <c r="AB77" s="488"/>
      <c r="AC77" s="488"/>
      <c r="AD77" s="488"/>
      <c r="AE77" s="488"/>
      <c r="AF77" s="488"/>
      <c r="AG77" s="451"/>
      <c r="AH77" s="451"/>
    </row>
    <row r="78" spans="1:34" s="362" customFormat="1">
      <c r="A78" s="360"/>
      <c r="B78" s="361"/>
      <c r="C78" s="377"/>
      <c r="D78" s="378"/>
      <c r="E78" s="359"/>
      <c r="F78" s="379"/>
      <c r="G78" s="373"/>
      <c r="H78" s="380"/>
      <c r="I78" s="353"/>
      <c r="J78" s="353"/>
      <c r="K78" s="496"/>
      <c r="L78" s="346"/>
      <c r="M78" s="373"/>
      <c r="N78" s="346"/>
      <c r="O78" s="346"/>
      <c r="P78" s="346"/>
      <c r="Q78" s="346"/>
      <c r="R78" s="346"/>
      <c r="S78" s="346"/>
      <c r="T78" s="346"/>
      <c r="U78" s="372"/>
      <c r="V78" s="360"/>
      <c r="W78" s="488"/>
      <c r="X78" s="488"/>
      <c r="Y78" s="488"/>
      <c r="Z78" s="488"/>
      <c r="AA78" s="488"/>
      <c r="AB78" s="488"/>
      <c r="AC78" s="488"/>
      <c r="AD78" s="488"/>
      <c r="AE78" s="488"/>
      <c r="AF78" s="488"/>
      <c r="AG78" s="451"/>
      <c r="AH78" s="451"/>
    </row>
    <row r="79" spans="1:34" s="362" customFormat="1">
      <c r="A79" s="360"/>
      <c r="B79" s="361"/>
      <c r="C79" s="707"/>
      <c r="D79" s="706"/>
      <c r="E79" s="346"/>
      <c r="F79" s="379"/>
      <c r="G79" s="373"/>
      <c r="H79" s="353"/>
      <c r="I79" s="346"/>
      <c r="J79" s="1095"/>
      <c r="K79" s="715"/>
      <c r="L79" s="346"/>
      <c r="M79" s="373"/>
      <c r="N79" s="346"/>
      <c r="O79" s="346"/>
      <c r="P79" s="346"/>
      <c r="Q79" s="346"/>
      <c r="R79" s="346"/>
      <c r="S79" s="346"/>
      <c r="T79" s="346"/>
      <c r="U79" s="372"/>
      <c r="V79" s="360"/>
      <c r="W79" s="488"/>
      <c r="X79" s="488"/>
      <c r="Y79" s="488"/>
      <c r="Z79" s="488"/>
      <c r="AA79" s="488"/>
      <c r="AB79" s="488"/>
      <c r="AC79" s="488"/>
      <c r="AD79" s="488"/>
      <c r="AE79" s="488"/>
      <c r="AF79" s="488"/>
      <c r="AG79" s="451"/>
      <c r="AH79" s="451"/>
    </row>
    <row r="80" spans="1:34" s="362" customFormat="1">
      <c r="A80" s="360"/>
      <c r="B80" s="361"/>
      <c r="C80" s="377"/>
      <c r="D80" s="706"/>
      <c r="E80" s="707"/>
      <c r="F80" s="379"/>
      <c r="G80" s="373"/>
      <c r="H80" s="358"/>
      <c r="I80" s="346"/>
      <c r="J80" s="1095"/>
      <c r="K80" s="346"/>
      <c r="L80" s="346"/>
      <c r="M80" s="373"/>
      <c r="N80" s="346"/>
      <c r="O80" s="346"/>
      <c r="P80" s="346"/>
      <c r="Q80" s="346"/>
      <c r="R80" s="346"/>
      <c r="S80" s="346"/>
      <c r="T80" s="346"/>
      <c r="U80" s="372"/>
      <c r="V80" s="360"/>
      <c r="W80" s="488"/>
      <c r="X80" s="488"/>
      <c r="Y80" s="488"/>
      <c r="Z80" s="488"/>
      <c r="AA80" s="488"/>
      <c r="AB80" s="488"/>
      <c r="AC80" s="488"/>
      <c r="AD80" s="488"/>
      <c r="AE80" s="488"/>
      <c r="AF80" s="488"/>
      <c r="AG80" s="451"/>
      <c r="AH80" s="451"/>
    </row>
    <row r="81" spans="1:34" s="362" customFormat="1">
      <c r="A81" s="360"/>
      <c r="B81" s="361"/>
      <c r="C81" s="377"/>
      <c r="D81" s="706"/>
      <c r="E81" s="359"/>
      <c r="F81" s="379"/>
      <c r="G81" s="373"/>
      <c r="H81" s="380"/>
      <c r="I81" s="346"/>
      <c r="J81" s="1145"/>
      <c r="K81" s="346"/>
      <c r="L81" s="346"/>
      <c r="M81" s="373"/>
      <c r="N81" s="346"/>
      <c r="O81" s="346"/>
      <c r="P81" s="346"/>
      <c r="Q81" s="346"/>
      <c r="R81" s="346"/>
      <c r="S81" s="346"/>
      <c r="T81" s="346"/>
      <c r="U81" s="372"/>
      <c r="V81" s="360"/>
      <c r="W81" s="488"/>
      <c r="X81" s="488"/>
      <c r="Y81" s="488"/>
      <c r="Z81" s="488"/>
      <c r="AA81" s="488"/>
      <c r="AB81" s="488"/>
      <c r="AC81" s="488"/>
      <c r="AD81" s="488"/>
      <c r="AE81" s="488"/>
      <c r="AF81" s="488"/>
      <c r="AG81" s="451"/>
      <c r="AH81" s="451"/>
    </row>
    <row r="82" spans="1:34" s="362" customFormat="1">
      <c r="A82" s="360"/>
      <c r="B82" s="361"/>
      <c r="C82" s="377"/>
      <c r="D82" s="378"/>
      <c r="E82" s="359"/>
      <c r="F82" s="379"/>
      <c r="G82" s="373"/>
      <c r="H82" s="380"/>
      <c r="I82" s="353"/>
      <c r="J82" s="353"/>
      <c r="K82" s="346"/>
      <c r="L82" s="346"/>
      <c r="M82" s="373"/>
      <c r="N82" s="346"/>
      <c r="O82" s="346"/>
      <c r="P82" s="346"/>
      <c r="Q82" s="346"/>
      <c r="R82" s="346"/>
      <c r="S82" s="346"/>
      <c r="T82" s="346"/>
      <c r="U82" s="372"/>
      <c r="V82" s="360"/>
      <c r="W82" s="488"/>
      <c r="X82" s="488"/>
      <c r="Y82" s="488"/>
      <c r="Z82" s="488"/>
      <c r="AA82" s="488"/>
      <c r="AB82" s="488"/>
      <c r="AC82" s="488"/>
      <c r="AD82" s="488"/>
      <c r="AE82" s="488"/>
      <c r="AF82" s="488"/>
      <c r="AG82" s="451"/>
      <c r="AH82" s="451"/>
    </row>
    <row r="83" spans="1:34" s="362" customFormat="1">
      <c r="A83" s="360"/>
      <c r="B83" s="361"/>
      <c r="C83" s="377"/>
      <c r="D83" s="378"/>
      <c r="E83" s="359"/>
      <c r="F83" s="379"/>
      <c r="G83" s="373"/>
      <c r="H83" s="380"/>
      <c r="I83" s="353"/>
      <c r="J83" s="353"/>
      <c r="K83" s="346"/>
      <c r="L83" s="346"/>
      <c r="M83" s="373"/>
      <c r="N83" s="346"/>
      <c r="O83" s="346"/>
      <c r="P83" s="346"/>
      <c r="Q83" s="346"/>
      <c r="R83" s="346"/>
      <c r="S83" s="346"/>
      <c r="T83" s="346"/>
      <c r="U83" s="372"/>
      <c r="V83" s="360"/>
      <c r="W83" s="488"/>
      <c r="X83" s="488"/>
      <c r="Y83" s="488"/>
      <c r="Z83" s="488"/>
      <c r="AA83" s="488"/>
      <c r="AB83" s="488"/>
      <c r="AC83" s="488"/>
      <c r="AD83" s="488"/>
      <c r="AE83" s="488"/>
      <c r="AF83" s="488"/>
      <c r="AG83" s="451"/>
      <c r="AH83" s="451"/>
    </row>
    <row r="84" spans="1:34" s="362" customFormat="1">
      <c r="A84" s="360"/>
      <c r="B84" s="361"/>
      <c r="C84" s="377"/>
      <c r="D84" s="378"/>
      <c r="E84" s="359"/>
      <c r="F84" s="379"/>
      <c r="G84" s="373"/>
      <c r="H84" s="380"/>
      <c r="I84" s="353"/>
      <c r="J84" s="353"/>
      <c r="K84" s="346"/>
      <c r="L84" s="346"/>
      <c r="M84" s="373"/>
      <c r="N84" s="346"/>
      <c r="O84" s="346"/>
      <c r="P84" s="346"/>
      <c r="Q84" s="346"/>
      <c r="R84" s="346"/>
      <c r="S84" s="346"/>
      <c r="T84" s="346"/>
      <c r="U84" s="372"/>
      <c r="V84" s="360"/>
      <c r="W84" s="488"/>
      <c r="X84" s="488"/>
      <c r="Y84" s="488"/>
      <c r="Z84" s="488"/>
      <c r="AA84" s="488"/>
      <c r="AB84" s="488"/>
      <c r="AC84" s="488"/>
      <c r="AD84" s="488"/>
      <c r="AE84" s="488"/>
      <c r="AF84" s="488"/>
      <c r="AG84" s="451"/>
      <c r="AH84" s="451"/>
    </row>
    <row r="85" spans="1:34" s="362" customFormat="1">
      <c r="A85" s="360"/>
      <c r="B85" s="361"/>
      <c r="C85" s="377"/>
      <c r="D85" s="378"/>
      <c r="E85" s="359"/>
      <c r="F85" s="379"/>
      <c r="G85" s="373"/>
      <c r="H85" s="380"/>
      <c r="I85" s="353"/>
      <c r="J85" s="353"/>
      <c r="K85" s="346"/>
      <c r="L85" s="346"/>
      <c r="M85" s="373"/>
      <c r="N85" s="346"/>
      <c r="O85" s="346"/>
      <c r="P85" s="346"/>
      <c r="Q85" s="346"/>
      <c r="R85" s="346"/>
      <c r="S85" s="346"/>
      <c r="T85" s="346"/>
      <c r="U85" s="372"/>
      <c r="V85" s="360"/>
      <c r="W85" s="488"/>
      <c r="X85" s="488"/>
      <c r="Y85" s="488"/>
      <c r="Z85" s="488"/>
      <c r="AA85" s="488"/>
      <c r="AB85" s="488"/>
      <c r="AC85" s="488"/>
      <c r="AD85" s="488"/>
      <c r="AE85" s="488"/>
      <c r="AF85" s="488"/>
      <c r="AG85" s="451"/>
      <c r="AH85" s="451"/>
    </row>
    <row r="86" spans="1:34" s="362" customFormat="1">
      <c r="A86" s="360"/>
      <c r="B86" s="361"/>
      <c r="C86" s="377"/>
      <c r="D86" s="378"/>
      <c r="E86" s="359"/>
      <c r="F86" s="379"/>
      <c r="G86" s="373"/>
      <c r="H86" s="380"/>
      <c r="I86" s="353"/>
      <c r="J86" s="353"/>
      <c r="K86" s="346"/>
      <c r="L86" s="346"/>
      <c r="M86" s="373"/>
      <c r="N86" s="346"/>
      <c r="O86" s="346"/>
      <c r="P86" s="346"/>
      <c r="Q86" s="346"/>
      <c r="R86" s="346"/>
      <c r="S86" s="346"/>
      <c r="T86" s="346"/>
      <c r="U86" s="372"/>
      <c r="V86" s="360"/>
      <c r="W86" s="488"/>
      <c r="X86" s="488"/>
      <c r="Y86" s="488"/>
      <c r="Z86" s="488"/>
      <c r="AA86" s="488"/>
      <c r="AB86" s="488"/>
      <c r="AC86" s="488"/>
      <c r="AD86" s="488"/>
      <c r="AE86" s="488"/>
      <c r="AF86" s="488"/>
      <c r="AG86" s="451"/>
      <c r="AH86" s="451"/>
    </row>
    <row r="87" spans="1:34" s="362" customFormat="1">
      <c r="A87" s="360"/>
      <c r="B87" s="361"/>
      <c r="C87" s="377"/>
      <c r="D87" s="378"/>
      <c r="E87" s="359"/>
      <c r="F87" s="379"/>
      <c r="G87" s="373"/>
      <c r="H87" s="380"/>
      <c r="I87" s="353"/>
      <c r="J87" s="353"/>
      <c r="K87" s="346"/>
      <c r="L87" s="346"/>
      <c r="M87" s="373"/>
      <c r="N87" s="346"/>
      <c r="O87" s="346"/>
      <c r="P87" s="346"/>
      <c r="Q87" s="346"/>
      <c r="R87" s="346"/>
      <c r="S87" s="346"/>
      <c r="T87" s="346"/>
      <c r="U87" s="372"/>
      <c r="V87" s="360"/>
      <c r="W87" s="488"/>
      <c r="X87" s="488"/>
      <c r="Y87" s="488"/>
      <c r="Z87" s="488"/>
      <c r="AA87" s="488"/>
      <c r="AB87" s="488"/>
      <c r="AC87" s="488"/>
      <c r="AD87" s="488"/>
      <c r="AE87" s="488"/>
      <c r="AF87" s="488"/>
      <c r="AG87" s="451"/>
      <c r="AH87" s="451"/>
    </row>
    <row r="88" spans="1:34" s="362" customFormat="1">
      <c r="A88" s="360"/>
      <c r="B88" s="361"/>
      <c r="C88" s="377"/>
      <c r="D88" s="378"/>
      <c r="E88" s="359"/>
      <c r="F88" s="379"/>
      <c r="G88" s="373"/>
      <c r="H88" s="380"/>
      <c r="I88" s="353"/>
      <c r="J88" s="353"/>
      <c r="K88" s="346"/>
      <c r="L88" s="346"/>
      <c r="M88" s="373"/>
      <c r="N88" s="346"/>
      <c r="O88" s="346"/>
      <c r="P88" s="346"/>
      <c r="Q88" s="346"/>
      <c r="R88" s="346"/>
      <c r="S88" s="346"/>
      <c r="T88" s="346"/>
      <c r="U88" s="372"/>
      <c r="V88" s="360"/>
      <c r="W88" s="488"/>
      <c r="X88" s="488"/>
      <c r="Y88" s="488"/>
      <c r="Z88" s="488"/>
      <c r="AA88" s="488"/>
      <c r="AB88" s="488"/>
      <c r="AC88" s="488"/>
      <c r="AD88" s="488"/>
      <c r="AE88" s="488"/>
      <c r="AF88" s="488"/>
      <c r="AG88" s="451"/>
      <c r="AH88" s="451"/>
    </row>
    <row r="89" spans="1:34" s="362" customFormat="1">
      <c r="A89" s="360"/>
      <c r="B89" s="361"/>
      <c r="C89" s="377"/>
      <c r="D89" s="378"/>
      <c r="E89" s="359"/>
      <c r="F89" s="379"/>
      <c r="G89" s="373"/>
      <c r="H89" s="380"/>
      <c r="I89" s="353"/>
      <c r="J89" s="353"/>
      <c r="K89" s="346"/>
      <c r="L89" s="346"/>
      <c r="M89" s="373"/>
      <c r="N89" s="346"/>
      <c r="O89" s="346"/>
      <c r="P89" s="346"/>
      <c r="Q89" s="346"/>
      <c r="R89" s="346"/>
      <c r="S89" s="346"/>
      <c r="T89" s="346"/>
      <c r="U89" s="372"/>
      <c r="V89" s="360"/>
      <c r="W89" s="488"/>
      <c r="X89" s="488"/>
      <c r="Y89" s="488"/>
      <c r="Z89" s="488"/>
      <c r="AA89" s="488"/>
      <c r="AB89" s="488"/>
      <c r="AC89" s="488"/>
      <c r="AD89" s="488"/>
      <c r="AE89" s="488"/>
      <c r="AF89" s="488"/>
      <c r="AG89" s="451"/>
      <c r="AH89" s="451"/>
    </row>
    <row r="90" spans="1:34" s="362" customFormat="1">
      <c r="A90" s="360"/>
      <c r="B90" s="361"/>
      <c r="C90" s="377"/>
      <c r="D90" s="378"/>
      <c r="E90" s="359"/>
      <c r="F90" s="379"/>
      <c r="G90" s="373"/>
      <c r="H90" s="380"/>
      <c r="I90" s="353"/>
      <c r="J90" s="353"/>
      <c r="K90" s="346"/>
      <c r="L90" s="346"/>
      <c r="M90" s="373"/>
      <c r="N90" s="346"/>
      <c r="O90" s="346"/>
      <c r="P90" s="346"/>
      <c r="Q90" s="346"/>
      <c r="R90" s="346"/>
      <c r="S90" s="346"/>
      <c r="T90" s="346"/>
      <c r="U90" s="372"/>
      <c r="V90" s="360"/>
      <c r="W90" s="488"/>
      <c r="X90" s="488"/>
      <c r="Y90" s="488"/>
      <c r="Z90" s="488"/>
      <c r="AA90" s="488"/>
      <c r="AB90" s="488"/>
      <c r="AC90" s="488"/>
      <c r="AD90" s="488"/>
      <c r="AE90" s="488"/>
      <c r="AF90" s="488"/>
      <c r="AG90" s="451"/>
      <c r="AH90" s="451"/>
    </row>
    <row r="91" spans="1:34" s="362" customFormat="1">
      <c r="A91" s="360"/>
      <c r="B91" s="361"/>
      <c r="C91" s="377"/>
      <c r="D91" s="378"/>
      <c r="E91" s="359"/>
      <c r="F91" s="379"/>
      <c r="G91" s="373"/>
      <c r="H91" s="380"/>
      <c r="I91" s="353"/>
      <c r="J91" s="353"/>
      <c r="K91" s="346"/>
      <c r="L91" s="346"/>
      <c r="M91" s="373"/>
      <c r="N91" s="346"/>
      <c r="O91" s="346"/>
      <c r="P91" s="346"/>
      <c r="Q91" s="346"/>
      <c r="R91" s="346"/>
      <c r="S91" s="346"/>
      <c r="T91" s="346"/>
      <c r="U91" s="372"/>
      <c r="V91" s="360"/>
      <c r="W91" s="488"/>
      <c r="X91" s="488"/>
      <c r="Y91" s="488"/>
      <c r="Z91" s="488"/>
      <c r="AA91" s="488"/>
      <c r="AB91" s="488"/>
      <c r="AC91" s="488"/>
      <c r="AD91" s="488"/>
      <c r="AE91" s="488"/>
      <c r="AF91" s="488"/>
      <c r="AG91" s="451"/>
      <c r="AH91" s="451"/>
    </row>
    <row r="92" spans="1:34" s="362" customFormat="1">
      <c r="A92" s="360"/>
      <c r="B92" s="361"/>
      <c r="C92" s="377"/>
      <c r="D92" s="378"/>
      <c r="E92" s="359"/>
      <c r="F92" s="379"/>
      <c r="G92" s="373"/>
      <c r="H92" s="380"/>
      <c r="I92" s="353"/>
      <c r="J92" s="353"/>
      <c r="K92" s="346"/>
      <c r="L92" s="346"/>
      <c r="M92" s="373"/>
      <c r="N92" s="346"/>
      <c r="O92" s="346"/>
      <c r="P92" s="346"/>
      <c r="Q92" s="346"/>
      <c r="R92" s="346"/>
      <c r="S92" s="346"/>
      <c r="T92" s="346"/>
      <c r="U92" s="372"/>
      <c r="V92" s="360"/>
      <c r="W92" s="488"/>
      <c r="X92" s="488"/>
      <c r="Y92" s="488"/>
      <c r="Z92" s="488"/>
      <c r="AA92" s="488"/>
      <c r="AB92" s="488"/>
      <c r="AC92" s="488"/>
      <c r="AD92" s="488"/>
      <c r="AE92" s="488"/>
      <c r="AF92" s="488"/>
      <c r="AG92" s="451"/>
      <c r="AH92" s="451"/>
    </row>
    <row r="93" spans="1:34" s="362" customFormat="1" ht="16.5" thickBot="1">
      <c r="A93" s="360"/>
      <c r="B93" s="381"/>
      <c r="C93" s="382"/>
      <c r="D93" s="383"/>
      <c r="E93" s="384"/>
      <c r="F93" s="382"/>
      <c r="G93" s="385"/>
      <c r="H93" s="386"/>
      <c r="I93" s="376"/>
      <c r="J93" s="387"/>
      <c r="K93" s="388"/>
      <c r="L93" s="388"/>
      <c r="M93" s="389"/>
      <c r="N93" s="388"/>
      <c r="O93" s="388"/>
      <c r="P93" s="388"/>
      <c r="Q93" s="388"/>
      <c r="R93" s="388"/>
      <c r="S93" s="388"/>
      <c r="T93" s="388"/>
      <c r="U93" s="390"/>
      <c r="V93" s="360"/>
      <c r="W93" s="488"/>
      <c r="X93" s="488"/>
      <c r="Y93" s="488"/>
      <c r="Z93" s="488"/>
      <c r="AA93" s="488"/>
      <c r="AB93" s="488"/>
      <c r="AC93" s="488"/>
      <c r="AD93" s="488"/>
      <c r="AE93" s="488"/>
      <c r="AF93" s="488"/>
      <c r="AG93" s="451"/>
      <c r="AH93" s="451"/>
    </row>
    <row r="94" spans="1:34" s="362" customFormat="1">
      <c r="A94" s="360"/>
      <c r="B94" s="360"/>
      <c r="C94" s="360"/>
      <c r="D94" s="391"/>
      <c r="E94" s="360"/>
      <c r="F94" s="360"/>
      <c r="G94" s="360"/>
      <c r="H94" s="360"/>
      <c r="I94" s="360"/>
      <c r="J94" s="360"/>
      <c r="K94" s="360"/>
      <c r="L94" s="360"/>
      <c r="M94" s="392"/>
      <c r="N94" s="360"/>
      <c r="O94" s="360"/>
      <c r="P94" s="360"/>
      <c r="Q94" s="360"/>
      <c r="R94" s="360"/>
      <c r="S94" s="360"/>
      <c r="T94" s="360"/>
      <c r="U94" s="360"/>
      <c r="V94" s="360"/>
      <c r="W94" s="488"/>
      <c r="X94" s="488"/>
      <c r="Y94" s="488"/>
      <c r="Z94" s="488"/>
      <c r="AA94" s="488"/>
      <c r="AB94" s="488"/>
      <c r="AC94" s="488"/>
      <c r="AD94" s="488"/>
      <c r="AE94" s="488"/>
      <c r="AF94" s="488"/>
      <c r="AG94" s="451"/>
      <c r="AH94" s="451"/>
    </row>
    <row r="95" spans="1:34" s="362" customFormat="1">
      <c r="A95" s="360"/>
      <c r="B95" s="360"/>
      <c r="C95" s="360"/>
      <c r="D95" s="391"/>
      <c r="E95" s="360"/>
      <c r="F95" s="360"/>
      <c r="G95" s="360"/>
      <c r="H95" s="360"/>
      <c r="I95" s="360"/>
      <c r="J95" s="360"/>
      <c r="K95" s="360"/>
      <c r="L95" s="360"/>
      <c r="M95" s="392"/>
      <c r="N95" s="360"/>
      <c r="O95" s="360"/>
      <c r="P95" s="360"/>
      <c r="Q95" s="360"/>
      <c r="R95" s="360"/>
      <c r="S95" s="360"/>
      <c r="T95" s="360"/>
      <c r="U95" s="360"/>
      <c r="V95" s="360"/>
      <c r="W95" s="488"/>
      <c r="X95" s="488"/>
      <c r="Y95" s="488"/>
      <c r="Z95" s="488"/>
      <c r="AA95" s="488"/>
      <c r="AB95" s="488"/>
      <c r="AC95" s="488"/>
      <c r="AD95" s="488"/>
      <c r="AE95" s="488"/>
      <c r="AF95" s="488"/>
      <c r="AG95" s="451"/>
      <c r="AH95" s="451"/>
    </row>
    <row r="96" spans="1:34" s="362" customFormat="1">
      <c r="A96" s="360"/>
      <c r="B96" s="360"/>
      <c r="C96" s="360"/>
      <c r="D96" s="391"/>
      <c r="E96" s="360"/>
      <c r="F96" s="360"/>
      <c r="G96" s="360"/>
      <c r="H96" s="360"/>
      <c r="I96" s="360"/>
      <c r="J96" s="360"/>
      <c r="K96" s="360"/>
      <c r="L96" s="360"/>
      <c r="M96" s="392"/>
      <c r="N96" s="360"/>
      <c r="O96" s="360"/>
      <c r="P96" s="360"/>
      <c r="Q96" s="360"/>
      <c r="R96" s="360"/>
      <c r="S96" s="360"/>
      <c r="T96" s="360"/>
      <c r="U96" s="360"/>
      <c r="V96" s="360"/>
      <c r="W96" s="488"/>
      <c r="X96" s="488"/>
      <c r="Y96" s="488"/>
      <c r="Z96" s="488"/>
      <c r="AA96" s="488"/>
      <c r="AB96" s="488"/>
      <c r="AC96" s="488"/>
      <c r="AD96" s="488"/>
      <c r="AE96" s="488"/>
      <c r="AF96" s="488"/>
      <c r="AG96" s="451"/>
      <c r="AH96" s="451"/>
    </row>
    <row r="97" spans="1:34" s="362" customFormat="1">
      <c r="A97" s="360"/>
      <c r="B97" s="360"/>
      <c r="C97" s="360"/>
      <c r="D97" s="391"/>
      <c r="E97" s="360"/>
      <c r="F97" s="360"/>
      <c r="G97" s="360"/>
      <c r="H97" s="360"/>
      <c r="I97" s="360"/>
      <c r="J97" s="360"/>
      <c r="K97" s="360"/>
      <c r="L97" s="360"/>
      <c r="M97" s="392"/>
      <c r="N97" s="360"/>
      <c r="O97" s="360"/>
      <c r="P97" s="360"/>
      <c r="Q97" s="360"/>
      <c r="R97" s="360"/>
      <c r="S97" s="360"/>
      <c r="T97" s="360"/>
      <c r="U97" s="360"/>
      <c r="V97" s="360"/>
      <c r="W97" s="488"/>
      <c r="X97" s="488"/>
      <c r="Y97" s="488"/>
      <c r="Z97" s="488"/>
      <c r="AA97" s="488"/>
      <c r="AB97" s="488"/>
      <c r="AC97" s="488"/>
      <c r="AD97" s="488"/>
      <c r="AE97" s="488"/>
      <c r="AF97" s="488"/>
      <c r="AG97" s="451"/>
      <c r="AH97" s="451"/>
    </row>
    <row r="98" spans="1:34" s="362" customFormat="1">
      <c r="A98" s="360"/>
      <c r="B98" s="360"/>
      <c r="C98" s="360"/>
      <c r="D98" s="391"/>
      <c r="E98" s="360"/>
      <c r="F98" s="360"/>
      <c r="G98" s="360"/>
      <c r="H98" s="360"/>
      <c r="I98" s="360"/>
      <c r="J98" s="360"/>
      <c r="K98" s="360"/>
      <c r="L98" s="360"/>
      <c r="M98" s="392"/>
      <c r="N98" s="360"/>
      <c r="O98" s="360"/>
      <c r="P98" s="360"/>
      <c r="Q98" s="360"/>
      <c r="R98" s="360"/>
      <c r="S98" s="360"/>
      <c r="T98" s="360"/>
      <c r="U98" s="360"/>
      <c r="V98" s="360"/>
      <c r="W98" s="488"/>
      <c r="X98" s="488"/>
      <c r="Y98" s="488"/>
      <c r="Z98" s="488"/>
      <c r="AA98" s="488"/>
      <c r="AB98" s="488"/>
      <c r="AC98" s="488"/>
      <c r="AD98" s="488"/>
      <c r="AE98" s="488"/>
      <c r="AF98" s="488"/>
      <c r="AG98" s="451"/>
      <c r="AH98" s="451"/>
    </row>
    <row r="99" spans="1:34" s="362" customFormat="1">
      <c r="A99" s="360"/>
      <c r="B99" s="360"/>
      <c r="C99" s="360"/>
      <c r="D99" s="391"/>
      <c r="E99" s="360"/>
      <c r="F99" s="360"/>
      <c r="G99" s="360"/>
      <c r="H99" s="360"/>
      <c r="I99" s="360"/>
      <c r="J99" s="360"/>
      <c r="K99" s="360"/>
      <c r="L99" s="360"/>
      <c r="M99" s="392"/>
      <c r="N99" s="360"/>
      <c r="O99" s="360"/>
      <c r="P99" s="360"/>
      <c r="Q99" s="360"/>
      <c r="R99" s="360"/>
      <c r="S99" s="360"/>
      <c r="T99" s="360"/>
      <c r="U99" s="360"/>
      <c r="V99" s="360"/>
      <c r="W99" s="488"/>
      <c r="X99" s="488"/>
      <c r="Y99" s="488"/>
      <c r="Z99" s="488"/>
      <c r="AA99" s="488"/>
      <c r="AB99" s="488"/>
      <c r="AC99" s="488"/>
      <c r="AD99" s="488"/>
      <c r="AE99" s="488"/>
      <c r="AF99" s="488"/>
      <c r="AG99" s="451"/>
      <c r="AH99" s="451"/>
    </row>
    <row r="100" spans="1:34" s="362" customFormat="1" ht="14.25" customHeight="1">
      <c r="A100" s="360"/>
      <c r="B100" s="360"/>
      <c r="C100" s="360"/>
      <c r="D100" s="391"/>
      <c r="E100" s="360"/>
      <c r="F100" s="360"/>
      <c r="G100" s="360"/>
      <c r="H100" s="360"/>
      <c r="I100" s="360"/>
      <c r="J100" s="360"/>
      <c r="K100" s="360"/>
      <c r="L100" s="360"/>
      <c r="M100" s="392"/>
      <c r="N100" s="360"/>
      <c r="O100" s="360"/>
      <c r="P100" s="360"/>
      <c r="Q100" s="360"/>
      <c r="R100" s="360"/>
      <c r="S100" s="360"/>
      <c r="T100" s="360"/>
      <c r="U100" s="360"/>
      <c r="V100" s="360"/>
      <c r="W100" s="488"/>
      <c r="X100" s="488"/>
      <c r="Y100" s="488"/>
      <c r="Z100" s="488"/>
      <c r="AA100" s="488"/>
      <c r="AB100" s="488"/>
      <c r="AC100" s="488"/>
      <c r="AD100" s="488"/>
      <c r="AE100" s="488"/>
      <c r="AF100" s="488"/>
      <c r="AG100" s="451"/>
      <c r="AH100" s="451"/>
    </row>
    <row r="101" spans="1:34" s="362" customFormat="1" ht="15.75" customHeight="1">
      <c r="A101" s="360"/>
      <c r="B101" s="360"/>
      <c r="C101" s="360"/>
      <c r="D101" s="391"/>
      <c r="E101" s="360"/>
      <c r="F101" s="360"/>
      <c r="G101" s="360"/>
      <c r="H101" s="360"/>
      <c r="I101" s="360"/>
      <c r="J101" s="360"/>
      <c r="K101" s="360"/>
      <c r="L101" s="360"/>
      <c r="M101" s="360"/>
      <c r="N101" s="360"/>
      <c r="O101" s="360"/>
      <c r="P101" s="360"/>
      <c r="Q101" s="360"/>
      <c r="R101" s="360"/>
      <c r="S101" s="360"/>
      <c r="T101" s="360"/>
      <c r="U101" s="360"/>
      <c r="V101" s="360"/>
      <c r="W101" s="488"/>
      <c r="X101" s="488"/>
      <c r="Y101" s="488"/>
      <c r="Z101" s="488"/>
      <c r="AA101" s="488"/>
      <c r="AB101" s="488"/>
      <c r="AC101" s="488"/>
      <c r="AD101" s="488"/>
      <c r="AE101" s="488"/>
      <c r="AF101" s="488"/>
      <c r="AG101" s="451"/>
      <c r="AH101" s="451"/>
    </row>
    <row r="102" spans="1:34" s="362" customFormat="1">
      <c r="A102" s="360"/>
      <c r="B102" s="360"/>
      <c r="C102" s="360"/>
      <c r="D102" s="391"/>
      <c r="E102" s="360"/>
      <c r="F102" s="360"/>
      <c r="G102" s="360"/>
      <c r="H102" s="360"/>
      <c r="I102" s="360"/>
      <c r="J102" s="360"/>
      <c r="K102" s="360"/>
      <c r="L102" s="360"/>
      <c r="M102" s="392"/>
      <c r="N102" s="360"/>
      <c r="O102" s="360"/>
      <c r="P102" s="360"/>
      <c r="Q102" s="360"/>
      <c r="R102" s="360"/>
      <c r="S102" s="360"/>
      <c r="T102" s="360"/>
      <c r="U102" s="360"/>
      <c r="V102" s="360"/>
      <c r="W102" s="488"/>
      <c r="X102" s="488"/>
      <c r="Y102" s="488"/>
      <c r="Z102" s="488"/>
      <c r="AA102" s="488"/>
      <c r="AB102" s="488"/>
      <c r="AC102" s="488"/>
      <c r="AD102" s="488"/>
      <c r="AE102" s="488"/>
      <c r="AF102" s="488"/>
      <c r="AG102" s="451"/>
      <c r="AH102" s="451"/>
    </row>
    <row r="103" spans="1:34" s="362" customFormat="1">
      <c r="A103" s="360"/>
      <c r="B103" s="360"/>
      <c r="C103" s="360"/>
      <c r="D103" s="391"/>
      <c r="E103" s="360"/>
      <c r="F103" s="360"/>
      <c r="G103" s="360"/>
      <c r="H103" s="360"/>
      <c r="I103" s="360"/>
      <c r="J103" s="360"/>
      <c r="K103" s="360"/>
      <c r="L103" s="360"/>
      <c r="M103" s="392"/>
      <c r="N103" s="360"/>
      <c r="O103" s="360"/>
      <c r="P103" s="360"/>
      <c r="Q103" s="360"/>
      <c r="R103" s="360"/>
      <c r="S103" s="360"/>
      <c r="T103" s="360"/>
      <c r="U103" s="360"/>
      <c r="V103" s="360"/>
      <c r="W103" s="488"/>
      <c r="X103" s="488"/>
      <c r="Y103" s="488"/>
      <c r="Z103" s="488"/>
      <c r="AA103" s="488"/>
      <c r="AB103" s="488"/>
      <c r="AC103" s="488"/>
      <c r="AD103" s="488"/>
      <c r="AE103" s="488"/>
      <c r="AF103" s="488"/>
      <c r="AG103" s="451"/>
      <c r="AH103" s="451"/>
    </row>
    <row r="104" spans="1:34" s="362" customFormat="1">
      <c r="A104" s="360"/>
      <c r="B104" s="360"/>
      <c r="C104" s="360"/>
      <c r="D104" s="391"/>
      <c r="E104" s="360"/>
      <c r="F104" s="360"/>
      <c r="G104" s="360"/>
      <c r="H104" s="360"/>
      <c r="I104" s="360"/>
      <c r="J104" s="360"/>
      <c r="K104" s="360"/>
      <c r="L104" s="360"/>
      <c r="M104" s="392"/>
      <c r="N104" s="360"/>
      <c r="O104" s="360"/>
      <c r="P104" s="360"/>
      <c r="Q104" s="360"/>
      <c r="R104" s="360"/>
      <c r="S104" s="360"/>
      <c r="T104" s="360"/>
      <c r="U104" s="360"/>
      <c r="V104" s="360"/>
      <c r="W104" s="488"/>
      <c r="X104" s="488"/>
      <c r="Y104" s="488"/>
      <c r="Z104" s="488"/>
      <c r="AA104" s="488"/>
      <c r="AB104" s="488"/>
      <c r="AC104" s="488"/>
      <c r="AD104" s="488"/>
      <c r="AE104" s="488"/>
      <c r="AF104" s="488"/>
      <c r="AG104" s="451"/>
      <c r="AH104" s="451"/>
    </row>
    <row r="105" spans="1:34" s="362" customFormat="1">
      <c r="A105" s="360"/>
      <c r="B105" s="360"/>
      <c r="C105" s="360"/>
      <c r="D105" s="391"/>
      <c r="E105" s="360"/>
      <c r="F105" s="360"/>
      <c r="G105" s="360"/>
      <c r="H105" s="360"/>
      <c r="I105" s="360"/>
      <c r="J105" s="360"/>
      <c r="K105" s="360"/>
      <c r="L105" s="360"/>
      <c r="M105" s="392"/>
      <c r="N105" s="360"/>
      <c r="O105" s="360"/>
      <c r="P105" s="360"/>
      <c r="Q105" s="360"/>
      <c r="R105" s="360"/>
      <c r="S105" s="360"/>
      <c r="T105" s="360"/>
      <c r="U105" s="360"/>
      <c r="V105" s="360"/>
      <c r="W105" s="488"/>
      <c r="X105" s="488"/>
      <c r="Y105" s="488"/>
      <c r="Z105" s="488"/>
      <c r="AA105" s="488"/>
      <c r="AB105" s="488"/>
      <c r="AC105" s="488"/>
      <c r="AD105" s="488"/>
      <c r="AE105" s="488"/>
      <c r="AF105" s="488"/>
      <c r="AG105" s="451"/>
      <c r="AH105" s="451"/>
    </row>
    <row r="106" spans="1:34" s="362" customFormat="1">
      <c r="A106" s="360"/>
      <c r="B106" s="360"/>
      <c r="C106" s="360"/>
      <c r="D106" s="391"/>
      <c r="E106" s="360"/>
      <c r="F106" s="360"/>
      <c r="G106" s="360"/>
      <c r="H106" s="360"/>
      <c r="I106" s="360"/>
      <c r="J106" s="360"/>
      <c r="K106" s="360"/>
      <c r="L106" s="360"/>
      <c r="M106" s="392"/>
      <c r="N106" s="360"/>
      <c r="O106" s="360"/>
      <c r="P106" s="360"/>
      <c r="Q106" s="360"/>
      <c r="R106" s="360"/>
      <c r="S106" s="360"/>
      <c r="T106" s="360"/>
      <c r="U106" s="360"/>
      <c r="V106" s="360"/>
      <c r="W106" s="488"/>
      <c r="X106" s="488"/>
      <c r="Y106" s="488"/>
      <c r="Z106" s="488"/>
      <c r="AA106" s="488"/>
      <c r="AB106" s="488"/>
      <c r="AC106" s="488"/>
      <c r="AD106" s="488"/>
      <c r="AE106" s="488"/>
      <c r="AF106" s="488"/>
      <c r="AG106" s="451"/>
      <c r="AH106" s="451"/>
    </row>
    <row r="107" spans="1:34" s="362" customFormat="1">
      <c r="A107" s="360"/>
      <c r="B107" s="360"/>
      <c r="C107" s="368"/>
      <c r="D107" s="393"/>
      <c r="E107" s="324"/>
      <c r="F107" s="321"/>
      <c r="G107" s="325"/>
      <c r="H107" s="321"/>
      <c r="I107" s="351"/>
      <c r="J107" s="322"/>
      <c r="K107" s="360"/>
      <c r="L107" s="394"/>
      <c r="M107" s="392"/>
      <c r="N107" s="360"/>
      <c r="O107" s="360"/>
      <c r="P107" s="360"/>
      <c r="Q107" s="360"/>
      <c r="R107" s="360"/>
      <c r="S107" s="360"/>
      <c r="T107" s="360"/>
      <c r="U107" s="360"/>
      <c r="V107" s="360"/>
      <c r="W107" s="488"/>
      <c r="X107" s="488"/>
      <c r="Y107" s="488"/>
      <c r="Z107" s="488"/>
      <c r="AA107" s="488"/>
      <c r="AB107" s="488"/>
      <c r="AC107" s="488"/>
      <c r="AD107" s="488"/>
      <c r="AE107" s="488"/>
      <c r="AF107" s="488"/>
      <c r="AG107" s="451"/>
      <c r="AH107" s="451"/>
    </row>
    <row r="108" spans="1:34" s="362" customFormat="1">
      <c r="A108" s="360"/>
      <c r="B108" s="1097"/>
      <c r="C108" s="322"/>
      <c r="D108" s="323"/>
      <c r="E108" s="360"/>
      <c r="F108" s="360"/>
      <c r="G108" s="360"/>
      <c r="H108" s="360"/>
      <c r="I108" s="360"/>
      <c r="J108" s="360"/>
      <c r="K108" s="360"/>
      <c r="L108" s="360"/>
      <c r="M108" s="392"/>
      <c r="N108" s="360"/>
      <c r="O108" s="360"/>
      <c r="P108" s="360"/>
      <c r="Q108" s="360"/>
      <c r="R108" s="360"/>
      <c r="S108" s="360"/>
      <c r="T108" s="360"/>
      <c r="U108" s="360"/>
      <c r="V108" s="360"/>
      <c r="W108" s="488"/>
      <c r="X108" s="488"/>
      <c r="Y108" s="488"/>
      <c r="Z108" s="488"/>
      <c r="AA108" s="488"/>
      <c r="AB108" s="488"/>
      <c r="AC108" s="488"/>
      <c r="AD108" s="488"/>
      <c r="AE108" s="488"/>
      <c r="AF108" s="488"/>
      <c r="AG108" s="451"/>
      <c r="AH108" s="451"/>
    </row>
    <row r="109" spans="1:34" s="362" customFormat="1">
      <c r="A109" s="360"/>
      <c r="B109" s="1097"/>
      <c r="C109" s="322"/>
      <c r="D109" s="323"/>
      <c r="E109" s="360"/>
      <c r="F109" s="360"/>
      <c r="G109" s="360"/>
      <c r="H109" s="360"/>
      <c r="I109" s="360"/>
      <c r="J109" s="360"/>
      <c r="K109" s="360"/>
      <c r="L109" s="360"/>
      <c r="M109" s="392"/>
      <c r="N109" s="360"/>
      <c r="O109" s="360"/>
      <c r="P109" s="360"/>
      <c r="Q109" s="360"/>
      <c r="R109" s="360"/>
      <c r="S109" s="360"/>
      <c r="T109" s="360"/>
      <c r="U109" s="360"/>
      <c r="V109" s="360"/>
      <c r="W109" s="488"/>
      <c r="X109" s="488"/>
      <c r="Y109" s="488"/>
      <c r="Z109" s="488"/>
      <c r="AA109" s="488"/>
      <c r="AB109" s="488"/>
      <c r="AC109" s="488"/>
      <c r="AD109" s="488"/>
      <c r="AE109" s="488"/>
      <c r="AF109" s="488"/>
      <c r="AG109" s="451"/>
      <c r="AH109" s="451"/>
    </row>
    <row r="110" spans="1:34" s="362" customFormat="1">
      <c r="A110" s="360"/>
      <c r="B110" s="327"/>
      <c r="C110" s="322"/>
      <c r="D110" s="323"/>
      <c r="E110" s="360"/>
      <c r="F110" s="360"/>
      <c r="G110" s="360"/>
      <c r="H110" s="360"/>
      <c r="I110" s="360"/>
      <c r="J110" s="360"/>
      <c r="K110" s="360"/>
      <c r="L110" s="360"/>
      <c r="M110" s="392"/>
      <c r="N110" s="360"/>
      <c r="O110" s="360"/>
      <c r="P110" s="360"/>
      <c r="Q110" s="360"/>
      <c r="R110" s="360"/>
      <c r="S110" s="360"/>
      <c r="T110" s="360"/>
      <c r="U110" s="360"/>
      <c r="V110" s="360"/>
      <c r="W110" s="488"/>
      <c r="X110" s="488"/>
      <c r="Y110" s="488"/>
      <c r="Z110" s="488"/>
      <c r="AA110" s="488"/>
      <c r="AB110" s="488"/>
      <c r="AC110" s="488"/>
      <c r="AD110" s="488"/>
      <c r="AE110" s="488"/>
      <c r="AF110" s="488"/>
      <c r="AG110" s="451"/>
      <c r="AH110" s="451"/>
    </row>
    <row r="111" spans="1:34" s="362" customFormat="1">
      <c r="A111" s="360"/>
      <c r="B111" s="395"/>
      <c r="C111" s="322"/>
      <c r="D111" s="323"/>
      <c r="E111" s="360"/>
      <c r="F111" s="360"/>
      <c r="G111" s="360"/>
      <c r="H111" s="360"/>
      <c r="I111" s="360"/>
      <c r="J111" s="360"/>
      <c r="K111" s="360"/>
      <c r="L111" s="396"/>
      <c r="M111" s="397"/>
      <c r="N111" s="398"/>
      <c r="O111" s="398"/>
      <c r="P111" s="398"/>
      <c r="Q111" s="398"/>
      <c r="R111" s="398"/>
      <c r="S111" s="398"/>
      <c r="T111" s="398"/>
      <c r="U111" s="398"/>
      <c r="V111" s="360"/>
      <c r="W111" s="488"/>
      <c r="X111" s="488"/>
      <c r="Y111" s="488"/>
      <c r="Z111" s="488"/>
      <c r="AA111" s="488"/>
      <c r="AB111" s="488"/>
      <c r="AC111" s="488"/>
      <c r="AD111" s="488"/>
      <c r="AE111" s="488"/>
      <c r="AF111" s="488"/>
      <c r="AG111" s="451"/>
      <c r="AH111" s="451"/>
    </row>
    <row r="112" spans="1:34" s="362" customFormat="1">
      <c r="A112" s="360"/>
      <c r="B112" s="326"/>
      <c r="C112" s="322"/>
      <c r="D112" s="323"/>
      <c r="E112" s="360"/>
      <c r="F112" s="360"/>
      <c r="G112" s="360"/>
      <c r="H112" s="360"/>
      <c r="I112" s="360"/>
      <c r="J112" s="360"/>
      <c r="K112" s="360"/>
      <c r="L112" s="360"/>
      <c r="M112" s="392"/>
      <c r="N112" s="321"/>
      <c r="O112" s="321"/>
      <c r="P112" s="321"/>
      <c r="Q112" s="321"/>
      <c r="R112" s="321"/>
      <c r="S112" s="321"/>
      <c r="T112" s="321"/>
      <c r="U112" s="321"/>
      <c r="V112" s="360"/>
      <c r="W112" s="488"/>
      <c r="X112" s="488"/>
      <c r="Y112" s="488"/>
      <c r="Z112" s="488"/>
      <c r="AA112" s="488"/>
      <c r="AB112" s="488"/>
      <c r="AC112" s="488"/>
      <c r="AD112" s="488"/>
      <c r="AE112" s="488"/>
      <c r="AF112" s="488"/>
      <c r="AG112" s="451"/>
      <c r="AH112" s="451"/>
    </row>
    <row r="113" spans="1:34" s="362" customFormat="1">
      <c r="A113" s="360"/>
      <c r="B113" s="326"/>
      <c r="C113" s="322"/>
      <c r="D113" s="323"/>
      <c r="E113" s="360"/>
      <c r="F113" s="360"/>
      <c r="G113" s="360"/>
      <c r="H113" s="360"/>
      <c r="I113" s="360"/>
      <c r="J113" s="360"/>
      <c r="K113" s="360"/>
      <c r="L113" s="360"/>
      <c r="M113" s="392"/>
      <c r="N113" s="321"/>
      <c r="O113" s="321"/>
      <c r="P113" s="321"/>
      <c r="Q113" s="321"/>
      <c r="R113" s="321"/>
      <c r="S113" s="321"/>
      <c r="T113" s="321"/>
      <c r="U113" s="321"/>
      <c r="V113" s="360"/>
      <c r="W113" s="488"/>
      <c r="X113" s="488"/>
      <c r="Y113" s="488"/>
      <c r="Z113" s="488"/>
      <c r="AA113" s="488"/>
      <c r="AB113" s="488"/>
      <c r="AC113" s="488"/>
      <c r="AD113" s="488"/>
      <c r="AE113" s="488"/>
      <c r="AF113" s="488"/>
      <c r="AG113" s="451"/>
      <c r="AH113" s="451"/>
    </row>
    <row r="114" spans="1:34" s="362" customFormat="1">
      <c r="A114" s="327"/>
      <c r="B114" s="326"/>
      <c r="C114" s="322"/>
      <c r="D114" s="323"/>
      <c r="E114" s="360"/>
      <c r="F114" s="360"/>
      <c r="G114" s="360"/>
      <c r="H114" s="360"/>
      <c r="I114" s="360"/>
      <c r="J114" s="360"/>
      <c r="K114" s="360"/>
      <c r="L114" s="360"/>
      <c r="M114" s="392"/>
      <c r="N114" s="321"/>
      <c r="O114" s="321"/>
      <c r="P114" s="321"/>
      <c r="Q114" s="321"/>
      <c r="R114" s="321"/>
      <c r="S114" s="321"/>
      <c r="T114" s="321"/>
      <c r="U114" s="321"/>
      <c r="V114" s="360"/>
      <c r="W114" s="488"/>
      <c r="X114" s="488"/>
      <c r="Y114" s="488"/>
      <c r="Z114" s="488"/>
      <c r="AA114" s="488"/>
      <c r="AB114" s="488"/>
      <c r="AC114" s="488"/>
      <c r="AD114" s="488"/>
      <c r="AE114" s="488"/>
      <c r="AF114" s="488"/>
      <c r="AG114" s="451"/>
      <c r="AH114" s="451"/>
    </row>
    <row r="115" spans="1:34" s="362" customFormat="1">
      <c r="A115" s="327"/>
      <c r="B115" s="321"/>
      <c r="C115" s="322"/>
      <c r="D115" s="323"/>
      <c r="E115" s="360"/>
      <c r="F115" s="360"/>
      <c r="G115" s="360"/>
      <c r="H115" s="360"/>
      <c r="I115" s="360"/>
      <c r="J115" s="360"/>
      <c r="K115" s="360"/>
      <c r="L115" s="360"/>
      <c r="M115" s="392"/>
      <c r="N115" s="321"/>
      <c r="O115" s="321"/>
      <c r="P115" s="321"/>
      <c r="Q115" s="392"/>
      <c r="R115" s="321"/>
      <c r="S115" s="321"/>
      <c r="T115" s="321"/>
      <c r="U115" s="321"/>
      <c r="V115" s="360"/>
      <c r="W115" s="488"/>
      <c r="X115" s="488"/>
      <c r="Y115" s="488"/>
      <c r="Z115" s="488"/>
      <c r="AA115" s="488"/>
      <c r="AB115" s="488"/>
      <c r="AC115" s="488"/>
      <c r="AD115" s="488"/>
      <c r="AE115" s="488"/>
      <c r="AF115" s="488"/>
      <c r="AG115" s="451"/>
      <c r="AH115" s="451"/>
    </row>
    <row r="116" spans="1:34" s="362" customFormat="1">
      <c r="A116" s="327"/>
      <c r="B116" s="321"/>
      <c r="C116" s="322"/>
      <c r="D116" s="323"/>
      <c r="E116" s="324"/>
      <c r="F116" s="321"/>
      <c r="G116" s="325"/>
      <c r="H116" s="321"/>
      <c r="I116" s="321"/>
      <c r="J116" s="322"/>
      <c r="K116" s="321"/>
      <c r="L116" s="360"/>
      <c r="M116" s="392"/>
      <c r="N116" s="321"/>
      <c r="O116" s="321"/>
      <c r="P116" s="321"/>
      <c r="Q116" s="392"/>
      <c r="R116" s="321"/>
      <c r="S116" s="321"/>
      <c r="T116" s="321"/>
      <c r="U116" s="321"/>
      <c r="V116" s="360"/>
      <c r="W116" s="488"/>
      <c r="X116" s="488"/>
      <c r="Y116" s="488"/>
      <c r="Z116" s="488"/>
      <c r="AA116" s="488"/>
      <c r="AB116" s="488"/>
      <c r="AC116" s="488"/>
      <c r="AD116" s="488"/>
      <c r="AE116" s="488"/>
      <c r="AF116" s="488"/>
      <c r="AG116" s="451"/>
      <c r="AH116" s="451"/>
    </row>
    <row r="117" spans="1:34" s="362" customFormat="1">
      <c r="A117" s="327"/>
      <c r="B117" s="321"/>
      <c r="C117" s="322"/>
      <c r="D117" s="323"/>
      <c r="E117" s="324"/>
      <c r="F117" s="321"/>
      <c r="G117" s="325"/>
      <c r="H117" s="321"/>
      <c r="I117" s="321"/>
      <c r="J117" s="322"/>
      <c r="K117" s="321"/>
      <c r="L117" s="360"/>
      <c r="M117" s="392"/>
      <c r="N117" s="321"/>
      <c r="O117" s="321"/>
      <c r="P117" s="321"/>
      <c r="Q117" s="392"/>
      <c r="R117" s="321"/>
      <c r="S117" s="321"/>
      <c r="T117" s="321"/>
      <c r="U117" s="321"/>
      <c r="V117" s="360"/>
      <c r="W117" s="488"/>
      <c r="X117" s="488"/>
      <c r="Y117" s="488"/>
      <c r="Z117" s="488"/>
      <c r="AA117" s="488"/>
      <c r="AB117" s="488"/>
      <c r="AC117" s="488"/>
      <c r="AD117" s="488"/>
      <c r="AE117" s="488"/>
      <c r="AF117" s="488"/>
      <c r="AG117" s="451"/>
      <c r="AH117" s="451"/>
    </row>
    <row r="118" spans="1:34" s="399" customFormat="1">
      <c r="A118" s="395"/>
      <c r="B118" s="321"/>
      <c r="C118" s="322"/>
      <c r="D118" s="323"/>
      <c r="E118" s="324"/>
      <c r="F118" s="321"/>
      <c r="G118" s="325"/>
      <c r="H118" s="321"/>
      <c r="I118" s="321"/>
      <c r="J118" s="322"/>
      <c r="K118" s="321"/>
      <c r="L118" s="360"/>
      <c r="M118" s="392"/>
      <c r="N118" s="321"/>
      <c r="O118" s="321"/>
      <c r="P118" s="321"/>
      <c r="Q118" s="392"/>
      <c r="R118" s="321"/>
      <c r="S118" s="321"/>
      <c r="T118" s="321"/>
      <c r="U118" s="321"/>
      <c r="V118" s="398"/>
      <c r="W118" s="494"/>
      <c r="X118" s="494"/>
      <c r="Y118" s="494"/>
      <c r="Z118" s="494"/>
      <c r="AA118" s="494"/>
      <c r="AB118" s="494"/>
      <c r="AC118" s="494"/>
      <c r="AD118" s="494"/>
      <c r="AE118" s="494"/>
      <c r="AF118" s="494"/>
      <c r="AG118" s="495"/>
      <c r="AH118" s="495"/>
    </row>
    <row r="119" spans="1:34">
      <c r="A119" s="326"/>
      <c r="B119" s="321"/>
      <c r="C119" s="322"/>
      <c r="D119" s="323"/>
      <c r="E119" s="324"/>
      <c r="F119" s="321"/>
      <c r="G119" s="325"/>
      <c r="H119" s="321"/>
      <c r="I119" s="321"/>
      <c r="J119" s="322"/>
      <c r="K119" s="321"/>
      <c r="L119" s="360"/>
      <c r="M119" s="392"/>
      <c r="N119" s="321"/>
      <c r="O119" s="321"/>
      <c r="P119" s="321"/>
      <c r="Q119" s="392"/>
      <c r="R119" s="321"/>
      <c r="S119" s="321"/>
      <c r="T119" s="321"/>
      <c r="U119" s="321"/>
      <c r="V119" s="321"/>
      <c r="W119" s="446"/>
      <c r="X119" s="446"/>
      <c r="Y119" s="446"/>
      <c r="Z119" s="446"/>
      <c r="AA119" s="446"/>
      <c r="AB119" s="446"/>
      <c r="AC119" s="446"/>
      <c r="AD119" s="446"/>
      <c r="AE119" s="446"/>
      <c r="AF119" s="446"/>
      <c r="AG119" s="405"/>
      <c r="AH119" s="405"/>
    </row>
    <row r="120" spans="1:34">
      <c r="A120" s="326"/>
      <c r="B120" s="321"/>
      <c r="C120" s="322"/>
      <c r="D120" s="323"/>
      <c r="E120" s="324"/>
      <c r="F120" s="321"/>
      <c r="G120" s="325"/>
      <c r="H120" s="321"/>
      <c r="I120" s="321"/>
      <c r="J120" s="322"/>
      <c r="K120" s="321"/>
      <c r="L120" s="360"/>
      <c r="M120" s="392"/>
      <c r="N120" s="321"/>
      <c r="O120" s="321"/>
      <c r="P120" s="321"/>
      <c r="Q120" s="392"/>
      <c r="R120" s="321"/>
      <c r="S120" s="321"/>
      <c r="T120" s="321"/>
      <c r="U120" s="321"/>
      <c r="V120" s="321"/>
      <c r="W120" s="446"/>
      <c r="X120" s="446"/>
      <c r="Y120" s="446"/>
      <c r="Z120" s="446"/>
      <c r="AA120" s="446"/>
      <c r="AB120" s="446"/>
      <c r="AC120" s="446"/>
      <c r="AD120" s="446"/>
      <c r="AE120" s="446"/>
      <c r="AF120" s="446"/>
      <c r="AG120" s="405"/>
      <c r="AH120" s="405"/>
    </row>
    <row r="121" spans="1:34" ht="23.25" customHeight="1">
      <c r="A121" s="326"/>
      <c r="B121" s="321"/>
      <c r="C121" s="322"/>
      <c r="D121" s="323"/>
      <c r="E121" s="324"/>
      <c r="F121" s="321"/>
      <c r="G121" s="325"/>
      <c r="H121" s="321"/>
      <c r="I121" s="321"/>
      <c r="J121" s="322"/>
      <c r="K121" s="321"/>
      <c r="L121" s="360"/>
      <c r="M121" s="392"/>
      <c r="N121" s="321"/>
      <c r="O121" s="321"/>
      <c r="P121" s="321"/>
      <c r="Q121" s="392"/>
      <c r="R121" s="321"/>
      <c r="S121" s="321"/>
      <c r="T121" s="321"/>
      <c r="U121" s="321"/>
      <c r="V121" s="321"/>
      <c r="W121" s="446"/>
      <c r="X121" s="446"/>
      <c r="Y121" s="446"/>
      <c r="Z121" s="446"/>
      <c r="AA121" s="446"/>
      <c r="AB121" s="446"/>
      <c r="AC121" s="446"/>
      <c r="AD121" s="446"/>
      <c r="AE121" s="446"/>
      <c r="AF121" s="446"/>
      <c r="AG121" s="405"/>
      <c r="AH121" s="405"/>
    </row>
    <row r="122" spans="1:34" ht="15.75" customHeight="1">
      <c r="A122" s="326"/>
      <c r="B122" s="321"/>
      <c r="C122" s="322"/>
      <c r="D122" s="323"/>
      <c r="E122" s="324"/>
      <c r="F122" s="321"/>
      <c r="G122" s="325"/>
      <c r="H122" s="321"/>
      <c r="I122" s="321"/>
      <c r="J122" s="322"/>
      <c r="K122" s="321"/>
      <c r="L122" s="360"/>
      <c r="M122" s="392"/>
      <c r="N122" s="321"/>
      <c r="O122" s="321"/>
      <c r="P122" s="321"/>
      <c r="Q122" s="392"/>
      <c r="R122" s="321"/>
      <c r="S122" s="321"/>
      <c r="T122" s="321"/>
      <c r="U122" s="321"/>
      <c r="V122" s="321"/>
    </row>
    <row r="123" spans="1:34" ht="15.75" customHeight="1" thickBot="1">
      <c r="A123" s="321"/>
      <c r="B123" s="446"/>
      <c r="C123" s="1033" t="s">
        <v>136</v>
      </c>
      <c r="D123" s="1033"/>
      <c r="E123" s="1033"/>
      <c r="F123" s="1033"/>
      <c r="G123" s="1033"/>
      <c r="H123" s="1033"/>
      <c r="I123" s="1033"/>
      <c r="J123" s="1033"/>
      <c r="K123" s="1033"/>
      <c r="L123" s="1033"/>
      <c r="M123" s="1033"/>
      <c r="N123" s="446"/>
      <c r="O123" s="321"/>
      <c r="P123" s="321"/>
      <c r="Q123" s="392"/>
      <c r="R123" s="321"/>
      <c r="S123" s="321"/>
      <c r="T123" s="321"/>
      <c r="U123" s="321"/>
      <c r="V123" s="321"/>
    </row>
    <row r="124" spans="1:34" ht="15.75" customHeight="1" thickBot="1">
      <c r="A124" s="321"/>
      <c r="B124" s="446"/>
      <c r="C124" s="1608" t="s">
        <v>138</v>
      </c>
      <c r="D124" s="406"/>
      <c r="E124" s="407"/>
      <c r="F124" s="408"/>
      <c r="G124" s="409"/>
      <c r="H124" s="410"/>
      <c r="I124" s="408"/>
      <c r="J124" s="411"/>
      <c r="K124" s="406"/>
      <c r="L124" s="216"/>
      <c r="M124" s="217"/>
      <c r="N124" s="446"/>
      <c r="O124" s="321"/>
      <c r="P124" s="321"/>
      <c r="Q124" s="321"/>
      <c r="R124" s="321"/>
      <c r="S124" s="321"/>
      <c r="T124" s="321"/>
      <c r="U124" s="321"/>
      <c r="V124" s="321"/>
    </row>
    <row r="125" spans="1:34">
      <c r="A125" s="321"/>
      <c r="B125" s="446"/>
      <c r="C125" s="1609"/>
      <c r="D125" s="412"/>
      <c r="E125" s="1152" t="s">
        <v>139</v>
      </c>
      <c r="F125" s="413" t="s">
        <v>140</v>
      </c>
      <c r="G125" s="414" t="s">
        <v>141</v>
      </c>
      <c r="H125" s="415"/>
      <c r="I125" s="1036" t="s">
        <v>142</v>
      </c>
      <c r="J125" s="416" t="s">
        <v>143</v>
      </c>
      <c r="K125" s="413" t="s">
        <v>132</v>
      </c>
      <c r="L125" s="246" t="s">
        <v>134</v>
      </c>
      <c r="M125" s="1146"/>
      <c r="N125" s="446"/>
      <c r="O125" s="321"/>
      <c r="P125" s="321"/>
      <c r="Q125" s="321"/>
      <c r="R125" s="321"/>
      <c r="S125" s="321"/>
      <c r="T125" s="321"/>
      <c r="U125" s="321"/>
      <c r="V125" s="321"/>
    </row>
    <row r="126" spans="1:34">
      <c r="A126" s="321"/>
      <c r="B126" s="446"/>
      <c r="C126" s="1609"/>
      <c r="D126" s="412"/>
      <c r="E126" s="417" t="s">
        <v>144</v>
      </c>
      <c r="F126" s="418">
        <f>COUNTIF(J$1:J$123,"Positif")</f>
        <v>45</v>
      </c>
      <c r="G126" s="419">
        <f>COUNTIF(J$1:J$123,"Negatif")</f>
        <v>0</v>
      </c>
      <c r="H126" s="415"/>
      <c r="I126" s="420" t="s">
        <v>145</v>
      </c>
      <c r="J126" s="418">
        <f>COUNTIFS(F$1:F$123,"PQR",G$1:G$123, 40)</f>
        <v>3</v>
      </c>
      <c r="K126" s="421">
        <f>COUNTIFS(F$1:F$123,"PQR",G$1:G$123, 65)</f>
        <v>16</v>
      </c>
      <c r="L126" s="422">
        <f>COUNTIFS(F$1:F$123,"PQR",G$1:G$123,64)</f>
        <v>5</v>
      </c>
      <c r="M126" s="1146"/>
      <c r="N126" s="446"/>
      <c r="O126" s="321"/>
      <c r="P126" s="321"/>
      <c r="Q126" s="321"/>
      <c r="R126" s="321"/>
      <c r="S126" s="321"/>
      <c r="T126" s="321"/>
      <c r="U126" s="321"/>
      <c r="V126" s="321"/>
    </row>
    <row r="127" spans="1:34">
      <c r="A127" s="321"/>
      <c r="B127" s="446"/>
      <c r="C127" s="1609"/>
      <c r="D127" s="412"/>
      <c r="E127" s="423" t="s">
        <v>143</v>
      </c>
      <c r="F127" s="424">
        <f>COUNTIFS(G$1:G$123,40,J$1:J$123, "Positif")</f>
        <v>9</v>
      </c>
      <c r="G127" s="419">
        <f>COUNTIFS(G$1:G$123,40,J$1:J$123, "Negatif")+COUNTIFS(G$1:G$123,40,J$1:J$123, "Negative")+COUNTIFS(G$1:G$123,40,J$1:J$123, "négatif")+COUNTIFS(G$1:G$123,40,J$1:J$123, "négative")</f>
        <v>0</v>
      </c>
      <c r="H127" s="415"/>
      <c r="I127" s="425" t="s">
        <v>146</v>
      </c>
      <c r="J127" s="418">
        <f>COUNTIFS(F$1:F$123,"web",G$1:G$123, 40)</f>
        <v>6</v>
      </c>
      <c r="K127" s="418">
        <f>COUNTIFS(F$1:F$123,"web",G$1:G$123, 65)</f>
        <v>20</v>
      </c>
      <c r="L127" s="419">
        <f>COUNTIFS(F$1:F$123,"web",G$1:G$123, 64)</f>
        <v>4</v>
      </c>
      <c r="M127" s="1146"/>
      <c r="N127" s="446"/>
      <c r="O127" s="321"/>
      <c r="P127" s="321"/>
      <c r="Q127" s="321"/>
      <c r="R127" s="321"/>
      <c r="S127" s="321"/>
      <c r="T127" s="321"/>
      <c r="U127" s="321"/>
      <c r="V127" s="321"/>
    </row>
    <row r="128" spans="1:34">
      <c r="A128" s="321"/>
      <c r="B128" s="446"/>
      <c r="C128" s="1609"/>
      <c r="D128" s="412"/>
      <c r="E128" s="423" t="s">
        <v>132</v>
      </c>
      <c r="F128" s="424">
        <f>COUNTIFS(G$1:G$123,65,J$1:J$123, "Positif")+COUNTIFS(G$1:G$123,65,J$1:J$123,"Positive")</f>
        <v>27</v>
      </c>
      <c r="G128" s="419">
        <f>COUNTIFS(G$1:G$123,65,J$1:J$123, "Negatif")+COUNTIFS(G$1:G$123,65,J$1:J$123, "Negative")+COUNTIFS(G$1:G$123,65,J$1:J$123, "négatif")+COUNTIFS(G$1:G$123,65,J$1:J$123, "négative")</f>
        <v>9</v>
      </c>
      <c r="H128" s="415"/>
      <c r="I128" s="425" t="s">
        <v>147</v>
      </c>
      <c r="J128" s="418">
        <f>COUNTIFS(F$1:F$123,"radio",G$1:G$123, 40)</f>
        <v>0</v>
      </c>
      <c r="K128" s="418">
        <f>COUNTIFS(F$1:F$123,"radio",G$1:G$123, 65)</f>
        <v>0</v>
      </c>
      <c r="L128" s="419">
        <f>COUNTIFS(F$1:F$123,"radio",G$1:G$123, 64)</f>
        <v>0</v>
      </c>
      <c r="M128" s="1146"/>
      <c r="N128" s="446"/>
      <c r="O128" s="321"/>
      <c r="P128" s="321"/>
      <c r="Q128" s="321"/>
      <c r="R128" s="321"/>
      <c r="S128" s="321"/>
      <c r="T128" s="321"/>
      <c r="U128" s="321"/>
      <c r="V128" s="321"/>
    </row>
    <row r="129" spans="1:22" ht="16.5" thickBot="1">
      <c r="A129" s="321"/>
      <c r="B129" s="446"/>
      <c r="C129" s="1609"/>
      <c r="D129" s="412"/>
      <c r="E129" s="426" t="s">
        <v>134</v>
      </c>
      <c r="F129" s="427">
        <f>COUNTIFS(G$1:G$123,64,J$1:J$123, "Positif")+COUNTIFS(G$1:G$123,64,J$1:J$123,"Positive")</f>
        <v>9</v>
      </c>
      <c r="G129" s="428">
        <f>COUNTIFS(G$7:G$123,64,J$7:J$123, "Negatif")+COUNTIFS(G$7:G$123,64,J$7:J$123, "Negative")+COUNTIFS(G$7:G$123,64,J$7:J$123, "négatif")+COUNTIFS(G$7:G$123,64,J$7:J$123, "négative")</f>
        <v>0</v>
      </c>
      <c r="H129" s="415"/>
      <c r="I129" s="429" t="s">
        <v>148</v>
      </c>
      <c r="J129" s="430">
        <f>COUNTIFS(F$1:F$123,"TV",G$1:G$123, 40)</f>
        <v>0</v>
      </c>
      <c r="K129" s="430">
        <f>COUNTIFS(F$1:F$123,"TV",G$1:G$123, 65)</f>
        <v>0</v>
      </c>
      <c r="L129" s="431">
        <f>COUNTIFS(F$1:F$123,"TV",G$1:G$123, 64)</f>
        <v>0</v>
      </c>
      <c r="M129" s="1146"/>
      <c r="N129" s="446"/>
      <c r="O129" s="321"/>
      <c r="P129" s="321"/>
      <c r="Q129" s="321"/>
      <c r="R129" s="321"/>
      <c r="S129" s="321"/>
      <c r="T129" s="321"/>
      <c r="U129" s="321"/>
      <c r="V129" s="321"/>
    </row>
    <row r="130" spans="1:22" ht="57" customHeight="1">
      <c r="A130" s="321"/>
      <c r="B130" s="446"/>
      <c r="C130" s="1609"/>
      <c r="D130" s="412"/>
      <c r="E130" s="432"/>
      <c r="F130" s="433"/>
      <c r="G130" s="433"/>
      <c r="H130" s="415"/>
      <c r="I130" s="434"/>
      <c r="J130" s="435"/>
      <c r="K130" s="436"/>
      <c r="L130" s="434"/>
      <c r="M130" s="437"/>
      <c r="N130" s="446"/>
      <c r="O130" s="321"/>
      <c r="P130" s="321"/>
      <c r="Q130" s="321"/>
      <c r="R130" s="321"/>
      <c r="S130" s="321"/>
      <c r="T130" s="321"/>
      <c r="U130" s="321"/>
      <c r="V130" s="321"/>
    </row>
    <row r="131" spans="1:22" ht="15.75" customHeight="1" thickBot="1">
      <c r="A131" s="321"/>
      <c r="B131" s="446"/>
      <c r="C131" s="1610"/>
      <c r="D131" s="438"/>
      <c r="E131" s="439"/>
      <c r="F131" s="440"/>
      <c r="G131" s="441"/>
      <c r="H131" s="442"/>
      <c r="I131" s="443"/>
      <c r="J131" s="441"/>
      <c r="K131" s="444"/>
      <c r="L131" s="443"/>
      <c r="M131" s="445"/>
      <c r="N131" s="446"/>
      <c r="O131" s="321"/>
      <c r="P131" s="321"/>
      <c r="Q131" s="321"/>
      <c r="R131" s="321"/>
      <c r="S131" s="321"/>
      <c r="T131" s="321"/>
      <c r="U131" s="321"/>
      <c r="V131" s="321"/>
    </row>
    <row r="132" spans="1:22" ht="16.5" thickBot="1">
      <c r="A132" s="321"/>
      <c r="B132" s="446"/>
      <c r="C132" s="446"/>
      <c r="D132" s="446"/>
      <c r="E132" s="446"/>
      <c r="F132" s="446"/>
      <c r="G132" s="446"/>
      <c r="H132" s="446"/>
      <c r="I132" s="446"/>
      <c r="J132" s="446"/>
      <c r="K132" s="446"/>
      <c r="L132" s="446"/>
      <c r="M132" s="446"/>
      <c r="N132" s="446"/>
      <c r="O132" s="321"/>
      <c r="P132" s="321"/>
      <c r="Q132" s="368"/>
      <c r="R132" s="321"/>
      <c r="S132" s="321"/>
      <c r="T132" s="321"/>
      <c r="U132" s="321"/>
      <c r="V132" s="321"/>
    </row>
    <row r="133" spans="1:22" ht="16.5" thickBot="1">
      <c r="A133" s="321"/>
      <c r="B133" s="538"/>
      <c r="C133" s="1608" t="s">
        <v>138</v>
      </c>
      <c r="D133" s="1147"/>
      <c r="E133" s="447"/>
      <c r="F133" s="1148"/>
      <c r="G133" s="1149"/>
      <c r="H133" s="1148"/>
      <c r="I133" s="411"/>
      <c r="J133" s="1150"/>
      <c r="K133" s="446"/>
      <c r="L133" s="446"/>
      <c r="M133" s="446"/>
      <c r="N133" s="538"/>
      <c r="O133" s="321"/>
      <c r="P133" s="321"/>
      <c r="Q133" s="321"/>
      <c r="R133" s="321"/>
      <c r="S133" s="321"/>
      <c r="T133" s="321"/>
      <c r="U133" s="321"/>
      <c r="V133" s="321"/>
    </row>
    <row r="134" spans="1:22">
      <c r="A134" s="321"/>
      <c r="B134" s="538"/>
      <c r="C134" s="1609"/>
      <c r="D134" s="1151"/>
      <c r="E134" s="1611" t="s">
        <v>149</v>
      </c>
      <c r="F134" s="1612"/>
      <c r="G134" s="1153"/>
      <c r="H134" s="1611" t="s">
        <v>236</v>
      </c>
      <c r="I134" s="1612"/>
      <c r="J134" s="1146"/>
      <c r="K134" s="446"/>
      <c r="L134" s="446"/>
      <c r="M134" s="446"/>
      <c r="N134" s="538"/>
      <c r="O134" s="321"/>
      <c r="P134" s="321"/>
      <c r="Q134" s="321"/>
      <c r="R134" s="321"/>
      <c r="S134" s="321"/>
      <c r="T134" s="321"/>
      <c r="U134" s="321"/>
      <c r="V134" s="321"/>
    </row>
    <row r="135" spans="1:22">
      <c r="A135" s="321"/>
      <c r="B135" s="446"/>
      <c r="C135" s="1609"/>
      <c r="D135" s="1151"/>
      <c r="E135" s="1613"/>
      <c r="F135" s="1614"/>
      <c r="G135" s="1153"/>
      <c r="H135" s="1615"/>
      <c r="I135" s="1616"/>
      <c r="J135" s="1146"/>
      <c r="K135" s="446"/>
      <c r="L135" s="446"/>
      <c r="M135" s="446"/>
      <c r="N135" s="446"/>
      <c r="O135" s="321"/>
      <c r="P135" s="321"/>
      <c r="Q135" s="321"/>
      <c r="R135" s="321"/>
      <c r="S135" s="321"/>
      <c r="T135" s="321"/>
      <c r="U135" s="321"/>
      <c r="V135" s="321"/>
    </row>
    <row r="136" spans="1:22">
      <c r="A136" s="321"/>
      <c r="B136" s="488"/>
      <c r="C136" s="1609"/>
      <c r="D136" s="1151"/>
      <c r="E136" s="1613"/>
      <c r="F136" s="1614"/>
      <c r="G136" s="1153"/>
      <c r="H136" s="449" t="s">
        <v>151</v>
      </c>
      <c r="I136" s="450">
        <f>SUM(T:T)</f>
        <v>21</v>
      </c>
      <c r="J136" s="1146"/>
      <c r="K136" s="446"/>
      <c r="L136" s="446"/>
      <c r="M136" s="446"/>
      <c r="N136" s="488"/>
      <c r="O136" s="321"/>
      <c r="P136" s="321"/>
      <c r="Q136" s="321"/>
      <c r="R136" s="321"/>
      <c r="S136" s="321"/>
      <c r="T136" s="321"/>
      <c r="U136" s="321"/>
      <c r="V136" s="321"/>
    </row>
    <row r="137" spans="1:22">
      <c r="A137" s="321"/>
      <c r="B137" s="488"/>
      <c r="C137" s="1609"/>
      <c r="D137" s="1151"/>
      <c r="E137" s="452" t="s">
        <v>152</v>
      </c>
      <c r="F137" s="450">
        <f>COUNTIF(Q:Q,40)</f>
        <v>2</v>
      </c>
      <c r="G137" s="1153"/>
      <c r="H137" s="453" t="s">
        <v>153</v>
      </c>
      <c r="I137" s="450">
        <f>SUMIFS(T:T,Q:Q, 40)</f>
        <v>5</v>
      </c>
      <c r="J137" s="1146"/>
      <c r="K137" s="446"/>
      <c r="L137" s="446"/>
      <c r="M137" s="446"/>
      <c r="N137" s="488"/>
      <c r="O137" s="321"/>
      <c r="P137" s="321"/>
      <c r="Q137" s="321"/>
      <c r="R137" s="321"/>
      <c r="S137" s="321"/>
      <c r="T137" s="321"/>
      <c r="U137" s="321"/>
      <c r="V137" s="321"/>
    </row>
    <row r="138" spans="1:22">
      <c r="A138" s="321"/>
      <c r="B138" s="488"/>
      <c r="C138" s="1609"/>
      <c r="D138" s="1154"/>
      <c r="E138" s="453" t="s">
        <v>154</v>
      </c>
      <c r="F138" s="450">
        <f>COUNTIF(Q:Q,65)</f>
        <v>4</v>
      </c>
      <c r="G138" s="1154"/>
      <c r="H138" s="453" t="s">
        <v>155</v>
      </c>
      <c r="I138" s="450">
        <f>SUMIFS(T:T,Q:Q, 65)</f>
        <v>14</v>
      </c>
      <c r="J138" s="1155"/>
      <c r="K138" s="454"/>
      <c r="L138" s="446"/>
      <c r="M138" s="446"/>
      <c r="N138" s="488"/>
      <c r="O138" s="321"/>
      <c r="P138" s="321"/>
      <c r="Q138" s="321"/>
      <c r="R138" s="321"/>
      <c r="S138" s="321"/>
      <c r="T138" s="321"/>
      <c r="U138" s="321"/>
      <c r="V138" s="321"/>
    </row>
    <row r="139" spans="1:22" ht="16.5" thickBot="1">
      <c r="A139" s="321"/>
      <c r="B139" s="539"/>
      <c r="C139" s="1609"/>
      <c r="D139" s="1154"/>
      <c r="E139" s="455" t="s">
        <v>156</v>
      </c>
      <c r="F139" s="456">
        <f>COUNTIF(Q:Q,64)</f>
        <v>2</v>
      </c>
      <c r="G139" s="1154"/>
      <c r="H139" s="455" t="s">
        <v>157</v>
      </c>
      <c r="I139" s="456">
        <f>SUMIFS(T:T,Q:Q, 64)</f>
        <v>2</v>
      </c>
      <c r="J139" s="1155"/>
      <c r="K139" s="454"/>
      <c r="L139" s="446"/>
      <c r="M139" s="446"/>
      <c r="N139" s="539"/>
      <c r="O139" s="321"/>
      <c r="P139" s="321"/>
      <c r="Q139" s="321"/>
      <c r="R139" s="321"/>
      <c r="S139" s="321"/>
      <c r="T139" s="321"/>
      <c r="U139" s="321"/>
      <c r="V139" s="321"/>
    </row>
    <row r="140" spans="1:22" ht="16.5" customHeight="1" thickBot="1">
      <c r="A140" s="321"/>
      <c r="B140" s="488"/>
      <c r="C140" s="1610"/>
      <c r="D140" s="1156"/>
      <c r="E140" s="1156"/>
      <c r="F140" s="1156"/>
      <c r="G140" s="1156"/>
      <c r="H140" s="1156"/>
      <c r="I140" s="1156"/>
      <c r="J140" s="1157"/>
      <c r="K140" s="458"/>
      <c r="L140" s="446"/>
      <c r="M140" s="446"/>
      <c r="N140" s="488"/>
      <c r="O140" s="321"/>
      <c r="P140" s="321"/>
      <c r="Q140" s="321"/>
      <c r="R140" s="321"/>
      <c r="S140" s="321"/>
      <c r="T140" s="321"/>
      <c r="U140" s="321"/>
      <c r="V140" s="321"/>
    </row>
    <row r="141" spans="1:22" ht="16.5" thickBot="1">
      <c r="A141" s="321"/>
      <c r="B141" s="446"/>
      <c r="C141" s="459"/>
      <c r="D141" s="460"/>
      <c r="E141" s="446"/>
      <c r="F141" s="461"/>
      <c r="G141" s="458"/>
      <c r="H141" s="462"/>
      <c r="I141" s="463"/>
      <c r="J141" s="463"/>
      <c r="K141" s="454"/>
      <c r="L141" s="446"/>
      <c r="M141" s="446"/>
      <c r="N141" s="446"/>
      <c r="O141" s="321"/>
      <c r="P141" s="321"/>
      <c r="Q141" s="321"/>
      <c r="R141" s="321"/>
      <c r="S141" s="321"/>
      <c r="T141" s="321"/>
      <c r="U141" s="321"/>
      <c r="V141" s="321"/>
    </row>
    <row r="142" spans="1:22" ht="16.5" thickBot="1">
      <c r="A142" s="321"/>
      <c r="B142" s="539"/>
      <c r="C142" s="1608" t="s">
        <v>138</v>
      </c>
      <c r="D142" s="1158"/>
      <c r="E142" s="1158"/>
      <c r="F142" s="1158"/>
      <c r="G142" s="1158"/>
      <c r="H142" s="1158"/>
      <c r="I142" s="1158"/>
      <c r="J142" s="1159"/>
      <c r="K142" s="446"/>
      <c r="L142" s="446"/>
      <c r="M142" s="446"/>
      <c r="N142" s="539"/>
      <c r="O142" s="321"/>
      <c r="P142" s="321"/>
      <c r="Q142" s="321"/>
      <c r="R142" s="321"/>
      <c r="S142" s="321"/>
      <c r="T142" s="321"/>
      <c r="U142" s="321"/>
      <c r="V142" s="321"/>
    </row>
    <row r="143" spans="1:22">
      <c r="A143" s="321"/>
      <c r="B143" s="488"/>
      <c r="C143" s="1609"/>
      <c r="D143" s="1154"/>
      <c r="E143" s="1617" t="s">
        <v>237</v>
      </c>
      <c r="F143" s="1618"/>
      <c r="G143" s="1618"/>
      <c r="H143" s="1618"/>
      <c r="I143" s="1619"/>
      <c r="J143" s="1155"/>
      <c r="K143" s="446"/>
      <c r="L143" s="446"/>
      <c r="M143" s="446"/>
      <c r="N143" s="488"/>
      <c r="O143" s="321"/>
      <c r="P143" s="321"/>
      <c r="Q143" s="321"/>
      <c r="R143" s="321"/>
      <c r="S143" s="321"/>
      <c r="T143" s="321"/>
      <c r="U143" s="321"/>
      <c r="V143" s="321"/>
    </row>
    <row r="144" spans="1:22">
      <c r="A144" s="321"/>
      <c r="B144" s="488"/>
      <c r="C144" s="1609"/>
      <c r="D144" s="1154"/>
      <c r="E144" s="464" t="s">
        <v>72</v>
      </c>
      <c r="F144" s="465" t="s">
        <v>159</v>
      </c>
      <c r="G144" s="466" t="s">
        <v>143</v>
      </c>
      <c r="H144" s="466" t="s">
        <v>132</v>
      </c>
      <c r="I144" s="467" t="s">
        <v>134</v>
      </c>
      <c r="J144" s="1155"/>
      <c r="K144" s="446"/>
      <c r="L144" s="446"/>
      <c r="M144" s="446"/>
      <c r="N144" s="488"/>
      <c r="O144" s="321"/>
      <c r="P144" s="321"/>
      <c r="Q144" s="321"/>
      <c r="R144" s="321"/>
      <c r="S144" s="321"/>
      <c r="T144" s="321"/>
      <c r="U144" s="321"/>
      <c r="V144" s="321"/>
    </row>
    <row r="145" spans="1:22">
      <c r="A145" s="321"/>
      <c r="B145" s="446"/>
      <c r="C145" s="1609"/>
      <c r="D145" s="1154"/>
      <c r="E145" s="468" t="s">
        <v>47</v>
      </c>
      <c r="F145" s="1160">
        <f t="shared" ref="F145:F152" si="0">COUNTIFS(I$11:I$123, E145)</f>
        <v>12</v>
      </c>
      <c r="G145" s="1161">
        <f t="shared" ref="G145:G152" si="1">COUNTIFS(G$11:G$123,40,I$11:I$123, E145)</f>
        <v>1</v>
      </c>
      <c r="H145" s="1162">
        <f t="shared" ref="H145:H152" si="2">COUNTIFS(G$11:G$123,65,I$11:I$123, E145)</f>
        <v>4</v>
      </c>
      <c r="I145" s="1163">
        <f t="shared" ref="I145:I152" si="3">COUNTIFS(G$11:G$123,64,I$11:I$123, E145)</f>
        <v>7</v>
      </c>
      <c r="J145" s="1155"/>
      <c r="K145" s="446"/>
      <c r="L145" s="446"/>
      <c r="M145" s="446"/>
      <c r="N145" s="446"/>
      <c r="O145" s="321"/>
      <c r="P145" s="321"/>
      <c r="Q145" s="321"/>
      <c r="R145" s="321"/>
      <c r="S145" s="321"/>
      <c r="T145" s="321"/>
      <c r="U145" s="321"/>
      <c r="V145" s="321"/>
    </row>
    <row r="146" spans="1:22">
      <c r="A146" s="321"/>
      <c r="B146" s="446"/>
      <c r="C146" s="1609"/>
      <c r="D146" s="1154"/>
      <c r="E146" s="469" t="s">
        <v>48</v>
      </c>
      <c r="F146" s="1160">
        <f t="shared" si="0"/>
        <v>0</v>
      </c>
      <c r="G146" s="1161">
        <f t="shared" si="1"/>
        <v>0</v>
      </c>
      <c r="H146" s="1162">
        <f t="shared" si="2"/>
        <v>0</v>
      </c>
      <c r="I146" s="1163">
        <f t="shared" si="3"/>
        <v>0</v>
      </c>
      <c r="J146" s="1155"/>
      <c r="K146" s="446"/>
      <c r="L146" s="446"/>
      <c r="M146" s="446"/>
      <c r="N146" s="446"/>
      <c r="O146" s="321"/>
      <c r="P146" s="321"/>
      <c r="Q146" s="321"/>
      <c r="R146" s="321"/>
      <c r="S146" s="321"/>
      <c r="T146" s="321"/>
      <c r="U146" s="321"/>
      <c r="V146" s="321"/>
    </row>
    <row r="147" spans="1:22">
      <c r="A147" s="321"/>
      <c r="B147" s="446"/>
      <c r="C147" s="1609"/>
      <c r="D147" s="1154"/>
      <c r="E147" s="469" t="s">
        <v>49</v>
      </c>
      <c r="F147" s="1160">
        <f t="shared" si="0"/>
        <v>1</v>
      </c>
      <c r="G147" s="1161">
        <f t="shared" si="1"/>
        <v>1</v>
      </c>
      <c r="H147" s="1162">
        <f t="shared" si="2"/>
        <v>0</v>
      </c>
      <c r="I147" s="1163">
        <f t="shared" si="3"/>
        <v>0</v>
      </c>
      <c r="J147" s="1155"/>
      <c r="K147" s="446"/>
      <c r="L147" s="446"/>
      <c r="M147" s="446"/>
      <c r="N147" s="446"/>
      <c r="O147" s="321"/>
      <c r="P147" s="321"/>
      <c r="Q147" s="321"/>
      <c r="R147" s="321"/>
      <c r="S147" s="321"/>
      <c r="T147" s="321"/>
      <c r="U147" s="321"/>
      <c r="V147" s="321"/>
    </row>
    <row r="148" spans="1:22">
      <c r="A148" s="321"/>
      <c r="B148" s="488"/>
      <c r="C148" s="1609"/>
      <c r="D148" s="1154"/>
      <c r="E148" s="469" t="s">
        <v>50</v>
      </c>
      <c r="F148" s="1160">
        <f t="shared" si="0"/>
        <v>6</v>
      </c>
      <c r="G148" s="1161">
        <f t="shared" si="1"/>
        <v>0</v>
      </c>
      <c r="H148" s="1162">
        <f t="shared" si="2"/>
        <v>6</v>
      </c>
      <c r="I148" s="1163">
        <f t="shared" si="3"/>
        <v>0</v>
      </c>
      <c r="J148" s="1155"/>
      <c r="K148" s="446"/>
      <c r="L148" s="446"/>
      <c r="M148" s="446"/>
      <c r="N148" s="488"/>
      <c r="O148" s="321"/>
      <c r="P148" s="321"/>
      <c r="Q148" s="321"/>
      <c r="R148" s="321"/>
      <c r="S148" s="321"/>
      <c r="T148" s="321"/>
      <c r="U148" s="321"/>
      <c r="V148" s="321"/>
    </row>
    <row r="149" spans="1:22" ht="16.5" customHeight="1">
      <c r="A149" s="321"/>
      <c r="B149" s="488"/>
      <c r="C149" s="1609"/>
      <c r="D149" s="1154"/>
      <c r="E149" s="469" t="s">
        <v>51</v>
      </c>
      <c r="F149" s="1160">
        <f t="shared" si="0"/>
        <v>10</v>
      </c>
      <c r="G149" s="1161">
        <f t="shared" si="1"/>
        <v>4</v>
      </c>
      <c r="H149" s="1162">
        <f t="shared" si="2"/>
        <v>4</v>
      </c>
      <c r="I149" s="1163">
        <f t="shared" si="3"/>
        <v>2</v>
      </c>
      <c r="J149" s="1155"/>
      <c r="K149" s="446"/>
      <c r="L149" s="446"/>
      <c r="M149" s="446"/>
      <c r="N149" s="488"/>
      <c r="O149" s="321"/>
      <c r="P149" s="321"/>
      <c r="Q149" s="321"/>
      <c r="R149" s="321"/>
      <c r="S149" s="321"/>
      <c r="T149" s="321"/>
      <c r="U149" s="321"/>
      <c r="V149" s="321"/>
    </row>
    <row r="150" spans="1:22">
      <c r="A150" s="321"/>
      <c r="B150" s="488"/>
      <c r="C150" s="1609"/>
      <c r="D150" s="1154"/>
      <c r="E150" s="469" t="s">
        <v>52</v>
      </c>
      <c r="F150" s="1160">
        <f t="shared" si="0"/>
        <v>19</v>
      </c>
      <c r="G150" s="1161">
        <f t="shared" si="1"/>
        <v>3</v>
      </c>
      <c r="H150" s="1162">
        <f t="shared" si="2"/>
        <v>16</v>
      </c>
      <c r="I150" s="1163">
        <f t="shared" si="3"/>
        <v>0</v>
      </c>
      <c r="J150" s="1155"/>
      <c r="K150" s="446"/>
      <c r="L150" s="446"/>
      <c r="M150" s="446"/>
      <c r="N150" s="488"/>
      <c r="O150" s="321"/>
      <c r="P150" s="321"/>
      <c r="Q150" s="321"/>
      <c r="R150" s="321"/>
      <c r="S150" s="321"/>
      <c r="T150" s="321"/>
      <c r="U150" s="321"/>
      <c r="V150" s="321"/>
    </row>
    <row r="151" spans="1:22">
      <c r="A151" s="321"/>
      <c r="B151" s="446"/>
      <c r="C151" s="1609"/>
      <c r="D151" s="1154"/>
      <c r="E151" s="469" t="s">
        <v>53</v>
      </c>
      <c r="F151" s="1160">
        <f t="shared" si="0"/>
        <v>6</v>
      </c>
      <c r="G151" s="1161">
        <f t="shared" si="1"/>
        <v>0</v>
      </c>
      <c r="H151" s="1162">
        <f t="shared" si="2"/>
        <v>6</v>
      </c>
      <c r="I151" s="1163">
        <f t="shared" si="3"/>
        <v>0</v>
      </c>
      <c r="J151" s="1155"/>
      <c r="K151" s="446"/>
      <c r="L151" s="446"/>
      <c r="M151" s="446"/>
      <c r="N151" s="446"/>
      <c r="O151" s="321"/>
      <c r="P151" s="321"/>
      <c r="Q151" s="321"/>
      <c r="R151" s="321"/>
      <c r="S151" s="321"/>
      <c r="T151" s="321"/>
      <c r="U151" s="321"/>
      <c r="V151" s="321"/>
    </row>
    <row r="152" spans="1:22" ht="16.5" thickBot="1">
      <c r="A152" s="321"/>
      <c r="B152" s="488"/>
      <c r="C152" s="1609"/>
      <c r="D152" s="1154"/>
      <c r="E152" s="470" t="s">
        <v>54</v>
      </c>
      <c r="F152" s="1164">
        <f t="shared" si="0"/>
        <v>0</v>
      </c>
      <c r="G152" s="1165">
        <f t="shared" si="1"/>
        <v>0</v>
      </c>
      <c r="H152" s="1166">
        <f t="shared" si="2"/>
        <v>0</v>
      </c>
      <c r="I152" s="1167">
        <f t="shared" si="3"/>
        <v>0</v>
      </c>
      <c r="J152" s="1155"/>
      <c r="K152" s="446"/>
      <c r="L152" s="446"/>
      <c r="M152" s="446"/>
      <c r="N152" s="488"/>
      <c r="O152" s="321"/>
      <c r="P152" s="321"/>
      <c r="Q152" s="321"/>
      <c r="R152" s="321"/>
      <c r="S152" s="321"/>
      <c r="T152" s="321"/>
      <c r="U152" s="321"/>
      <c r="V152" s="321"/>
    </row>
    <row r="153" spans="1:22">
      <c r="A153" s="321"/>
      <c r="B153" s="446"/>
      <c r="C153" s="1609"/>
      <c r="D153" s="1154"/>
      <c r="E153" s="1154"/>
      <c r="F153" s="1154"/>
      <c r="G153" s="1154"/>
      <c r="H153" s="1154"/>
      <c r="I153" s="1154"/>
      <c r="J153" s="1155"/>
      <c r="K153" s="446"/>
      <c r="L153" s="446"/>
      <c r="M153" s="446"/>
      <c r="N153" s="446"/>
      <c r="O153" s="321"/>
      <c r="P153" s="321"/>
      <c r="Q153" s="321"/>
      <c r="R153" s="321"/>
      <c r="S153" s="321"/>
      <c r="T153" s="321"/>
      <c r="U153" s="321"/>
      <c r="V153" s="321"/>
    </row>
    <row r="154" spans="1:22" ht="16.5" thickBot="1">
      <c r="A154" s="321"/>
      <c r="B154" s="488"/>
      <c r="C154" s="1610"/>
      <c r="D154" s="1156"/>
      <c r="E154" s="1156"/>
      <c r="F154" s="1156"/>
      <c r="G154" s="1156"/>
      <c r="H154" s="1156"/>
      <c r="I154" s="1156"/>
      <c r="J154" s="1157"/>
      <c r="K154" s="446"/>
      <c r="L154" s="446"/>
      <c r="M154" s="446"/>
      <c r="N154" s="488"/>
      <c r="O154" s="321"/>
      <c r="P154" s="321"/>
      <c r="Q154" s="321"/>
      <c r="R154" s="321"/>
      <c r="S154" s="321"/>
      <c r="T154" s="321"/>
      <c r="U154" s="321"/>
      <c r="V154" s="321"/>
    </row>
    <row r="155" spans="1:22">
      <c r="A155" s="321"/>
      <c r="B155" s="488"/>
      <c r="C155" s="446"/>
      <c r="D155" s="446"/>
      <c r="E155" s="446"/>
      <c r="F155" s="446"/>
      <c r="G155" s="446"/>
      <c r="H155" s="446"/>
      <c r="I155" s="446"/>
      <c r="J155" s="446"/>
      <c r="K155" s="446"/>
      <c r="L155" s="446"/>
      <c r="M155" s="446"/>
      <c r="N155" s="488"/>
      <c r="O155" s="321"/>
      <c r="P155" s="321"/>
      <c r="Q155" s="321"/>
      <c r="R155" s="321"/>
      <c r="S155" s="321"/>
      <c r="T155" s="321"/>
      <c r="U155" s="321"/>
      <c r="V155" s="321"/>
    </row>
    <row r="156" spans="1:22" ht="16.5" thickBot="1">
      <c r="A156" s="321"/>
      <c r="B156" s="488"/>
      <c r="C156" s="446"/>
      <c r="D156" s="446"/>
      <c r="E156" s="446"/>
      <c r="F156" s="446"/>
      <c r="G156" s="446"/>
      <c r="H156" s="446"/>
      <c r="I156" s="446"/>
      <c r="J156" s="446"/>
      <c r="K156" s="446"/>
      <c r="L156" s="446"/>
      <c r="M156" s="446"/>
      <c r="N156" s="488"/>
      <c r="O156" s="321"/>
      <c r="P156" s="321"/>
      <c r="Q156" s="321"/>
      <c r="R156" s="321"/>
      <c r="S156" s="321"/>
      <c r="T156" s="321"/>
      <c r="U156" s="321"/>
      <c r="V156" s="321"/>
    </row>
    <row r="157" spans="1:22" ht="16.5" thickBot="1">
      <c r="A157" s="321"/>
      <c r="B157" s="488"/>
      <c r="C157" s="1600" t="s">
        <v>138</v>
      </c>
      <c r="D157" s="471"/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  <c r="O157" s="321"/>
      <c r="P157" s="321"/>
      <c r="Q157" s="321"/>
      <c r="R157" s="321"/>
      <c r="S157" s="321"/>
      <c r="T157" s="321"/>
      <c r="U157" s="321"/>
      <c r="V157" s="321"/>
    </row>
    <row r="158" spans="1:22">
      <c r="A158" s="321"/>
      <c r="B158" s="488"/>
      <c r="C158" s="1601"/>
      <c r="D158" s="474"/>
      <c r="E158" s="1220" t="s">
        <v>160</v>
      </c>
      <c r="F158" s="1221"/>
      <c r="G158" s="1221"/>
      <c r="H158" s="1221"/>
      <c r="I158" s="1221"/>
      <c r="J158" s="1221"/>
      <c r="K158" s="1221"/>
      <c r="L158" s="1221"/>
      <c r="M158" s="1222"/>
      <c r="N158" s="1168"/>
      <c r="O158" s="321"/>
      <c r="P158" s="321"/>
      <c r="Q158" s="321"/>
      <c r="R158" s="321"/>
      <c r="S158" s="321"/>
      <c r="T158" s="321"/>
      <c r="U158" s="321"/>
      <c r="V158" s="321"/>
    </row>
    <row r="159" spans="1:22">
      <c r="A159" s="321"/>
      <c r="B159" s="488"/>
      <c r="C159" s="1601"/>
      <c r="D159" s="474"/>
      <c r="E159" s="1223"/>
      <c r="F159" s="1224"/>
      <c r="G159" s="1224"/>
      <c r="H159" s="1224"/>
      <c r="I159" s="1224"/>
      <c r="J159" s="1224"/>
      <c r="K159" s="1224"/>
      <c r="L159" s="1224"/>
      <c r="M159" s="1225"/>
      <c r="N159" s="475"/>
      <c r="O159" s="321"/>
      <c r="P159" s="321"/>
      <c r="Q159" s="321"/>
      <c r="R159" s="321"/>
      <c r="S159" s="321"/>
      <c r="T159" s="321"/>
      <c r="U159" s="321"/>
      <c r="V159" s="321"/>
    </row>
    <row r="160" spans="1:22">
      <c r="A160" s="321"/>
      <c r="B160" s="488"/>
      <c r="C160" s="1601"/>
      <c r="D160" s="474"/>
      <c r="E160" s="464" t="s">
        <v>161</v>
      </c>
      <c r="F160" s="1603" t="s">
        <v>159</v>
      </c>
      <c r="G160" s="1604"/>
      <c r="H160" s="1605" t="s">
        <v>143</v>
      </c>
      <c r="I160" s="1606"/>
      <c r="J160" s="1030" t="s">
        <v>162</v>
      </c>
      <c r="K160" s="1031"/>
      <c r="L160" s="1605" t="s">
        <v>163</v>
      </c>
      <c r="M160" s="1607"/>
      <c r="N160" s="475"/>
      <c r="O160" s="321"/>
      <c r="P160" s="321"/>
      <c r="Q160" s="321"/>
      <c r="R160" s="321"/>
      <c r="S160" s="321"/>
      <c r="T160" s="321"/>
      <c r="U160" s="321"/>
      <c r="V160" s="321"/>
    </row>
    <row r="161" spans="1:22">
      <c r="A161" s="321"/>
      <c r="B161" s="446"/>
      <c r="C161" s="1601"/>
      <c r="D161" s="474"/>
      <c r="E161" s="476" t="s">
        <v>47</v>
      </c>
      <c r="F161" s="1169">
        <f t="shared" ref="F161:G168" si="4">SUM(H161,J161,L161)</f>
        <v>12</v>
      </c>
      <c r="G161" s="1170">
        <f t="shared" si="4"/>
        <v>0</v>
      </c>
      <c r="H161" s="1169">
        <f t="shared" ref="H161:H168" si="5">COUNTIFS(I$1:I$123, E161,J$1:J$123, "Positif",G$1:G$123, 40)</f>
        <v>1</v>
      </c>
      <c r="I161" s="1170">
        <f t="shared" ref="I161:I168" si="6">COUNTIFS(I$1:I$123,E161,J$1:J$123,"Negatif",G$1:G$123,40)+COUNTIFS(I$1:I$123,E161,J$1:J$123,"Négatif",G$1:G$123,40)</f>
        <v>0</v>
      </c>
      <c r="J161" s="1169">
        <f t="shared" ref="J161:J168" si="7">COUNTIFS(I$1:I$123, E161,J$1:J$123, "Positif",G$1:G$123, 65)</f>
        <v>4</v>
      </c>
      <c r="K161" s="1170">
        <f t="shared" ref="K161:K168" si="8">COUNTIFS(I$1:I$123,E161,J$1:J$123,"Negatif",G$1:G$123,65)+COUNTIFS(I$1:I$123,E161,J$1:J$123,"Négatif",G$1:G$123,65)</f>
        <v>0</v>
      </c>
      <c r="L161" s="1169">
        <f t="shared" ref="L161:L168" si="9">COUNTIFS(I$1:I$123, E161,J$1:J$123, "Positif",G$1:G$123,64)</f>
        <v>7</v>
      </c>
      <c r="M161" s="1171">
        <f t="shared" ref="M161:M168" si="10">COUNTIFS(I$1:I$123,E161,J$1:J$123,"Negatif",G$1:G$123,64)+COUNTIFS(I$1:I$123,E161,J$1:J$123,"Négatif",G$1:G$123,64)</f>
        <v>0</v>
      </c>
      <c r="N161" s="475"/>
      <c r="O161" s="321"/>
      <c r="P161" s="321"/>
      <c r="Q161" s="321"/>
      <c r="R161" s="321"/>
      <c r="S161" s="321"/>
      <c r="T161" s="321"/>
      <c r="U161" s="321"/>
      <c r="V161" s="321"/>
    </row>
    <row r="162" spans="1:22">
      <c r="A162" s="321"/>
      <c r="B162" s="446"/>
      <c r="C162" s="1601"/>
      <c r="D162" s="474"/>
      <c r="E162" s="476" t="s">
        <v>48</v>
      </c>
      <c r="F162" s="1169">
        <f t="shared" si="4"/>
        <v>0</v>
      </c>
      <c r="G162" s="1170">
        <f t="shared" si="4"/>
        <v>0</v>
      </c>
      <c r="H162" s="1169">
        <f t="shared" si="5"/>
        <v>0</v>
      </c>
      <c r="I162" s="1170">
        <f t="shared" si="6"/>
        <v>0</v>
      </c>
      <c r="J162" s="1169">
        <f t="shared" si="7"/>
        <v>0</v>
      </c>
      <c r="K162" s="1170">
        <f t="shared" si="8"/>
        <v>0</v>
      </c>
      <c r="L162" s="1169">
        <f t="shared" si="9"/>
        <v>0</v>
      </c>
      <c r="M162" s="1171">
        <f t="shared" si="10"/>
        <v>0</v>
      </c>
      <c r="N162" s="475"/>
      <c r="O162" s="321"/>
      <c r="P162" s="321"/>
      <c r="Q162" s="321"/>
      <c r="R162" s="321"/>
      <c r="S162" s="321"/>
      <c r="T162" s="321"/>
      <c r="U162" s="321"/>
      <c r="V162" s="321"/>
    </row>
    <row r="163" spans="1:22">
      <c r="A163" s="321"/>
      <c r="B163" s="446"/>
      <c r="C163" s="1601"/>
      <c r="D163" s="474"/>
      <c r="E163" s="476" t="s">
        <v>49</v>
      </c>
      <c r="F163" s="1169">
        <f t="shared" si="4"/>
        <v>1</v>
      </c>
      <c r="G163" s="1170">
        <f t="shared" si="4"/>
        <v>0</v>
      </c>
      <c r="H163" s="1169">
        <f t="shared" si="5"/>
        <v>1</v>
      </c>
      <c r="I163" s="1170">
        <f t="shared" si="6"/>
        <v>0</v>
      </c>
      <c r="J163" s="1169">
        <f t="shared" si="7"/>
        <v>0</v>
      </c>
      <c r="K163" s="1170">
        <f t="shared" si="8"/>
        <v>0</v>
      </c>
      <c r="L163" s="1169">
        <f t="shared" si="9"/>
        <v>0</v>
      </c>
      <c r="M163" s="1171">
        <f t="shared" si="10"/>
        <v>0</v>
      </c>
      <c r="N163" s="475"/>
      <c r="O163" s="321"/>
      <c r="P163" s="321"/>
      <c r="Q163" s="321"/>
      <c r="R163" s="321"/>
      <c r="S163" s="321"/>
      <c r="T163" s="321"/>
      <c r="U163" s="321"/>
      <c r="V163" s="321"/>
    </row>
    <row r="164" spans="1:22" ht="16.5" customHeight="1">
      <c r="A164" s="321"/>
      <c r="B164" s="446"/>
      <c r="C164" s="1601"/>
      <c r="D164" s="474"/>
      <c r="E164" s="476" t="s">
        <v>50</v>
      </c>
      <c r="F164" s="1169">
        <f t="shared" si="4"/>
        <v>2</v>
      </c>
      <c r="G164" s="1170">
        <f t="shared" si="4"/>
        <v>4</v>
      </c>
      <c r="H164" s="1169">
        <f t="shared" si="5"/>
        <v>0</v>
      </c>
      <c r="I164" s="1170">
        <f t="shared" si="6"/>
        <v>0</v>
      </c>
      <c r="J164" s="1169">
        <f t="shared" si="7"/>
        <v>2</v>
      </c>
      <c r="K164" s="1170">
        <f t="shared" si="8"/>
        <v>4</v>
      </c>
      <c r="L164" s="1169">
        <f t="shared" si="9"/>
        <v>0</v>
      </c>
      <c r="M164" s="1171">
        <f t="shared" si="10"/>
        <v>0</v>
      </c>
      <c r="N164" s="475"/>
      <c r="O164" s="321"/>
      <c r="P164" s="321"/>
      <c r="Q164" s="321"/>
      <c r="R164" s="321"/>
      <c r="S164" s="321"/>
      <c r="T164" s="321"/>
      <c r="U164" s="321"/>
      <c r="V164" s="321"/>
    </row>
    <row r="165" spans="1:22">
      <c r="A165" s="321"/>
      <c r="B165" s="488"/>
      <c r="C165" s="1601"/>
      <c r="D165" s="474"/>
      <c r="E165" s="476" t="s">
        <v>51</v>
      </c>
      <c r="F165" s="1169">
        <f t="shared" si="4"/>
        <v>10</v>
      </c>
      <c r="G165" s="1170">
        <f t="shared" si="4"/>
        <v>0</v>
      </c>
      <c r="H165" s="1169">
        <f t="shared" si="5"/>
        <v>4</v>
      </c>
      <c r="I165" s="1170">
        <f t="shared" si="6"/>
        <v>0</v>
      </c>
      <c r="J165" s="1169">
        <f t="shared" si="7"/>
        <v>4</v>
      </c>
      <c r="K165" s="1170">
        <f t="shared" si="8"/>
        <v>0</v>
      </c>
      <c r="L165" s="1169">
        <f t="shared" si="9"/>
        <v>2</v>
      </c>
      <c r="M165" s="1171">
        <f t="shared" si="10"/>
        <v>0</v>
      </c>
      <c r="N165" s="475"/>
      <c r="O165" s="321"/>
      <c r="P165" s="321"/>
      <c r="Q165" s="321"/>
      <c r="R165" s="321"/>
      <c r="S165" s="321"/>
      <c r="T165" s="321"/>
      <c r="U165" s="321"/>
      <c r="V165" s="321"/>
    </row>
    <row r="166" spans="1:22">
      <c r="A166" s="321"/>
      <c r="B166" s="488"/>
      <c r="C166" s="1601"/>
      <c r="D166" s="474"/>
      <c r="E166" s="476" t="s">
        <v>52</v>
      </c>
      <c r="F166" s="1169">
        <f t="shared" si="4"/>
        <v>19</v>
      </c>
      <c r="G166" s="1170">
        <f t="shared" si="4"/>
        <v>0</v>
      </c>
      <c r="H166" s="1169">
        <f t="shared" si="5"/>
        <v>3</v>
      </c>
      <c r="I166" s="1170">
        <f t="shared" si="6"/>
        <v>0</v>
      </c>
      <c r="J166" s="1169">
        <f t="shared" si="7"/>
        <v>16</v>
      </c>
      <c r="K166" s="1170">
        <f t="shared" si="8"/>
        <v>0</v>
      </c>
      <c r="L166" s="1169">
        <f t="shared" si="9"/>
        <v>0</v>
      </c>
      <c r="M166" s="1171">
        <f t="shared" si="10"/>
        <v>0</v>
      </c>
      <c r="N166" s="475"/>
      <c r="O166" s="321"/>
      <c r="P166" s="321"/>
      <c r="Q166" s="321"/>
      <c r="R166" s="321"/>
      <c r="S166" s="321"/>
      <c r="T166" s="321"/>
      <c r="U166" s="321"/>
      <c r="V166" s="321"/>
    </row>
    <row r="167" spans="1:22">
      <c r="A167" s="321"/>
      <c r="B167" s="488"/>
      <c r="C167" s="1601"/>
      <c r="D167" s="474"/>
      <c r="E167" s="476" t="s">
        <v>53</v>
      </c>
      <c r="F167" s="1169">
        <f t="shared" si="4"/>
        <v>1</v>
      </c>
      <c r="G167" s="1170">
        <f t="shared" si="4"/>
        <v>5</v>
      </c>
      <c r="H167" s="1169">
        <f t="shared" si="5"/>
        <v>0</v>
      </c>
      <c r="I167" s="1170">
        <f t="shared" si="6"/>
        <v>0</v>
      </c>
      <c r="J167" s="1169">
        <f t="shared" si="7"/>
        <v>1</v>
      </c>
      <c r="K167" s="1170">
        <f t="shared" si="8"/>
        <v>5</v>
      </c>
      <c r="L167" s="1169">
        <f t="shared" si="9"/>
        <v>0</v>
      </c>
      <c r="M167" s="1171">
        <f t="shared" si="10"/>
        <v>0</v>
      </c>
      <c r="N167" s="475"/>
      <c r="O167" s="321"/>
      <c r="P167" s="321"/>
      <c r="Q167" s="321"/>
      <c r="R167" s="321"/>
      <c r="S167" s="321"/>
      <c r="T167" s="321"/>
      <c r="U167" s="321"/>
      <c r="V167" s="321"/>
    </row>
    <row r="168" spans="1:22" ht="16.5" thickBot="1">
      <c r="A168" s="321"/>
      <c r="B168" s="488"/>
      <c r="C168" s="1601"/>
      <c r="D168" s="474"/>
      <c r="E168" s="477" t="s">
        <v>54</v>
      </c>
      <c r="F168" s="1172">
        <f t="shared" si="4"/>
        <v>0</v>
      </c>
      <c r="G168" s="1173">
        <f t="shared" si="4"/>
        <v>0</v>
      </c>
      <c r="H168" s="1172">
        <f t="shared" si="5"/>
        <v>0</v>
      </c>
      <c r="I168" s="1173">
        <f t="shared" si="6"/>
        <v>0</v>
      </c>
      <c r="J168" s="1172">
        <f t="shared" si="7"/>
        <v>0</v>
      </c>
      <c r="K168" s="1173">
        <f t="shared" si="8"/>
        <v>0</v>
      </c>
      <c r="L168" s="1172">
        <f t="shared" si="9"/>
        <v>0</v>
      </c>
      <c r="M168" s="1174">
        <f t="shared" si="10"/>
        <v>0</v>
      </c>
      <c r="N168" s="475"/>
      <c r="O168" s="321"/>
      <c r="P168" s="321"/>
      <c r="Q168" s="321"/>
      <c r="R168" s="321"/>
      <c r="S168" s="321"/>
      <c r="T168" s="321"/>
      <c r="U168" s="321"/>
      <c r="V168" s="321"/>
    </row>
    <row r="169" spans="1:22">
      <c r="A169" s="321"/>
      <c r="B169" s="488"/>
      <c r="C169" s="1601"/>
      <c r="D169" s="474"/>
      <c r="E169" s="478"/>
      <c r="F169" s="479"/>
      <c r="G169" s="479"/>
      <c r="H169" s="479"/>
      <c r="I169" s="479"/>
      <c r="J169" s="480"/>
      <c r="K169" s="480"/>
      <c r="L169" s="480"/>
      <c r="M169" s="480"/>
      <c r="N169" s="475"/>
      <c r="O169" s="321"/>
      <c r="P169" s="321"/>
      <c r="Q169" s="321"/>
      <c r="R169" s="321"/>
      <c r="S169" s="321"/>
      <c r="T169" s="321"/>
      <c r="U169" s="321"/>
      <c r="V169" s="321"/>
    </row>
    <row r="170" spans="1:22" ht="16.5" thickBot="1">
      <c r="A170" s="321"/>
      <c r="B170" s="488"/>
      <c r="C170" s="1602"/>
      <c r="D170" s="481"/>
      <c r="E170" s="482"/>
      <c r="F170" s="482"/>
      <c r="G170" s="482"/>
      <c r="H170" s="482"/>
      <c r="I170" s="482"/>
      <c r="J170" s="482"/>
      <c r="K170" s="482"/>
      <c r="L170" s="482"/>
      <c r="M170" s="482"/>
      <c r="N170" s="483"/>
      <c r="O170" s="321"/>
      <c r="P170" s="321"/>
      <c r="Q170" s="321"/>
      <c r="R170" s="321"/>
      <c r="S170" s="321"/>
      <c r="T170" s="321"/>
      <c r="U170" s="321"/>
      <c r="V170" s="321"/>
    </row>
    <row r="171" spans="1:22">
      <c r="A171" s="321"/>
      <c r="B171" s="321"/>
      <c r="C171" s="322"/>
      <c r="D171" s="323"/>
      <c r="E171" s="324"/>
      <c r="F171" s="321"/>
      <c r="G171" s="325"/>
      <c r="H171" s="321"/>
      <c r="I171" s="321"/>
      <c r="J171" s="322"/>
      <c r="K171" s="321"/>
      <c r="L171" s="360"/>
      <c r="M171" s="392"/>
      <c r="N171" s="321"/>
      <c r="O171" s="321"/>
      <c r="P171" s="321"/>
      <c r="Q171" s="321"/>
      <c r="R171" s="321"/>
      <c r="S171" s="321"/>
      <c r="T171" s="321"/>
      <c r="U171" s="321"/>
      <c r="V171" s="321"/>
    </row>
    <row r="172" spans="1:22">
      <c r="A172" s="321"/>
      <c r="B172" s="321"/>
      <c r="C172" s="322"/>
      <c r="D172" s="323"/>
      <c r="E172" s="324"/>
      <c r="F172" s="321"/>
      <c r="G172" s="325"/>
      <c r="H172" s="321"/>
      <c r="I172" s="321"/>
      <c r="J172" s="322"/>
      <c r="K172" s="321"/>
      <c r="L172" s="360"/>
      <c r="M172" s="392"/>
      <c r="N172" s="321"/>
      <c r="O172" s="321"/>
      <c r="P172" s="321"/>
      <c r="Q172" s="321"/>
      <c r="R172" s="321"/>
      <c r="S172" s="321"/>
      <c r="T172" s="321"/>
      <c r="U172" s="321"/>
      <c r="V172" s="321"/>
    </row>
    <row r="173" spans="1:22">
      <c r="A173" s="321"/>
      <c r="B173" s="321"/>
      <c r="C173" s="322"/>
      <c r="D173" s="323"/>
      <c r="E173" s="324"/>
      <c r="F173" s="321"/>
      <c r="G173" s="325"/>
      <c r="H173" s="321"/>
      <c r="I173" s="321"/>
      <c r="J173" s="322"/>
      <c r="K173" s="321"/>
      <c r="L173" s="360"/>
      <c r="M173" s="392"/>
      <c r="N173" s="321"/>
      <c r="O173" s="321"/>
      <c r="P173" s="321"/>
      <c r="Q173" s="321"/>
      <c r="R173" s="321"/>
      <c r="S173" s="321"/>
      <c r="T173" s="321"/>
      <c r="U173" s="321"/>
      <c r="V173" s="321"/>
    </row>
    <row r="174" spans="1:22">
      <c r="A174" s="321"/>
      <c r="B174" s="321"/>
      <c r="C174" s="322"/>
      <c r="D174" s="323"/>
      <c r="E174" s="324"/>
      <c r="F174" s="321"/>
      <c r="G174" s="325"/>
      <c r="H174" s="321"/>
      <c r="I174" s="321"/>
      <c r="J174" s="322"/>
      <c r="K174" s="321"/>
      <c r="L174" s="360"/>
      <c r="M174" s="392"/>
      <c r="N174" s="321"/>
      <c r="O174" s="321"/>
      <c r="P174" s="321"/>
      <c r="Q174" s="321"/>
      <c r="R174" s="321"/>
      <c r="S174" s="321"/>
      <c r="T174" s="321"/>
      <c r="U174" s="321"/>
      <c r="V174" s="321"/>
    </row>
    <row r="175" spans="1:22">
      <c r="A175" s="321"/>
      <c r="B175" s="321"/>
      <c r="C175" s="322"/>
      <c r="D175" s="323"/>
      <c r="E175" s="324"/>
      <c r="F175" s="321"/>
      <c r="G175" s="325"/>
      <c r="H175" s="321"/>
      <c r="I175" s="321"/>
      <c r="J175" s="322"/>
      <c r="K175" s="321"/>
      <c r="L175" s="360"/>
      <c r="M175" s="392"/>
      <c r="N175" s="321"/>
      <c r="O175" s="321"/>
      <c r="P175" s="321"/>
      <c r="Q175" s="321"/>
      <c r="R175" s="321"/>
      <c r="S175" s="321"/>
      <c r="T175" s="321"/>
      <c r="U175" s="321"/>
      <c r="V175" s="321"/>
    </row>
    <row r="176" spans="1:22">
      <c r="A176" s="321"/>
      <c r="B176" s="321"/>
      <c r="C176" s="322"/>
      <c r="D176" s="323"/>
      <c r="E176" s="324"/>
      <c r="F176" s="321"/>
      <c r="G176" s="325"/>
      <c r="H176" s="321"/>
      <c r="I176" s="321"/>
      <c r="J176" s="322"/>
      <c r="K176" s="321"/>
      <c r="L176" s="360"/>
      <c r="M176" s="392"/>
      <c r="N176" s="321"/>
      <c r="O176" s="321"/>
      <c r="P176" s="321"/>
      <c r="Q176" s="321"/>
      <c r="R176" s="321"/>
      <c r="S176" s="321"/>
      <c r="T176" s="321"/>
      <c r="U176" s="321"/>
      <c r="V176" s="321"/>
    </row>
    <row r="177" spans="1:22">
      <c r="A177" s="321"/>
      <c r="B177" s="321"/>
      <c r="C177" s="322"/>
      <c r="D177" s="323"/>
      <c r="E177" s="324"/>
      <c r="F177" s="321"/>
      <c r="G177" s="325"/>
      <c r="H177" s="321"/>
      <c r="I177" s="321"/>
      <c r="J177" s="322"/>
      <c r="K177" s="321"/>
      <c r="L177" s="360"/>
      <c r="M177" s="392"/>
      <c r="N177" s="321"/>
      <c r="O177" s="321"/>
      <c r="P177" s="321"/>
      <c r="Q177" s="321"/>
      <c r="R177" s="321"/>
      <c r="S177" s="321"/>
      <c r="T177" s="321"/>
      <c r="U177" s="321"/>
      <c r="V177" s="321"/>
    </row>
    <row r="178" spans="1:22">
      <c r="A178" s="321"/>
      <c r="B178" s="321"/>
      <c r="C178" s="322"/>
      <c r="D178" s="323"/>
      <c r="E178" s="324"/>
      <c r="F178" s="321"/>
      <c r="G178" s="325"/>
      <c r="H178" s="321"/>
      <c r="I178" s="321"/>
      <c r="J178" s="322"/>
      <c r="K178" s="321"/>
      <c r="L178" s="360"/>
      <c r="M178" s="392"/>
      <c r="N178" s="321"/>
      <c r="O178" s="321"/>
      <c r="P178" s="321"/>
      <c r="Q178" s="321"/>
      <c r="R178" s="321"/>
      <c r="S178" s="321"/>
      <c r="T178" s="321"/>
      <c r="U178" s="321"/>
      <c r="V178" s="321"/>
    </row>
    <row r="179" spans="1:22">
      <c r="A179" s="321"/>
      <c r="B179" s="321"/>
      <c r="C179" s="322"/>
      <c r="D179" s="323"/>
      <c r="E179" s="324"/>
      <c r="F179" s="321"/>
      <c r="G179" s="325"/>
      <c r="H179" s="321"/>
      <c r="I179" s="321"/>
      <c r="J179" s="322"/>
      <c r="K179" s="321"/>
      <c r="L179" s="360"/>
      <c r="M179" s="392"/>
      <c r="N179" s="321"/>
      <c r="O179" s="321"/>
      <c r="P179" s="321"/>
      <c r="Q179" s="321"/>
      <c r="R179" s="321"/>
      <c r="S179" s="321"/>
      <c r="T179" s="321"/>
      <c r="U179" s="321"/>
      <c r="V179" s="321"/>
    </row>
    <row r="180" spans="1:22">
      <c r="A180" s="321"/>
      <c r="B180" s="321"/>
      <c r="O180" s="321"/>
      <c r="P180" s="321"/>
      <c r="Q180" s="321"/>
      <c r="R180" s="321"/>
      <c r="S180" s="321"/>
      <c r="T180" s="321"/>
      <c r="U180" s="321"/>
      <c r="V180" s="321"/>
    </row>
    <row r="181" spans="1:22">
      <c r="A181" s="321"/>
      <c r="B181" s="321"/>
      <c r="V181" s="321"/>
    </row>
    <row r="182" spans="1:22">
      <c r="A182" s="321"/>
      <c r="B182" s="321"/>
      <c r="V182" s="321"/>
    </row>
    <row r="183" spans="1:22">
      <c r="A183" s="321"/>
      <c r="B183" s="321"/>
      <c r="V183" s="321"/>
    </row>
    <row r="184" spans="1:22">
      <c r="A184" s="321"/>
      <c r="B184" s="321"/>
      <c r="V184" s="321"/>
    </row>
    <row r="185" spans="1:22">
      <c r="A185" s="321"/>
      <c r="B185" s="321"/>
      <c r="V185" s="321"/>
    </row>
    <row r="186" spans="1:22">
      <c r="A186" s="321"/>
      <c r="B186" s="321"/>
      <c r="V186" s="321"/>
    </row>
    <row r="187" spans="1:22">
      <c r="A187" s="321"/>
      <c r="B187" s="321"/>
      <c r="V187" s="321"/>
    </row>
    <row r="188" spans="1:22">
      <c r="A188" s="321"/>
      <c r="B188" s="321"/>
    </row>
    <row r="189" spans="1:22">
      <c r="A189" s="321"/>
      <c r="B189" s="321"/>
    </row>
    <row r="190" spans="1:22">
      <c r="A190" s="321"/>
      <c r="B190" s="321"/>
    </row>
    <row r="191" spans="1:22">
      <c r="A191" s="321"/>
      <c r="B191" s="321"/>
    </row>
    <row r="192" spans="1:22">
      <c r="A192" s="321"/>
      <c r="B192" s="321"/>
    </row>
    <row r="193" spans="1:2">
      <c r="A193" s="321"/>
      <c r="B193" s="321"/>
    </row>
    <row r="194" spans="1:2">
      <c r="A194" s="321"/>
      <c r="B194" s="321"/>
    </row>
    <row r="195" spans="1:2">
      <c r="A195" s="321"/>
      <c r="B195" s="321"/>
    </row>
    <row r="196" spans="1:2">
      <c r="A196" s="321"/>
      <c r="B196" s="321"/>
    </row>
    <row r="197" spans="1:2">
      <c r="A197" s="321"/>
      <c r="B197" s="321"/>
    </row>
    <row r="198" spans="1:2">
      <c r="A198" s="321"/>
      <c r="B198" s="321"/>
    </row>
    <row r="199" spans="1:2">
      <c r="A199" s="321"/>
      <c r="B199" s="321"/>
    </row>
    <row r="200" spans="1:2">
      <c r="A200" s="321"/>
      <c r="B200" s="321"/>
    </row>
    <row r="201" spans="1:2">
      <c r="A201" s="321"/>
      <c r="B201" s="321"/>
    </row>
    <row r="202" spans="1:2">
      <c r="A202" s="321"/>
      <c r="B202" s="321"/>
    </row>
    <row r="203" spans="1:2">
      <c r="A203" s="321"/>
      <c r="B203" s="321"/>
    </row>
    <row r="204" spans="1:2">
      <c r="A204" s="321"/>
      <c r="B204" s="321"/>
    </row>
    <row r="205" spans="1:2">
      <c r="A205" s="321"/>
      <c r="B205" s="321"/>
    </row>
    <row r="206" spans="1:2">
      <c r="A206" s="321"/>
      <c r="B206" s="321"/>
    </row>
    <row r="207" spans="1:2">
      <c r="A207" s="321"/>
      <c r="B207" s="321"/>
    </row>
    <row r="208" spans="1:2">
      <c r="A208" s="321"/>
      <c r="B208" s="321"/>
    </row>
    <row r="209" spans="1:2">
      <c r="A209" s="321"/>
      <c r="B209" s="321"/>
    </row>
    <row r="210" spans="1:2">
      <c r="A210" s="321"/>
    </row>
    <row r="211" spans="1:2">
      <c r="A211" s="321"/>
    </row>
    <row r="212" spans="1:2">
      <c r="A212" s="321"/>
    </row>
    <row r="213" spans="1:2">
      <c r="A213" s="321"/>
    </row>
    <row r="214" spans="1:2">
      <c r="A214" s="321"/>
    </row>
    <row r="215" spans="1:2">
      <c r="A215" s="321"/>
    </row>
    <row r="216" spans="1:2">
      <c r="A216" s="321"/>
    </row>
  </sheetData>
  <sheetProtection formatCells="0" insertHyperlinks="0"/>
  <autoFilter ref="C10:J81" xr:uid="{00000000-0009-0000-0000-000005000000}">
    <sortState xmlns:xlrd2="http://schemas.microsoft.com/office/spreadsheetml/2017/richdata2" ref="C11:J82">
      <sortCondition ref="C10:C82"/>
    </sortState>
  </autoFilter>
  <mergeCells count="14">
    <mergeCell ref="B2:L4"/>
    <mergeCell ref="C124:C131"/>
    <mergeCell ref="C8:K9"/>
    <mergeCell ref="M8:T9"/>
    <mergeCell ref="K65:K66"/>
    <mergeCell ref="C157:C170"/>
    <mergeCell ref="F160:G160"/>
    <mergeCell ref="H160:I160"/>
    <mergeCell ref="L160:M160"/>
    <mergeCell ref="C133:C140"/>
    <mergeCell ref="E134:F136"/>
    <mergeCell ref="H134:I135"/>
    <mergeCell ref="C142:C154"/>
    <mergeCell ref="E143:I143"/>
  </mergeCells>
  <conditionalFormatting sqref="J43">
    <cfRule type="cellIs" dxfId="509" priority="74" operator="equal">
      <formula>"Positif"</formula>
    </cfRule>
    <cfRule type="cellIs" dxfId="508" priority="75" operator="equal">
      <formula>"Negatif"</formula>
    </cfRule>
  </conditionalFormatting>
  <conditionalFormatting sqref="J43">
    <cfRule type="cellIs" dxfId="507" priority="73" operator="equal">
      <formula>"négatif"</formula>
    </cfRule>
  </conditionalFormatting>
  <conditionalFormatting sqref="J4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06" priority="77" operator="equal">
      <formula>"Negatif"</formula>
    </cfRule>
    <cfRule type="colorScale" priority="78">
      <colorScale>
        <cfvo type="min"/>
        <cfvo type="max"/>
        <color rgb="FFFF7128"/>
        <color rgb="FFFFEF9C"/>
      </colorScale>
    </cfRule>
  </conditionalFormatting>
  <conditionalFormatting sqref="J4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05" priority="80" operator="equal">
      <formula>"Negatif"</formula>
    </cfRule>
    <cfRule type="colorScale" priority="81">
      <colorScale>
        <cfvo type="min"/>
        <cfvo type="max"/>
        <color rgb="FFFF7128"/>
        <color rgb="FFFFEF9C"/>
      </colorScale>
    </cfRule>
  </conditionalFormatting>
  <conditionalFormatting sqref="J4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04" priority="83" operator="equal">
      <formula>"Negatif"</formula>
    </cfRule>
    <cfRule type="colorScale" priority="84">
      <colorScale>
        <cfvo type="min"/>
        <cfvo type="max"/>
        <color rgb="FFFF7128"/>
        <color rgb="FFFFEF9C"/>
      </colorScale>
    </cfRule>
  </conditionalFormatting>
  <conditionalFormatting sqref="J44:J46">
    <cfRule type="cellIs" dxfId="503" priority="62" operator="equal">
      <formula>"Positif"</formula>
    </cfRule>
    <cfRule type="cellIs" dxfId="502" priority="63" operator="equal">
      <formula>"Negatif"</formula>
    </cfRule>
  </conditionalFormatting>
  <conditionalFormatting sqref="J44:J46">
    <cfRule type="cellIs" dxfId="501" priority="61" operator="equal">
      <formula>"négatif"</formula>
    </cfRule>
  </conditionalFormatting>
  <conditionalFormatting sqref="J44:J4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00" priority="65" operator="equal">
      <formula>"Negatif"</formula>
    </cfRule>
    <cfRule type="colorScale" priority="66">
      <colorScale>
        <cfvo type="min"/>
        <cfvo type="max"/>
        <color rgb="FFFF7128"/>
        <color rgb="FFFFEF9C"/>
      </colorScale>
    </cfRule>
  </conditionalFormatting>
  <conditionalFormatting sqref="J44:J4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9" priority="68" operator="equal">
      <formula>"Negatif"</formula>
    </cfRule>
    <cfRule type="colorScale" priority="69">
      <colorScale>
        <cfvo type="min"/>
        <cfvo type="max"/>
        <color rgb="FFFF7128"/>
        <color rgb="FFFFEF9C"/>
      </colorScale>
    </cfRule>
  </conditionalFormatting>
  <conditionalFormatting sqref="J44:J4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8" priority="71" operator="equal">
      <formula>"Negatif"</formula>
    </cfRule>
    <cfRule type="colorScale" priority="72">
      <colorScale>
        <cfvo type="min"/>
        <cfvo type="max"/>
        <color rgb="FFFF7128"/>
        <color rgb="FFFFEF9C"/>
      </colorScale>
    </cfRule>
  </conditionalFormatting>
  <conditionalFormatting sqref="J50:J53">
    <cfRule type="cellIs" dxfId="497" priority="26" operator="equal">
      <formula>"Positif"</formula>
    </cfRule>
    <cfRule type="cellIs" dxfId="496" priority="27" operator="equal">
      <formula>"Negatif"</formula>
    </cfRule>
  </conditionalFormatting>
  <conditionalFormatting sqref="J50:J53">
    <cfRule type="cellIs" dxfId="495" priority="25" operator="equal">
      <formula>"négatif"</formula>
    </cfRule>
  </conditionalFormatting>
  <conditionalFormatting sqref="J50:J5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4" priority="29" operator="equal">
      <formula>"Negatif"</formula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J50:J5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3" priority="32" operator="equal">
      <formula>"Negatif"</formula>
    </cfRule>
    <cfRule type="colorScale" priority="33">
      <colorScale>
        <cfvo type="min"/>
        <cfvo type="max"/>
        <color rgb="FFFF7128"/>
        <color rgb="FFFFEF9C"/>
      </colorScale>
    </cfRule>
  </conditionalFormatting>
  <conditionalFormatting sqref="J50:J5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2" priority="35" operator="equal">
      <formula>"Negatif"</formula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J31">
    <cfRule type="cellIs" dxfId="491" priority="2" operator="equal">
      <formula>"Positif"</formula>
    </cfRule>
    <cfRule type="cellIs" dxfId="490" priority="3" operator="equal">
      <formula>"Negatif"</formula>
    </cfRule>
  </conditionalFormatting>
  <conditionalFormatting sqref="J31">
    <cfRule type="cellIs" dxfId="489" priority="1" operator="equal">
      <formula>"négatif"</formula>
    </cfRule>
  </conditionalFormatting>
  <conditionalFormatting sqref="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8" priority="5" operator="equal">
      <formula>"Negatif"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7" priority="8" operator="equal">
      <formula>"Negatif"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J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6" priority="11" operator="equal">
      <formula>"Negatif"</formula>
    </cfRule>
    <cfRule type="colorScale" priority="12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I75:I77 I11:I72 I79:I81" xr:uid="{00000000-0002-0000-0500-000000000000}">
      <formula1>$E$145:$E$152</formula1>
    </dataValidation>
  </dataValidations>
  <hyperlinks>
    <hyperlink ref="S12" r:id="rId1" xr:uid="{00000000-0004-0000-0500-000000000000}"/>
    <hyperlink ref="S13" r:id="rId2" xr:uid="{00000000-0004-0000-0500-000001000000}"/>
    <hyperlink ref="S15" r:id="rId3" xr:uid="{00000000-0004-0000-0500-000002000000}"/>
    <hyperlink ref="K26" r:id="rId4" xr:uid="{00000000-0004-0000-0500-000003000000}"/>
    <hyperlink ref="K27" r:id="rId5" xr:uid="{00000000-0004-0000-0500-000004000000}"/>
    <hyperlink ref="K28" r:id="rId6" xr:uid="{00000000-0004-0000-0500-000005000000}"/>
    <hyperlink ref="K11" r:id="rId7" xr:uid="{00000000-0004-0000-0500-000006000000}"/>
    <hyperlink ref="K13" r:id="rId8" xr:uid="{00000000-0004-0000-0500-000007000000}"/>
    <hyperlink ref="K18" r:id="rId9" xr:uid="{00000000-0004-0000-0500-000008000000}"/>
    <hyperlink ref="K19" r:id="rId10" xr:uid="{00000000-0004-0000-0500-000009000000}"/>
    <hyperlink ref="K20" r:id="rId11" xr:uid="{00000000-0004-0000-0500-00000A000000}"/>
    <hyperlink ref="K21" r:id="rId12" xr:uid="{00000000-0004-0000-0500-00000B000000}"/>
    <hyperlink ref="K16" r:id="rId13" xr:uid="{00000000-0004-0000-0500-00000C000000}"/>
    <hyperlink ref="K22" r:id="rId14" xr:uid="{00000000-0004-0000-0500-00000D000000}"/>
    <hyperlink ref="K23" r:id="rId15" xr:uid="{00000000-0004-0000-0500-00000E000000}"/>
    <hyperlink ref="K24" r:id="rId16" xr:uid="{00000000-0004-0000-0500-00000F000000}"/>
    <hyperlink ref="K12" r:id="rId17" xr:uid="{00000000-0004-0000-0500-000010000000}"/>
    <hyperlink ref="K15" r:id="rId18" xr:uid="{00000000-0004-0000-0500-000011000000}"/>
    <hyperlink ref="K25" r:id="rId19" xr:uid="{00000000-0004-0000-0500-000012000000}"/>
    <hyperlink ref="K17" r:id="rId20" xr:uid="{00000000-0004-0000-0500-000013000000}"/>
    <hyperlink ref="K36" r:id="rId21" xr:uid="{00000000-0004-0000-0500-000014000000}"/>
    <hyperlink ref="K37" r:id="rId22" xr:uid="{00000000-0004-0000-0500-000015000000}"/>
    <hyperlink ref="K38" r:id="rId23" xr:uid="{00000000-0004-0000-0500-000016000000}"/>
    <hyperlink ref="K39" r:id="rId24" xr:uid="{00000000-0004-0000-0500-000017000000}"/>
    <hyperlink ref="K40" r:id="rId25" xr:uid="{00000000-0004-0000-0500-000018000000}"/>
    <hyperlink ref="K29" r:id="rId26" xr:uid="{00000000-0004-0000-0500-000019000000}"/>
    <hyperlink ref="K30" r:id="rId27" xr:uid="{00000000-0004-0000-0500-00001A000000}"/>
    <hyperlink ref="K34" r:id="rId28" xr:uid="{00000000-0004-0000-0500-00001B000000}"/>
    <hyperlink ref="K35" r:id="rId29" xr:uid="{00000000-0004-0000-0500-00001C000000}"/>
    <hyperlink ref="K31" r:id="rId30" xr:uid="{00000000-0004-0000-0500-00001D000000}"/>
    <hyperlink ref="K41" r:id="rId31" xr:uid="{00000000-0004-0000-0500-00001E000000}"/>
    <hyperlink ref="K42" r:id="rId32" xr:uid="{00000000-0004-0000-0500-00001F000000}"/>
    <hyperlink ref="K43" r:id="rId33" xr:uid="{00000000-0004-0000-0500-000020000000}"/>
    <hyperlink ref="K44" r:id="rId34" xr:uid="{00000000-0004-0000-0500-000021000000}"/>
    <hyperlink ref="K45" r:id="rId35" xr:uid="{00000000-0004-0000-0500-000022000000}"/>
    <hyperlink ref="K46" r:id="rId36" xr:uid="{00000000-0004-0000-0500-000023000000}"/>
    <hyperlink ref="K47" r:id="rId37" xr:uid="{00000000-0004-0000-0500-000024000000}"/>
    <hyperlink ref="K33" r:id="rId38" xr:uid="{00000000-0004-0000-0500-000025000000}"/>
    <hyperlink ref="K32" r:id="rId39" xr:uid="{00000000-0004-0000-0500-000026000000}"/>
    <hyperlink ref="K50" r:id="rId40" xr:uid="{00000000-0004-0000-0500-000027000000}"/>
    <hyperlink ref="K51" r:id="rId41" xr:uid="{00000000-0004-0000-0500-000028000000}"/>
    <hyperlink ref="K52" r:id="rId42" xr:uid="{00000000-0004-0000-0500-000029000000}"/>
    <hyperlink ref="K53" r:id="rId43" xr:uid="{00000000-0004-0000-0500-00002A000000}"/>
    <hyperlink ref="K60" r:id="rId44" xr:uid="{00000000-0004-0000-0500-00002B000000}"/>
    <hyperlink ref="K61" r:id="rId45" xr:uid="{00000000-0004-0000-0500-00002C000000}"/>
    <hyperlink ref="K62" r:id="rId46" xr:uid="{00000000-0004-0000-0500-00002D000000}"/>
    <hyperlink ref="K49" r:id="rId47" xr:uid="{00000000-0004-0000-0500-00002E000000}"/>
    <hyperlink ref="K55" r:id="rId48" xr:uid="{00000000-0004-0000-0500-00002F000000}"/>
    <hyperlink ref="K57" r:id="rId49" xr:uid="{00000000-0004-0000-0500-000030000000}"/>
    <hyperlink ref="K56" r:id="rId50" xr:uid="{00000000-0004-0000-0500-000031000000}"/>
    <hyperlink ref="K58" r:id="rId51" xr:uid="{00000000-0004-0000-0500-000032000000}"/>
    <hyperlink ref="K59" r:id="rId52" xr:uid="{00000000-0004-0000-0500-000033000000}"/>
    <hyperlink ref="K63" r:id="rId53" xr:uid="{00000000-0004-0000-0500-000034000000}"/>
    <hyperlink ref="K64" r:id="rId54" xr:uid="{00000000-0004-0000-0500-000035000000}"/>
    <hyperlink ref="K48" r:id="rId55" xr:uid="{00000000-0004-0000-0500-000036000000}"/>
    <hyperlink ref="K54" r:id="rId56" xr:uid="{00000000-0004-0000-0500-000037000000}"/>
    <hyperlink ref="K14" r:id="rId57" xr:uid="{00000000-0004-0000-0500-000038000000}"/>
  </hyperlinks>
  <pageMargins left="0.7" right="0.7" top="0.75" bottom="0.75" header="0.3" footer="0.3"/>
  <pageSetup paperSize="9" orientation="portrait" r:id="rId5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:AH212"/>
  <sheetViews>
    <sheetView topLeftCell="I14" zoomScale="70" zoomScaleNormal="70" workbookViewId="0">
      <selection activeCell="E79" sqref="E79"/>
    </sheetView>
  </sheetViews>
  <sheetFormatPr defaultColWidth="11" defaultRowHeight="15.75"/>
  <cols>
    <col min="1" max="1" width="4.25" style="329" customWidth="1"/>
    <col min="2" max="2" width="3.125" style="329" customWidth="1"/>
    <col min="3" max="3" width="9.25" style="400" customWidth="1"/>
    <col min="4" max="4" width="5.5" style="401" customWidth="1"/>
    <col min="5" max="5" width="93.25" style="402" customWidth="1"/>
    <col min="6" max="6" width="7.5" style="329" customWidth="1"/>
    <col min="7" max="7" width="6.25" style="403" customWidth="1"/>
    <col min="8" max="8" width="33.75" style="329" customWidth="1"/>
    <col min="9" max="9" width="21.75" style="329" customWidth="1"/>
    <col min="10" max="10" width="8.75" style="400" customWidth="1"/>
    <col min="11" max="11" width="8.125" style="329" customWidth="1"/>
    <col min="12" max="12" width="6.125" style="362" customWidth="1"/>
    <col min="13" max="13" width="16.5" style="404" customWidth="1"/>
    <col min="14" max="14" width="7" style="329" customWidth="1"/>
    <col min="15" max="15" width="93.125" style="329" customWidth="1"/>
    <col min="16" max="16" width="7.25" style="329" customWidth="1"/>
    <col min="17" max="17" width="7.625" style="329" customWidth="1"/>
    <col min="18" max="18" width="11" style="329" customWidth="1"/>
    <col min="19" max="19" width="8.25" style="329" customWidth="1"/>
    <col min="20" max="20" width="16.75" style="329" customWidth="1"/>
    <col min="21" max="22" width="11" style="329"/>
    <col min="23" max="23" width="11" style="572"/>
    <col min="24" max="24" width="37.125" style="329" customWidth="1"/>
    <col min="25" max="25" width="9.75" style="329" customWidth="1"/>
    <col min="26" max="26" width="24.125" style="329" customWidth="1"/>
    <col min="27" max="27" width="13" style="329" customWidth="1"/>
    <col min="28" max="28" width="16.125" style="329" customWidth="1"/>
    <col min="29" max="29" width="14.625" style="329" customWidth="1"/>
    <col min="30" max="30" width="15.75" style="329" customWidth="1"/>
    <col min="31" max="16384" width="11" style="329"/>
  </cols>
  <sheetData>
    <row r="1" spans="1:34" ht="16.5" thickBot="1">
      <c r="A1" s="321"/>
      <c r="B1" s="321"/>
      <c r="C1" s="322"/>
      <c r="D1" s="323"/>
      <c r="E1" s="324"/>
      <c r="F1" s="321"/>
      <c r="G1" s="325"/>
      <c r="H1" s="321"/>
      <c r="I1" s="321"/>
      <c r="J1" s="322"/>
      <c r="K1" s="326"/>
      <c r="L1" s="327"/>
      <c r="M1" s="328"/>
      <c r="N1" s="321"/>
      <c r="O1" s="321"/>
      <c r="P1" s="321"/>
      <c r="Q1" s="321"/>
      <c r="R1" s="321"/>
      <c r="S1" s="321"/>
      <c r="T1" s="321"/>
      <c r="U1" s="321"/>
      <c r="V1" s="321"/>
      <c r="X1" s="572"/>
      <c r="Y1" s="572"/>
      <c r="Z1" s="572"/>
      <c r="AA1" s="572"/>
      <c r="AB1" s="572"/>
      <c r="AC1" s="572"/>
      <c r="AD1" s="572"/>
      <c r="AE1" s="572"/>
      <c r="AF1" s="572"/>
      <c r="AG1" s="572"/>
      <c r="AH1" s="572"/>
    </row>
    <row r="2" spans="1:34" ht="15.75" customHeight="1">
      <c r="A2" s="321"/>
      <c r="B2" s="1557" t="s">
        <v>238</v>
      </c>
      <c r="C2" s="1558"/>
      <c r="D2" s="1558"/>
      <c r="E2" s="1558"/>
      <c r="F2" s="1558"/>
      <c r="G2" s="1558"/>
      <c r="H2" s="1558"/>
      <c r="I2" s="1558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  <c r="V2" s="321"/>
      <c r="X2" s="572"/>
      <c r="Y2" s="572"/>
      <c r="Z2" s="572"/>
      <c r="AA2" s="572"/>
      <c r="AB2" s="572"/>
      <c r="AC2" s="572"/>
      <c r="AD2" s="572"/>
      <c r="AE2" s="572"/>
      <c r="AF2" s="572"/>
      <c r="AG2" s="572"/>
      <c r="AH2" s="572"/>
    </row>
    <row r="3" spans="1:34" ht="15.75" customHeight="1">
      <c r="A3" s="321"/>
      <c r="B3" s="1560"/>
      <c r="C3" s="1561"/>
      <c r="D3" s="1561"/>
      <c r="E3" s="1561"/>
      <c r="F3" s="1561"/>
      <c r="G3" s="1561"/>
      <c r="H3" s="1561"/>
      <c r="I3" s="1561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  <c r="V3" s="321"/>
      <c r="X3" s="572"/>
      <c r="Y3" s="572"/>
      <c r="Z3" s="572"/>
      <c r="AA3" s="572"/>
      <c r="AB3" s="572"/>
      <c r="AC3" s="572"/>
      <c r="AD3" s="572"/>
      <c r="AE3" s="572"/>
      <c r="AF3" s="572"/>
      <c r="AG3" s="572"/>
      <c r="AH3" s="572"/>
    </row>
    <row r="4" spans="1:34" ht="15.75" customHeight="1" thickBot="1">
      <c r="A4" s="321"/>
      <c r="B4" s="1563"/>
      <c r="C4" s="1564"/>
      <c r="D4" s="1564"/>
      <c r="E4" s="1564"/>
      <c r="F4" s="1564"/>
      <c r="G4" s="1564"/>
      <c r="H4" s="1564"/>
      <c r="I4" s="1564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  <c r="V4" s="321"/>
      <c r="X4" s="572"/>
      <c r="Y4" s="572"/>
      <c r="Z4" s="572"/>
      <c r="AA4" s="572"/>
      <c r="AB4" s="572"/>
      <c r="AC4" s="572"/>
      <c r="AD4" s="572"/>
      <c r="AE4" s="572"/>
      <c r="AF4" s="572"/>
      <c r="AG4" s="572"/>
      <c r="AH4" s="572"/>
    </row>
    <row r="5" spans="1:34" ht="15.75" customHeight="1">
      <c r="A5" s="321"/>
      <c r="B5" s="326"/>
      <c r="C5" s="330"/>
      <c r="D5" s="331"/>
      <c r="E5" s="330"/>
      <c r="F5" s="330"/>
      <c r="G5" s="330"/>
      <c r="H5" s="330"/>
      <c r="I5" s="330"/>
      <c r="J5" s="330"/>
      <c r="K5" s="332"/>
      <c r="L5" s="332"/>
      <c r="M5" s="326"/>
      <c r="N5" s="321"/>
      <c r="O5" s="321"/>
      <c r="P5" s="321"/>
      <c r="Q5" s="321"/>
      <c r="R5" s="321"/>
      <c r="S5" s="321"/>
      <c r="T5" s="321"/>
      <c r="U5" s="321"/>
      <c r="V5" s="321"/>
      <c r="X5" s="572"/>
      <c r="Y5" s="572"/>
      <c r="Z5" s="572"/>
      <c r="AA5" s="572"/>
      <c r="AB5" s="572"/>
      <c r="AC5" s="572"/>
      <c r="AD5" s="572"/>
      <c r="AE5" s="572"/>
      <c r="AF5" s="572"/>
      <c r="AG5" s="572"/>
      <c r="AH5" s="572"/>
    </row>
    <row r="6" spans="1:34" ht="15.75" customHeight="1" thickBot="1">
      <c r="A6" s="321"/>
      <c r="B6" s="326"/>
      <c r="C6" s="330"/>
      <c r="D6" s="331"/>
      <c r="E6" s="330"/>
      <c r="F6" s="330"/>
      <c r="G6" s="330"/>
      <c r="H6" s="330"/>
      <c r="I6" s="330"/>
      <c r="J6" s="330"/>
      <c r="K6" s="332"/>
      <c r="L6" s="332"/>
      <c r="M6" s="326"/>
      <c r="N6" s="321"/>
      <c r="O6" s="321"/>
      <c r="P6" s="321"/>
      <c r="Q6" s="321"/>
      <c r="R6" s="321"/>
      <c r="S6" s="321"/>
      <c r="T6" s="321"/>
      <c r="U6" s="321"/>
      <c r="V6" s="321"/>
      <c r="X6" s="572"/>
      <c r="Y6" s="572"/>
      <c r="Z6" s="572"/>
      <c r="AA6" s="572"/>
      <c r="AB6" s="572"/>
      <c r="AC6" s="572"/>
      <c r="AD6" s="572"/>
      <c r="AE6" s="572"/>
      <c r="AF6" s="572"/>
      <c r="AG6" s="572"/>
      <c r="AH6" s="572"/>
    </row>
    <row r="7" spans="1:34" ht="15.75" customHeight="1" thickBot="1">
      <c r="A7" s="321"/>
      <c r="B7" s="333"/>
      <c r="C7" s="334"/>
      <c r="D7" s="335"/>
      <c r="E7" s="334"/>
      <c r="F7" s="334"/>
      <c r="G7" s="334"/>
      <c r="H7" s="334"/>
      <c r="I7" s="334"/>
      <c r="J7" s="334"/>
      <c r="K7" s="336"/>
      <c r="L7" s="336"/>
      <c r="M7" s="337"/>
      <c r="N7" s="337"/>
      <c r="O7" s="337"/>
      <c r="P7" s="337"/>
      <c r="Q7" s="337"/>
      <c r="R7" s="337"/>
      <c r="S7" s="337"/>
      <c r="T7" s="337"/>
      <c r="U7" s="338"/>
      <c r="V7" s="321"/>
      <c r="X7" s="572"/>
      <c r="Y7" s="572"/>
      <c r="Z7" s="572"/>
      <c r="AA7" s="572"/>
      <c r="AB7" s="572"/>
      <c r="AC7" s="572"/>
      <c r="AD7" s="572"/>
      <c r="AE7" s="572"/>
      <c r="AF7" s="572"/>
      <c r="AG7" s="572"/>
      <c r="AH7" s="572"/>
    </row>
    <row r="8" spans="1:34" ht="15.75" customHeight="1">
      <c r="A8" s="321"/>
      <c r="B8" s="339"/>
      <c r="C8" s="1620" t="s">
        <v>64</v>
      </c>
      <c r="D8" s="1621"/>
      <c r="E8" s="1621"/>
      <c r="F8" s="1621"/>
      <c r="G8" s="1621"/>
      <c r="H8" s="1621"/>
      <c r="I8" s="1621"/>
      <c r="J8" s="1621"/>
      <c r="K8" s="1622"/>
      <c r="L8" s="340"/>
      <c r="M8" s="1626" t="s">
        <v>65</v>
      </c>
      <c r="N8" s="1627"/>
      <c r="O8" s="1627"/>
      <c r="P8" s="1627"/>
      <c r="Q8" s="1627"/>
      <c r="R8" s="1627"/>
      <c r="S8" s="1627"/>
      <c r="T8" s="1628"/>
      <c r="U8" s="341"/>
      <c r="V8" s="321"/>
      <c r="X8" s="572"/>
      <c r="Y8" s="572"/>
      <c r="Z8" s="572"/>
      <c r="AA8" s="572"/>
      <c r="AB8" s="572"/>
      <c r="AC8" s="572"/>
      <c r="AD8" s="572"/>
      <c r="AE8" s="572"/>
      <c r="AF8" s="572"/>
      <c r="AG8" s="572"/>
      <c r="AH8" s="572"/>
    </row>
    <row r="9" spans="1:34" ht="15.75" customHeight="1">
      <c r="A9" s="321"/>
      <c r="B9" s="339"/>
      <c r="C9" s="1623"/>
      <c r="D9" s="1624"/>
      <c r="E9" s="1624"/>
      <c r="F9" s="1624"/>
      <c r="G9" s="1624"/>
      <c r="H9" s="1624"/>
      <c r="I9" s="1640"/>
      <c r="J9" s="1624"/>
      <c r="K9" s="1625"/>
      <c r="L9" s="340"/>
      <c r="M9" s="1641"/>
      <c r="N9" s="1630"/>
      <c r="O9" s="1630"/>
      <c r="P9" s="1630"/>
      <c r="Q9" s="1630"/>
      <c r="R9" s="1630"/>
      <c r="S9" s="1630"/>
      <c r="T9" s="1631"/>
      <c r="U9" s="341"/>
      <c r="V9" s="321"/>
      <c r="X9" s="572"/>
      <c r="Y9" s="572"/>
      <c r="Z9" s="572"/>
      <c r="AA9" s="572"/>
      <c r="AB9" s="572"/>
      <c r="AC9" s="572"/>
      <c r="AD9" s="572"/>
      <c r="AE9" s="572"/>
      <c r="AF9" s="572"/>
      <c r="AG9" s="572"/>
      <c r="AH9" s="572"/>
    </row>
    <row r="10" spans="1:34" ht="30" customHeight="1">
      <c r="A10" s="321"/>
      <c r="B10" s="339"/>
      <c r="C10" s="797" t="s">
        <v>66</v>
      </c>
      <c r="D10" s="798" t="s">
        <v>67</v>
      </c>
      <c r="E10" s="841" t="s">
        <v>68</v>
      </c>
      <c r="F10" s="842" t="s">
        <v>69</v>
      </c>
      <c r="G10" s="842" t="s">
        <v>70</v>
      </c>
      <c r="H10" s="842" t="s">
        <v>71</v>
      </c>
      <c r="I10" s="801" t="s">
        <v>72</v>
      </c>
      <c r="J10" s="843" t="s">
        <v>73</v>
      </c>
      <c r="K10" s="840" t="s">
        <v>74</v>
      </c>
      <c r="L10" s="346"/>
      <c r="M10" s="735" t="s">
        <v>75</v>
      </c>
      <c r="N10" s="725" t="s">
        <v>76</v>
      </c>
      <c r="O10" s="349" t="s">
        <v>77</v>
      </c>
      <c r="P10" s="349" t="s">
        <v>69</v>
      </c>
      <c r="Q10" s="349" t="s">
        <v>70</v>
      </c>
      <c r="R10" s="349" t="s">
        <v>72</v>
      </c>
      <c r="S10" s="349" t="s">
        <v>74</v>
      </c>
      <c r="T10" s="350" t="s">
        <v>64</v>
      </c>
      <c r="U10" s="341"/>
      <c r="V10" s="321"/>
      <c r="X10" s="572"/>
      <c r="Y10" s="572"/>
      <c r="Z10" s="572"/>
      <c r="AA10" s="572"/>
      <c r="AB10" s="572"/>
      <c r="AC10" s="572"/>
      <c r="AD10" s="572"/>
      <c r="AE10" s="572"/>
      <c r="AF10" s="572"/>
      <c r="AG10" s="572"/>
      <c r="AH10" s="572"/>
    </row>
    <row r="11" spans="1:34" s="357" customFormat="1">
      <c r="A11" s="351"/>
      <c r="B11" s="352"/>
      <c r="C11" s="1175">
        <v>43892</v>
      </c>
      <c r="D11" s="1176">
        <v>11</v>
      </c>
      <c r="E11" s="1069" t="s">
        <v>239</v>
      </c>
      <c r="F11" s="1137" t="s">
        <v>9</v>
      </c>
      <c r="G11" s="1133">
        <v>65</v>
      </c>
      <c r="H11" s="1062" t="s">
        <v>240</v>
      </c>
      <c r="I11" s="1177" t="s">
        <v>51</v>
      </c>
      <c r="J11" s="1134" t="s">
        <v>80</v>
      </c>
      <c r="K11" s="825" t="s">
        <v>96</v>
      </c>
      <c r="L11" s="353"/>
      <c r="M11" s="1064">
        <v>43892</v>
      </c>
      <c r="N11" s="1178">
        <v>11</v>
      </c>
      <c r="O11" s="1066" t="s">
        <v>241</v>
      </c>
      <c r="P11" s="1008" t="s">
        <v>83</v>
      </c>
      <c r="Q11" s="1067">
        <v>65</v>
      </c>
      <c r="R11" s="1008" t="s">
        <v>51</v>
      </c>
      <c r="S11" s="1642" t="s">
        <v>96</v>
      </c>
      <c r="T11" s="1068">
        <f>COUNTIF(D:D,N11)+COUNTIF(Avr!D:D,N11)</f>
        <v>9</v>
      </c>
      <c r="U11" s="356"/>
      <c r="V11" s="351"/>
      <c r="W11" s="573"/>
      <c r="X11" s="573"/>
      <c r="Y11" s="573"/>
      <c r="Z11" s="573"/>
      <c r="AA11" s="573"/>
      <c r="AB11" s="573"/>
      <c r="AC11" s="573"/>
      <c r="AD11" s="573"/>
      <c r="AE11" s="573"/>
      <c r="AF11" s="573"/>
      <c r="AG11" s="573"/>
      <c r="AH11" s="573"/>
    </row>
    <row r="12" spans="1:34" s="357" customFormat="1">
      <c r="A12" s="351"/>
      <c r="B12" s="352"/>
      <c r="C12" s="1058">
        <v>43892</v>
      </c>
      <c r="D12" s="1059">
        <v>11</v>
      </c>
      <c r="E12" s="1071" t="s">
        <v>242</v>
      </c>
      <c r="F12" s="1133" t="s">
        <v>9</v>
      </c>
      <c r="G12" s="1133">
        <v>65</v>
      </c>
      <c r="H12" s="1062" t="s">
        <v>243</v>
      </c>
      <c r="I12" s="1062" t="s">
        <v>51</v>
      </c>
      <c r="J12" s="1134" t="s">
        <v>80</v>
      </c>
      <c r="K12" s="825" t="s">
        <v>96</v>
      </c>
      <c r="L12" s="358"/>
      <c r="M12" s="1064">
        <v>43892</v>
      </c>
      <c r="N12" s="1178">
        <v>12</v>
      </c>
      <c r="O12" s="1066" t="s">
        <v>241</v>
      </c>
      <c r="P12" s="1008" t="s">
        <v>244</v>
      </c>
      <c r="Q12" s="1067">
        <v>40</v>
      </c>
      <c r="R12" s="1179" t="s">
        <v>51</v>
      </c>
      <c r="S12" s="1643"/>
      <c r="T12" s="1068">
        <f>COUNTIF(D:D,N12)+COUNTIF(Avr!D:D,N12)</f>
        <v>2</v>
      </c>
      <c r="U12" s="341"/>
      <c r="V12" s="351"/>
      <c r="W12" s="573"/>
      <c r="X12" s="573"/>
      <c r="Y12" s="573"/>
      <c r="Z12" s="573"/>
      <c r="AA12" s="573"/>
      <c r="AB12" s="573"/>
      <c r="AC12" s="573"/>
      <c r="AD12" s="573"/>
      <c r="AE12" s="573"/>
      <c r="AF12" s="573"/>
      <c r="AG12" s="573"/>
      <c r="AH12" s="573"/>
    </row>
    <row r="13" spans="1:34">
      <c r="A13" s="321"/>
      <c r="B13" s="339"/>
      <c r="C13" s="1058">
        <v>43892</v>
      </c>
      <c r="D13" s="1059">
        <v>11</v>
      </c>
      <c r="E13" s="1071" t="s">
        <v>245</v>
      </c>
      <c r="F13" s="1133" t="s">
        <v>9</v>
      </c>
      <c r="G13" s="1133">
        <v>65</v>
      </c>
      <c r="H13" s="1062" t="s">
        <v>243</v>
      </c>
      <c r="I13" s="1062" t="s">
        <v>51</v>
      </c>
      <c r="J13" s="1134" t="s">
        <v>80</v>
      </c>
      <c r="K13" s="825" t="s">
        <v>96</v>
      </c>
      <c r="L13" s="359"/>
      <c r="M13" s="1064">
        <v>43892</v>
      </c>
      <c r="N13" s="1178">
        <v>13</v>
      </c>
      <c r="O13" s="1066" t="s">
        <v>241</v>
      </c>
      <c r="P13" s="1008" t="s">
        <v>83</v>
      </c>
      <c r="Q13" s="1067">
        <v>64</v>
      </c>
      <c r="R13" s="1179" t="s">
        <v>51</v>
      </c>
      <c r="S13" s="1644"/>
      <c r="T13" s="1068">
        <f>COUNTIF(D:D,N13)+COUNTIF(Avr!D:D,N13)</f>
        <v>6</v>
      </c>
      <c r="U13" s="341"/>
      <c r="V13" s="321"/>
      <c r="X13" s="572"/>
      <c r="Y13" s="572"/>
      <c r="Z13" s="572"/>
      <c r="AA13" s="572"/>
      <c r="AB13" s="572"/>
      <c r="AC13" s="572"/>
      <c r="AD13" s="572"/>
      <c r="AE13" s="572"/>
      <c r="AF13" s="572"/>
      <c r="AG13" s="572"/>
      <c r="AH13" s="572"/>
    </row>
    <row r="14" spans="1:34" s="362" customFormat="1" ht="18" customHeight="1">
      <c r="A14" s="360"/>
      <c r="B14" s="361"/>
      <c r="C14" s="1058">
        <v>43892</v>
      </c>
      <c r="D14" s="1059">
        <v>11</v>
      </c>
      <c r="E14" s="1071" t="s">
        <v>246</v>
      </c>
      <c r="F14" s="1133" t="s">
        <v>9</v>
      </c>
      <c r="G14" s="1133">
        <v>65</v>
      </c>
      <c r="H14" s="1062" t="s">
        <v>247</v>
      </c>
      <c r="I14" s="1062" t="s">
        <v>51</v>
      </c>
      <c r="J14" s="1134" t="s">
        <v>80</v>
      </c>
      <c r="K14" s="825" t="s">
        <v>96</v>
      </c>
      <c r="L14" s="358"/>
      <c r="M14" s="1064">
        <v>43893</v>
      </c>
      <c r="N14" s="1178">
        <v>14</v>
      </c>
      <c r="O14" s="728" t="s">
        <v>248</v>
      </c>
      <c r="P14" s="1008" t="s">
        <v>83</v>
      </c>
      <c r="Q14" s="1067">
        <v>65</v>
      </c>
      <c r="R14" s="1179" t="s">
        <v>51</v>
      </c>
      <c r="S14" s="1642" t="s">
        <v>96</v>
      </c>
      <c r="T14" s="1068">
        <f>COUNTIF(D:D,N14)+COUNTIF(Avr!D:D,N14)</f>
        <v>12</v>
      </c>
      <c r="U14" s="341"/>
      <c r="V14" s="360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</row>
    <row r="15" spans="1:34" s="362" customFormat="1">
      <c r="A15" s="360"/>
      <c r="B15" s="361"/>
      <c r="C15" s="1058">
        <v>43892</v>
      </c>
      <c r="D15" s="1059">
        <v>13</v>
      </c>
      <c r="E15" s="1071" t="s">
        <v>249</v>
      </c>
      <c r="F15" s="1137" t="s">
        <v>9</v>
      </c>
      <c r="G15" s="1133">
        <v>64</v>
      </c>
      <c r="H15" s="1060" t="s">
        <v>118</v>
      </c>
      <c r="I15" s="1062" t="s">
        <v>51</v>
      </c>
      <c r="J15" s="1134" t="s">
        <v>80</v>
      </c>
      <c r="K15" s="825" t="s">
        <v>96</v>
      </c>
      <c r="L15" s="358"/>
      <c r="M15" s="1064">
        <v>43893</v>
      </c>
      <c r="N15" s="1178">
        <v>15</v>
      </c>
      <c r="O15" s="728" t="s">
        <v>248</v>
      </c>
      <c r="P15" s="1008" t="s">
        <v>83</v>
      </c>
      <c r="Q15" s="1067">
        <v>64</v>
      </c>
      <c r="R15" s="1179" t="s">
        <v>51</v>
      </c>
      <c r="S15" s="1643"/>
      <c r="T15" s="1068">
        <f>COUNTIF(D:D,N15)+COUNTIF(Avr!D:D,N15)</f>
        <v>12</v>
      </c>
      <c r="U15" s="341"/>
      <c r="V15" s="360"/>
      <c r="W15" s="371"/>
      <c r="X15" s="371"/>
      <c r="Y15" s="371"/>
      <c r="Z15" s="371"/>
      <c r="AA15" s="371"/>
      <c r="AB15" s="371"/>
      <c r="AC15" s="371"/>
      <c r="AD15" s="371"/>
      <c r="AE15" s="371"/>
      <c r="AF15" s="371"/>
      <c r="AG15" s="371"/>
      <c r="AH15" s="371"/>
    </row>
    <row r="16" spans="1:34" s="362" customFormat="1" ht="18.75" customHeight="1">
      <c r="A16" s="360"/>
      <c r="B16" s="361"/>
      <c r="C16" s="1058">
        <v>43892</v>
      </c>
      <c r="D16" s="1059">
        <v>13</v>
      </c>
      <c r="E16" s="1071" t="s">
        <v>249</v>
      </c>
      <c r="F16" s="1137" t="s">
        <v>8</v>
      </c>
      <c r="G16" s="1133">
        <v>64</v>
      </c>
      <c r="H16" s="1062" t="s">
        <v>123</v>
      </c>
      <c r="I16" s="1062" t="s">
        <v>51</v>
      </c>
      <c r="J16" s="1134" t="s">
        <v>80</v>
      </c>
      <c r="K16" s="1180"/>
      <c r="L16" s="358"/>
      <c r="M16" s="1064">
        <v>43893</v>
      </c>
      <c r="N16" s="1181">
        <v>16</v>
      </c>
      <c r="O16" s="728" t="s">
        <v>248</v>
      </c>
      <c r="P16" s="1008" t="s">
        <v>83</v>
      </c>
      <c r="Q16" s="1182">
        <v>40</v>
      </c>
      <c r="R16" s="1179" t="s">
        <v>51</v>
      </c>
      <c r="S16" s="1644"/>
      <c r="T16" s="1068">
        <f>COUNTIF(D:D,N16)+COUNTIF(Avr!D:D,N16)</f>
        <v>12</v>
      </c>
      <c r="U16" s="341"/>
      <c r="V16" s="360"/>
      <c r="W16" s="371"/>
      <c r="X16" s="371"/>
      <c r="Y16" s="371"/>
      <c r="Z16" s="371"/>
      <c r="AA16" s="371"/>
      <c r="AB16" s="371"/>
      <c r="AC16" s="371"/>
      <c r="AD16" s="371"/>
      <c r="AE16" s="371"/>
      <c r="AF16" s="371"/>
      <c r="AG16" s="371"/>
      <c r="AH16" s="371"/>
    </row>
    <row r="17" spans="1:34" s="365" customFormat="1" ht="38.25" customHeight="1">
      <c r="A17" s="363"/>
      <c r="B17" s="364"/>
      <c r="C17" s="1058">
        <v>43892</v>
      </c>
      <c r="D17" s="1059">
        <v>11</v>
      </c>
      <c r="E17" s="1071" t="s">
        <v>250</v>
      </c>
      <c r="F17" s="1137" t="s">
        <v>9</v>
      </c>
      <c r="G17" s="1133">
        <v>65</v>
      </c>
      <c r="H17" s="1062" t="s">
        <v>79</v>
      </c>
      <c r="I17" s="1062" t="s">
        <v>51</v>
      </c>
      <c r="J17" s="1134" t="s">
        <v>80</v>
      </c>
      <c r="K17" s="825" t="s">
        <v>96</v>
      </c>
      <c r="L17" s="353"/>
      <c r="M17" s="1064">
        <v>43893</v>
      </c>
      <c r="N17" s="1178">
        <v>17</v>
      </c>
      <c r="O17" s="1066" t="s">
        <v>251</v>
      </c>
      <c r="P17" s="1008" t="s">
        <v>10</v>
      </c>
      <c r="Q17" s="1067">
        <v>64</v>
      </c>
      <c r="R17" s="1179" t="s">
        <v>252</v>
      </c>
      <c r="S17" s="1035" t="s">
        <v>96</v>
      </c>
      <c r="T17" s="1068">
        <f>COUNTIF(D:D,N17)+COUNTIF(Avr!D:D,N17)</f>
        <v>4</v>
      </c>
      <c r="U17" s="341"/>
      <c r="V17" s="363"/>
      <c r="W17" s="574"/>
      <c r="X17" s="574"/>
      <c r="Y17" s="574"/>
      <c r="Z17" s="574"/>
      <c r="AA17" s="574"/>
      <c r="AB17" s="574"/>
      <c r="AC17" s="574"/>
      <c r="AD17" s="574"/>
      <c r="AE17" s="574"/>
      <c r="AF17" s="574"/>
      <c r="AG17" s="574"/>
      <c r="AH17" s="574"/>
    </row>
    <row r="18" spans="1:34" s="365" customFormat="1">
      <c r="A18" s="363"/>
      <c r="B18" s="364"/>
      <c r="C18" s="1058">
        <v>43892</v>
      </c>
      <c r="D18" s="1059">
        <v>11</v>
      </c>
      <c r="E18" s="1071" t="s">
        <v>250</v>
      </c>
      <c r="F18" s="1137" t="s">
        <v>8</v>
      </c>
      <c r="G18" s="1133">
        <v>65</v>
      </c>
      <c r="H18" s="1062" t="s">
        <v>253</v>
      </c>
      <c r="I18" s="1062" t="s">
        <v>51</v>
      </c>
      <c r="J18" s="1134" t="s">
        <v>80</v>
      </c>
      <c r="K18" s="1180"/>
      <c r="L18" s="353"/>
      <c r="M18" s="1064"/>
      <c r="N18" s="1178"/>
      <c r="O18" s="1066"/>
      <c r="P18" s="1008"/>
      <c r="Q18" s="1067"/>
      <c r="R18" s="1179"/>
      <c r="S18" s="855"/>
      <c r="T18" s="1068"/>
      <c r="U18" s="341"/>
      <c r="V18" s="363"/>
      <c r="W18" s="574"/>
      <c r="X18" s="574"/>
      <c r="Y18" s="574"/>
      <c r="Z18" s="574"/>
      <c r="AA18" s="574"/>
      <c r="AB18" s="574"/>
      <c r="AC18" s="574"/>
      <c r="AD18" s="574"/>
      <c r="AE18" s="574"/>
      <c r="AF18" s="574"/>
      <c r="AG18" s="574"/>
      <c r="AH18" s="574"/>
    </row>
    <row r="19" spans="1:34" s="362" customFormat="1">
      <c r="A19" s="360"/>
      <c r="B19" s="361"/>
      <c r="C19" s="1058">
        <v>43892</v>
      </c>
      <c r="D19" s="1059">
        <v>20</v>
      </c>
      <c r="E19" s="1078" t="s">
        <v>254</v>
      </c>
      <c r="F19" s="1137" t="s">
        <v>11</v>
      </c>
      <c r="G19" s="1133">
        <v>64</v>
      </c>
      <c r="H19" s="1062" t="s">
        <v>247</v>
      </c>
      <c r="I19" s="1062" t="s">
        <v>51</v>
      </c>
      <c r="J19" s="1134" t="s">
        <v>80</v>
      </c>
      <c r="K19" s="1180"/>
      <c r="L19" s="353"/>
      <c r="M19" s="1064"/>
      <c r="N19" s="1178"/>
      <c r="O19" s="1066"/>
      <c r="P19" s="1008"/>
      <c r="Q19" s="1067"/>
      <c r="R19" s="1179"/>
      <c r="S19" s="856"/>
      <c r="T19" s="1068"/>
      <c r="U19" s="341"/>
      <c r="V19" s="360"/>
      <c r="W19" s="371"/>
      <c r="X19" s="371"/>
      <c r="Y19" s="371"/>
      <c r="Z19" s="371"/>
      <c r="AA19" s="371"/>
      <c r="AB19" s="371"/>
      <c r="AC19" s="371"/>
      <c r="AD19" s="371"/>
      <c r="AE19" s="371"/>
      <c r="AF19" s="371"/>
      <c r="AG19" s="371"/>
      <c r="AH19" s="371"/>
    </row>
    <row r="20" spans="1:34">
      <c r="A20" s="321"/>
      <c r="B20" s="339"/>
      <c r="C20" s="1058">
        <v>43892</v>
      </c>
      <c r="D20" s="1059">
        <v>17</v>
      </c>
      <c r="E20" s="1078" t="s">
        <v>255</v>
      </c>
      <c r="F20" s="1137" t="s">
        <v>11</v>
      </c>
      <c r="G20" s="1133">
        <v>64</v>
      </c>
      <c r="H20" s="1062" t="s">
        <v>247</v>
      </c>
      <c r="I20" s="1062" t="s">
        <v>51</v>
      </c>
      <c r="J20" s="1134" t="s">
        <v>80</v>
      </c>
      <c r="K20" s="1180"/>
      <c r="L20" s="353"/>
      <c r="M20" s="1064">
        <v>43892</v>
      </c>
      <c r="N20" s="1183">
        <v>20</v>
      </c>
      <c r="O20" s="1008" t="s">
        <v>256</v>
      </c>
      <c r="P20" s="1008" t="s">
        <v>11</v>
      </c>
      <c r="Q20" s="1067">
        <v>64</v>
      </c>
      <c r="R20" s="1179" t="s">
        <v>51</v>
      </c>
      <c r="S20" s="1184"/>
      <c r="T20" s="1068">
        <f>COUNTIF(D:D,N20)+COUNTIF(Avr!D:D,N20)</f>
        <v>2</v>
      </c>
      <c r="U20" s="341"/>
      <c r="V20" s="321"/>
      <c r="X20" s="572"/>
      <c r="Y20" s="572"/>
      <c r="Z20" s="572"/>
      <c r="AA20" s="572"/>
      <c r="AB20" s="572"/>
      <c r="AC20" s="572"/>
      <c r="AD20" s="572"/>
      <c r="AE20" s="572"/>
      <c r="AF20" s="572"/>
      <c r="AG20" s="572"/>
      <c r="AH20" s="572"/>
    </row>
    <row r="21" spans="1:34" s="365" customFormat="1">
      <c r="A21" s="363"/>
      <c r="B21" s="364"/>
      <c r="C21" s="1058">
        <v>43892</v>
      </c>
      <c r="D21" s="1059">
        <v>20</v>
      </c>
      <c r="E21" s="1069" t="s">
        <v>257</v>
      </c>
      <c r="F21" s="1137" t="s">
        <v>9</v>
      </c>
      <c r="G21" s="1133">
        <v>64</v>
      </c>
      <c r="H21" s="1062" t="s">
        <v>258</v>
      </c>
      <c r="I21" s="1062" t="s">
        <v>51</v>
      </c>
      <c r="J21" s="1134" t="s">
        <v>80</v>
      </c>
      <c r="K21" s="839" t="s">
        <v>96</v>
      </c>
      <c r="L21" s="353"/>
      <c r="M21" s="1185">
        <v>43894</v>
      </c>
      <c r="N21" s="1183">
        <v>21</v>
      </c>
      <c r="O21" s="1008" t="s">
        <v>259</v>
      </c>
      <c r="P21" s="1186" t="s">
        <v>83</v>
      </c>
      <c r="Q21" s="1067">
        <v>65</v>
      </c>
      <c r="R21" s="1187" t="s">
        <v>51</v>
      </c>
      <c r="S21" s="977" t="s">
        <v>96</v>
      </c>
      <c r="T21" s="1068">
        <f>COUNTIF(D:D,N21)+COUNTIF(Avr!D:D,N21)</f>
        <v>4</v>
      </c>
      <c r="U21" s="341"/>
      <c r="V21" s="363"/>
      <c r="W21" s="574"/>
      <c r="X21" s="574"/>
      <c r="Y21" s="574"/>
      <c r="Z21" s="574"/>
      <c r="AA21" s="574"/>
      <c r="AB21" s="574"/>
      <c r="AC21" s="574"/>
      <c r="AD21" s="574"/>
      <c r="AE21" s="574"/>
      <c r="AF21" s="574"/>
      <c r="AG21" s="574"/>
      <c r="AH21" s="574"/>
    </row>
    <row r="22" spans="1:34" s="362" customFormat="1">
      <c r="A22" s="360"/>
      <c r="B22" s="361"/>
      <c r="C22" s="1058">
        <v>43892</v>
      </c>
      <c r="D22" s="1059">
        <v>13</v>
      </c>
      <c r="E22" s="1078" t="s">
        <v>260</v>
      </c>
      <c r="F22" s="1137" t="s">
        <v>9</v>
      </c>
      <c r="G22" s="1133">
        <v>64</v>
      </c>
      <c r="H22" s="1060" t="s">
        <v>261</v>
      </c>
      <c r="I22" s="1062" t="s">
        <v>51</v>
      </c>
      <c r="J22" s="1134" t="s">
        <v>80</v>
      </c>
      <c r="K22" s="825" t="s">
        <v>96</v>
      </c>
      <c r="L22" s="358"/>
      <c r="M22" s="1185">
        <v>43894</v>
      </c>
      <c r="N22" s="1183">
        <v>22</v>
      </c>
      <c r="O22" s="1008" t="s">
        <v>259</v>
      </c>
      <c r="P22" s="1186" t="s">
        <v>83</v>
      </c>
      <c r="Q22" s="1067">
        <v>64</v>
      </c>
      <c r="R22" s="1187" t="s">
        <v>51</v>
      </c>
      <c r="S22" s="977"/>
      <c r="T22" s="1068">
        <f>COUNTIF(D:D,N22)+COUNTIF(Avr!D:D,N22)</f>
        <v>5</v>
      </c>
      <c r="U22" s="341"/>
      <c r="V22" s="360"/>
      <c r="W22" s="371"/>
      <c r="X22" s="371"/>
      <c r="Y22" s="371"/>
      <c r="Z22" s="371"/>
      <c r="AA22" s="371"/>
      <c r="AB22" s="371"/>
      <c r="AC22" s="371"/>
      <c r="AD22" s="371"/>
      <c r="AE22" s="371"/>
      <c r="AF22" s="371"/>
      <c r="AG22" s="371"/>
      <c r="AH22" s="371"/>
    </row>
    <row r="23" spans="1:34" s="362" customFormat="1" ht="16.5" thickBot="1">
      <c r="A23" s="360"/>
      <c r="B23" s="361"/>
      <c r="C23" s="1058">
        <v>43892</v>
      </c>
      <c r="D23" s="1059">
        <v>17</v>
      </c>
      <c r="E23" s="1078" t="s">
        <v>262</v>
      </c>
      <c r="F23" s="1137" t="s">
        <v>10</v>
      </c>
      <c r="G23" s="1133">
        <v>64</v>
      </c>
      <c r="H23" s="1062" t="s">
        <v>261</v>
      </c>
      <c r="I23" s="1062" t="s">
        <v>51</v>
      </c>
      <c r="J23" s="1134" t="s">
        <v>80</v>
      </c>
      <c r="K23" s="839" t="s">
        <v>96</v>
      </c>
      <c r="L23" s="370"/>
      <c r="M23" s="1188"/>
      <c r="N23" s="1189"/>
      <c r="O23" s="1139"/>
      <c r="P23" s="1190"/>
      <c r="Q23" s="1138"/>
      <c r="R23" s="1191"/>
      <c r="S23" s="977"/>
      <c r="T23" s="1192"/>
      <c r="U23" s="341"/>
      <c r="V23" s="360"/>
      <c r="W23" s="371"/>
      <c r="X23" s="371"/>
      <c r="Y23" s="371"/>
      <c r="Z23" s="371"/>
      <c r="AA23" s="371"/>
      <c r="AB23" s="371"/>
      <c r="AC23" s="371"/>
      <c r="AD23" s="371"/>
      <c r="AE23" s="371"/>
      <c r="AF23" s="371"/>
      <c r="AG23" s="371"/>
      <c r="AH23" s="371"/>
    </row>
    <row r="24" spans="1:34" ht="16.5" thickBot="1">
      <c r="A24" s="321"/>
      <c r="B24" s="339"/>
      <c r="C24" s="1058">
        <v>43892</v>
      </c>
      <c r="D24" s="1059">
        <v>11</v>
      </c>
      <c r="E24" s="1078" t="s">
        <v>263</v>
      </c>
      <c r="F24" s="1137" t="s">
        <v>8</v>
      </c>
      <c r="G24" s="1133">
        <v>65</v>
      </c>
      <c r="H24" s="1062" t="s">
        <v>193</v>
      </c>
      <c r="I24" s="1062" t="s">
        <v>51</v>
      </c>
      <c r="J24" s="1134" t="s">
        <v>80</v>
      </c>
      <c r="K24" s="825" t="s">
        <v>81</v>
      </c>
      <c r="L24" s="370"/>
      <c r="M24" s="369"/>
      <c r="N24" s="369"/>
      <c r="O24" s="346"/>
      <c r="P24" s="346"/>
      <c r="Q24" s="590"/>
      <c r="R24" s="346"/>
      <c r="S24" s="346"/>
      <c r="T24" s="346"/>
      <c r="U24" s="341"/>
      <c r="V24" s="321"/>
      <c r="X24" s="572"/>
      <c r="Y24" s="572"/>
      <c r="Z24" s="572"/>
      <c r="AA24" s="572"/>
      <c r="AB24" s="572"/>
      <c r="AC24" s="572"/>
      <c r="AD24" s="572"/>
      <c r="AE24" s="572"/>
      <c r="AF24" s="572"/>
      <c r="AG24" s="572"/>
      <c r="AH24" s="572"/>
    </row>
    <row r="25" spans="1:34">
      <c r="A25" s="321"/>
      <c r="B25" s="339"/>
      <c r="C25" s="1058">
        <v>43892</v>
      </c>
      <c r="D25" s="1059">
        <v>13</v>
      </c>
      <c r="E25" s="1062" t="s">
        <v>264</v>
      </c>
      <c r="F25" s="1137" t="s">
        <v>9</v>
      </c>
      <c r="G25" s="1133">
        <v>64</v>
      </c>
      <c r="H25" s="1078" t="s">
        <v>265</v>
      </c>
      <c r="I25" s="1062" t="s">
        <v>51</v>
      </c>
      <c r="J25" s="1134" t="s">
        <v>80</v>
      </c>
      <c r="K25" s="825" t="s">
        <v>96</v>
      </c>
      <c r="L25" s="370"/>
      <c r="M25" s="1152" t="s">
        <v>266</v>
      </c>
      <c r="N25" s="489"/>
      <c r="O25" s="346"/>
      <c r="P25" s="346"/>
      <c r="Q25" s="346"/>
      <c r="R25" s="346"/>
      <c r="S25" s="346"/>
      <c r="T25" s="346"/>
      <c r="U25" s="341"/>
      <c r="V25" s="321"/>
      <c r="X25" s="572"/>
      <c r="Y25" s="572"/>
      <c r="Z25" s="572"/>
      <c r="AA25" s="572"/>
      <c r="AB25" s="572"/>
      <c r="AC25" s="572"/>
      <c r="AD25" s="572"/>
      <c r="AE25" s="572"/>
      <c r="AF25" s="572"/>
      <c r="AG25" s="572"/>
      <c r="AH25" s="572"/>
    </row>
    <row r="26" spans="1:34">
      <c r="A26" s="321"/>
      <c r="B26" s="339"/>
      <c r="C26" s="1058">
        <v>43892</v>
      </c>
      <c r="D26" s="1059">
        <v>13</v>
      </c>
      <c r="E26" s="1193" t="s">
        <v>267</v>
      </c>
      <c r="F26" s="1137" t="s">
        <v>9</v>
      </c>
      <c r="G26" s="1133">
        <v>64</v>
      </c>
      <c r="H26" s="1062" t="s">
        <v>268</v>
      </c>
      <c r="I26" s="1062" t="s">
        <v>51</v>
      </c>
      <c r="J26" s="1134" t="s">
        <v>80</v>
      </c>
      <c r="K26" s="825" t="s">
        <v>96</v>
      </c>
      <c r="L26" s="358"/>
      <c r="M26" s="490" t="s">
        <v>128</v>
      </c>
      <c r="N26" s="450">
        <f>SUM(N27:N29)</f>
        <v>99</v>
      </c>
      <c r="O26" s="346"/>
      <c r="P26" s="346"/>
      <c r="Q26" s="346"/>
      <c r="R26" s="346"/>
      <c r="S26" s="346"/>
      <c r="T26" s="346"/>
      <c r="U26" s="341"/>
      <c r="V26" s="321"/>
      <c r="X26" s="572"/>
      <c r="Y26" s="572"/>
      <c r="Z26" s="572"/>
      <c r="AA26" s="572"/>
      <c r="AB26" s="572"/>
      <c r="AC26" s="572"/>
      <c r="AD26" s="572"/>
      <c r="AE26" s="572"/>
      <c r="AF26" s="572"/>
      <c r="AG26" s="572"/>
      <c r="AH26" s="572"/>
    </row>
    <row r="27" spans="1:34" s="362" customFormat="1">
      <c r="A27" s="360"/>
      <c r="B27" s="361"/>
      <c r="C27" s="1058">
        <v>43892</v>
      </c>
      <c r="D27" s="1059">
        <v>12</v>
      </c>
      <c r="E27" s="1078" t="s">
        <v>269</v>
      </c>
      <c r="F27" s="1137" t="s">
        <v>8</v>
      </c>
      <c r="G27" s="1133">
        <v>40</v>
      </c>
      <c r="H27" s="1072" t="s">
        <v>85</v>
      </c>
      <c r="I27" s="1062" t="s">
        <v>51</v>
      </c>
      <c r="J27" s="1134" t="s">
        <v>80</v>
      </c>
      <c r="K27" s="825" t="s">
        <v>81</v>
      </c>
      <c r="L27" s="370"/>
      <c r="M27" s="491" t="s">
        <v>129</v>
      </c>
      <c r="N27" s="450">
        <f>COUNTIF(G$1:G208,40)</f>
        <v>26</v>
      </c>
      <c r="O27" s="346"/>
      <c r="P27" s="346"/>
      <c r="Q27" s="346"/>
      <c r="R27" s="346"/>
      <c r="S27" s="346"/>
      <c r="T27" s="346"/>
      <c r="U27" s="372"/>
      <c r="V27" s="360"/>
      <c r="W27" s="371"/>
      <c r="X27" s="371"/>
      <c r="Y27" s="371"/>
      <c r="Z27" s="371"/>
      <c r="AA27" s="371"/>
      <c r="AB27" s="371"/>
      <c r="AC27" s="371"/>
      <c r="AD27" s="371"/>
      <c r="AE27" s="371"/>
      <c r="AF27" s="371"/>
      <c r="AG27" s="371"/>
      <c r="AH27" s="371"/>
    </row>
    <row r="28" spans="1:34" s="362" customFormat="1">
      <c r="A28" s="360"/>
      <c r="B28" s="361"/>
      <c r="C28" s="1058">
        <v>43892</v>
      </c>
      <c r="D28" s="1061">
        <v>13</v>
      </c>
      <c r="E28" s="1072" t="s">
        <v>270</v>
      </c>
      <c r="F28" s="1133" t="s">
        <v>9</v>
      </c>
      <c r="G28" s="1133">
        <v>64</v>
      </c>
      <c r="H28" s="1062" t="s">
        <v>271</v>
      </c>
      <c r="I28" s="1071" t="s">
        <v>51</v>
      </c>
      <c r="J28" s="1134" t="s">
        <v>80</v>
      </c>
      <c r="K28" s="825" t="s">
        <v>96</v>
      </c>
      <c r="L28" s="370"/>
      <c r="M28" s="491" t="s">
        <v>132</v>
      </c>
      <c r="N28" s="450">
        <f>COUNTIF(G$1:G208,65)</f>
        <v>38</v>
      </c>
      <c r="O28" s="369"/>
      <c r="P28" s="369"/>
      <c r="Q28" s="369"/>
      <c r="R28" s="369"/>
      <c r="S28" s="369"/>
      <c r="T28" s="369"/>
      <c r="U28" s="372"/>
      <c r="V28" s="360"/>
      <c r="W28" s="371"/>
      <c r="X28" s="371"/>
      <c r="Y28" s="371"/>
      <c r="Z28" s="371"/>
      <c r="AA28" s="371"/>
      <c r="AB28" s="371"/>
      <c r="AC28" s="371"/>
      <c r="AD28" s="371"/>
      <c r="AE28" s="371"/>
      <c r="AF28" s="371"/>
      <c r="AG28" s="371"/>
      <c r="AH28" s="371"/>
    </row>
    <row r="29" spans="1:34" s="362" customFormat="1" ht="16.5" thickBot="1">
      <c r="A29" s="360"/>
      <c r="B29" s="361"/>
      <c r="C29" s="1175">
        <v>43892</v>
      </c>
      <c r="D29" s="1194">
        <v>9</v>
      </c>
      <c r="E29" s="1195" t="s">
        <v>272</v>
      </c>
      <c r="F29" s="1196" t="s">
        <v>8</v>
      </c>
      <c r="G29" s="1196">
        <v>40</v>
      </c>
      <c r="H29" s="1177" t="s">
        <v>85</v>
      </c>
      <c r="I29" s="1195" t="s">
        <v>54</v>
      </c>
      <c r="J29" s="1134" t="s">
        <v>80</v>
      </c>
      <c r="K29" s="839" t="s">
        <v>81</v>
      </c>
      <c r="L29" s="370"/>
      <c r="M29" s="492" t="s">
        <v>134</v>
      </c>
      <c r="N29" s="456">
        <f>COUNTIF(G$1:G208,64)</f>
        <v>35</v>
      </c>
      <c r="O29" s="346"/>
      <c r="P29" s="346"/>
      <c r="Q29" s="346"/>
      <c r="R29" s="346"/>
      <c r="S29" s="346"/>
      <c r="T29" s="346"/>
      <c r="U29" s="372"/>
      <c r="V29" s="360"/>
      <c r="W29" s="371"/>
      <c r="X29" s="371"/>
      <c r="Y29" s="371"/>
      <c r="Z29" s="371"/>
      <c r="AA29" s="371"/>
      <c r="AB29" s="371"/>
      <c r="AC29" s="371"/>
      <c r="AD29" s="371"/>
      <c r="AE29" s="371"/>
      <c r="AF29" s="371"/>
      <c r="AG29" s="371"/>
      <c r="AH29" s="371"/>
    </row>
    <row r="30" spans="1:34" ht="16.5" thickBot="1">
      <c r="A30" s="321"/>
      <c r="B30" s="339"/>
      <c r="C30" s="1058">
        <v>43892</v>
      </c>
      <c r="D30" s="1197"/>
      <c r="E30" s="1071" t="s">
        <v>273</v>
      </c>
      <c r="F30" s="1133" t="s">
        <v>8</v>
      </c>
      <c r="G30" s="1133">
        <v>40</v>
      </c>
      <c r="H30" s="1062" t="s">
        <v>85</v>
      </c>
      <c r="I30" s="1071" t="s">
        <v>50</v>
      </c>
      <c r="J30" s="1134" t="s">
        <v>80</v>
      </c>
      <c r="K30" s="844"/>
      <c r="L30" s="370"/>
      <c r="M30" s="373"/>
      <c r="N30" s="369"/>
      <c r="O30" s="369"/>
      <c r="P30" s="369"/>
      <c r="Q30" s="369"/>
      <c r="R30" s="369"/>
      <c r="S30" s="369"/>
      <c r="T30" s="369"/>
      <c r="U30" s="341"/>
      <c r="V30" s="321"/>
      <c r="X30" s="572"/>
      <c r="Y30" s="572"/>
      <c r="Z30" s="572"/>
      <c r="AA30" s="572"/>
      <c r="AB30" s="572"/>
      <c r="AC30" s="572"/>
      <c r="AD30" s="572"/>
      <c r="AE30" s="572"/>
      <c r="AF30" s="572"/>
      <c r="AG30" s="572"/>
      <c r="AH30" s="572"/>
    </row>
    <row r="31" spans="1:34" s="362" customFormat="1">
      <c r="A31" s="360"/>
      <c r="B31" s="361"/>
      <c r="C31" s="1058">
        <v>43892</v>
      </c>
      <c r="D31" s="1061">
        <v>12</v>
      </c>
      <c r="E31" s="845" t="s">
        <v>274</v>
      </c>
      <c r="F31" s="1133" t="s">
        <v>10</v>
      </c>
      <c r="G31" s="1133">
        <v>40</v>
      </c>
      <c r="H31" s="1062" t="s">
        <v>275</v>
      </c>
      <c r="I31" s="1071" t="s">
        <v>51</v>
      </c>
      <c r="J31" s="1134" t="s">
        <v>80</v>
      </c>
      <c r="K31" s="844"/>
      <c r="L31" s="370"/>
      <c r="M31" s="1198">
        <v>43895</v>
      </c>
      <c r="N31" s="1199">
        <v>24</v>
      </c>
      <c r="O31" s="1200" t="s">
        <v>276</v>
      </c>
      <c r="P31" s="1201" t="s">
        <v>83</v>
      </c>
      <c r="Q31" s="1199">
        <v>65</v>
      </c>
      <c r="R31" s="1200" t="s">
        <v>51</v>
      </c>
      <c r="S31" s="1645" t="s">
        <v>96</v>
      </c>
      <c r="T31" s="1202">
        <f>COUNTIF(D:D,N31)+COUNTIF(Avr!D:D,N31)</f>
        <v>4</v>
      </c>
      <c r="U31" s="372"/>
      <c r="V31" s="360"/>
      <c r="W31" s="371"/>
      <c r="X31" s="371"/>
      <c r="Y31" s="371"/>
      <c r="Z31" s="371"/>
      <c r="AA31" s="371"/>
      <c r="AB31" s="371"/>
      <c r="AC31" s="371"/>
      <c r="AD31" s="371"/>
      <c r="AE31" s="371"/>
      <c r="AF31" s="371"/>
      <c r="AG31" s="371"/>
      <c r="AH31" s="371"/>
    </row>
    <row r="32" spans="1:34">
      <c r="A32" s="321"/>
      <c r="B32" s="339"/>
      <c r="C32" s="1058">
        <v>43893</v>
      </c>
      <c r="D32" s="1059">
        <v>11</v>
      </c>
      <c r="E32" s="1071" t="s">
        <v>263</v>
      </c>
      <c r="F32" s="1137" t="s">
        <v>9</v>
      </c>
      <c r="G32" s="1133">
        <v>65</v>
      </c>
      <c r="H32" s="1062" t="s">
        <v>79</v>
      </c>
      <c r="I32" s="1062" t="s">
        <v>51</v>
      </c>
      <c r="J32" s="1134" t="s">
        <v>80</v>
      </c>
      <c r="K32" s="825" t="s">
        <v>96</v>
      </c>
      <c r="L32" s="358"/>
      <c r="M32" s="1203">
        <v>43895</v>
      </c>
      <c r="N32" s="1067">
        <v>25</v>
      </c>
      <c r="O32" s="1179" t="s">
        <v>276</v>
      </c>
      <c r="P32" s="1008" t="s">
        <v>83</v>
      </c>
      <c r="Q32" s="1067">
        <v>64</v>
      </c>
      <c r="R32" s="1179" t="s">
        <v>51</v>
      </c>
      <c r="S32" s="1646"/>
      <c r="T32" s="1068">
        <f>COUNTIF(D:D,N32)+COUNTIF(Avr!D:D,N32)</f>
        <v>2</v>
      </c>
      <c r="U32" s="341"/>
      <c r="V32" s="321"/>
      <c r="X32" s="572"/>
      <c r="Y32" s="572"/>
      <c r="Z32" s="572"/>
      <c r="AA32" s="572"/>
      <c r="AB32" s="572"/>
      <c r="AC32" s="572"/>
      <c r="AD32" s="572"/>
      <c r="AE32" s="572"/>
      <c r="AF32" s="572"/>
      <c r="AG32" s="572"/>
      <c r="AH32" s="572"/>
    </row>
    <row r="33" spans="1:34" s="362" customFormat="1">
      <c r="A33" s="360"/>
      <c r="B33" s="361"/>
      <c r="C33" s="1058">
        <v>43893</v>
      </c>
      <c r="D33" s="1059">
        <v>11</v>
      </c>
      <c r="E33" s="1071" t="s">
        <v>263</v>
      </c>
      <c r="F33" s="1137" t="s">
        <v>8</v>
      </c>
      <c r="G33" s="1133">
        <v>65</v>
      </c>
      <c r="H33" s="1062" t="s">
        <v>253</v>
      </c>
      <c r="I33" s="1062" t="s">
        <v>51</v>
      </c>
      <c r="J33" s="1134" t="s">
        <v>80</v>
      </c>
      <c r="K33" s="846"/>
      <c r="L33" s="358"/>
      <c r="M33" s="1203">
        <v>43895</v>
      </c>
      <c r="N33" s="1067">
        <v>26</v>
      </c>
      <c r="O33" s="1179" t="s">
        <v>276</v>
      </c>
      <c r="P33" s="1008" t="s">
        <v>83</v>
      </c>
      <c r="Q33" s="1067">
        <v>40</v>
      </c>
      <c r="R33" s="1179" t="s">
        <v>51</v>
      </c>
      <c r="S33" s="1647"/>
      <c r="T33" s="1068">
        <f>COUNTIF(D:D,N33)+COUNTIF(Avr!D:D,N33)</f>
        <v>3</v>
      </c>
      <c r="U33" s="372"/>
      <c r="V33" s="360"/>
      <c r="W33" s="371"/>
      <c r="X33" s="371"/>
      <c r="Y33" s="371"/>
      <c r="Z33" s="371"/>
      <c r="AA33" s="371"/>
      <c r="AB33" s="371"/>
      <c r="AC33" s="371"/>
      <c r="AD33" s="371"/>
      <c r="AE33" s="371"/>
      <c r="AF33" s="371"/>
      <c r="AG33" s="371"/>
      <c r="AH33" s="371"/>
    </row>
    <row r="34" spans="1:34" s="362" customFormat="1">
      <c r="A34" s="360"/>
      <c r="B34" s="361"/>
      <c r="C34" s="1058">
        <v>43893</v>
      </c>
      <c r="D34" s="1059">
        <v>14</v>
      </c>
      <c r="E34" s="1069" t="s">
        <v>277</v>
      </c>
      <c r="F34" s="1137" t="s">
        <v>9</v>
      </c>
      <c r="G34" s="1133">
        <v>65</v>
      </c>
      <c r="H34" s="1062" t="s">
        <v>243</v>
      </c>
      <c r="I34" s="1062" t="s">
        <v>51</v>
      </c>
      <c r="J34" s="1134" t="s">
        <v>80</v>
      </c>
      <c r="K34" s="825" t="s">
        <v>96</v>
      </c>
      <c r="L34" s="358"/>
      <c r="M34" s="1064">
        <v>43896</v>
      </c>
      <c r="N34" s="1067">
        <v>27</v>
      </c>
      <c r="O34" s="1179" t="s">
        <v>278</v>
      </c>
      <c r="P34" s="1008" t="s">
        <v>10</v>
      </c>
      <c r="Q34" s="1067">
        <v>40</v>
      </c>
      <c r="R34" s="1179" t="s">
        <v>51</v>
      </c>
      <c r="S34" s="1204"/>
      <c r="T34" s="1068">
        <f>COUNTIF(D:D,N34)+COUNTIF(Avr!D:D,N34)</f>
        <v>3</v>
      </c>
      <c r="U34" s="372"/>
      <c r="V34" s="360"/>
      <c r="W34" s="371"/>
      <c r="X34" s="371"/>
      <c r="Y34" s="371"/>
      <c r="Z34" s="371"/>
      <c r="AA34" s="371"/>
      <c r="AB34" s="371"/>
      <c r="AC34" s="371"/>
      <c r="AD34" s="371"/>
      <c r="AE34" s="371"/>
      <c r="AF34" s="371"/>
      <c r="AG34" s="371"/>
      <c r="AH34" s="371"/>
    </row>
    <row r="35" spans="1:34" s="362" customFormat="1">
      <c r="A35" s="360"/>
      <c r="B35" s="361"/>
      <c r="C35" s="1058">
        <v>43893</v>
      </c>
      <c r="D35" s="1059">
        <v>15</v>
      </c>
      <c r="E35" s="1069" t="s">
        <v>279</v>
      </c>
      <c r="F35" s="1137" t="s">
        <v>9</v>
      </c>
      <c r="G35" s="1133">
        <v>64</v>
      </c>
      <c r="H35" s="1062" t="s">
        <v>268</v>
      </c>
      <c r="I35" s="1062" t="s">
        <v>51</v>
      </c>
      <c r="J35" s="1134" t="s">
        <v>80</v>
      </c>
      <c r="K35" s="825" t="s">
        <v>96</v>
      </c>
      <c r="L35" s="358"/>
      <c r="M35" s="1064"/>
      <c r="N35" s="731"/>
      <c r="O35" s="1179"/>
      <c r="P35" s="1008"/>
      <c r="Q35" s="1067"/>
      <c r="R35" s="1179"/>
      <c r="S35" s="1035"/>
      <c r="T35" s="1068"/>
      <c r="U35" s="372"/>
      <c r="V35" s="360"/>
      <c r="W35" s="371"/>
      <c r="X35" s="371"/>
      <c r="Y35" s="371"/>
      <c r="Z35" s="371"/>
      <c r="AA35" s="371"/>
      <c r="AB35" s="371"/>
      <c r="AC35" s="371"/>
      <c r="AD35" s="371"/>
      <c r="AE35" s="371"/>
      <c r="AF35" s="371"/>
      <c r="AG35" s="371"/>
      <c r="AH35" s="371"/>
    </row>
    <row r="36" spans="1:34" s="362" customFormat="1" ht="30">
      <c r="A36" s="360"/>
      <c r="B36" s="361"/>
      <c r="C36" s="1058">
        <v>43893</v>
      </c>
      <c r="D36" s="1059">
        <v>15</v>
      </c>
      <c r="E36" s="1069" t="s">
        <v>279</v>
      </c>
      <c r="F36" s="1137" t="s">
        <v>8</v>
      </c>
      <c r="G36" s="1133">
        <v>64</v>
      </c>
      <c r="H36" s="1062" t="s">
        <v>268</v>
      </c>
      <c r="I36" s="1062" t="s">
        <v>51</v>
      </c>
      <c r="J36" s="1134" t="s">
        <v>80</v>
      </c>
      <c r="K36" s="844"/>
      <c r="L36" s="358"/>
      <c r="M36" s="1064">
        <v>43920</v>
      </c>
      <c r="N36" s="731">
        <v>29</v>
      </c>
      <c r="O36" s="1205" t="s">
        <v>280</v>
      </c>
      <c r="P36" s="1008" t="s">
        <v>83</v>
      </c>
      <c r="Q36" s="1067">
        <v>65</v>
      </c>
      <c r="R36" s="1179" t="s">
        <v>50</v>
      </c>
      <c r="S36" s="977" t="s">
        <v>96</v>
      </c>
      <c r="T36" s="1068">
        <f>COUNTIF(D:D,N36)+COUNTIF(Avr!D:D,N36)</f>
        <v>7</v>
      </c>
      <c r="U36" s="372"/>
      <c r="V36" s="360"/>
      <c r="W36" s="371"/>
      <c r="X36" s="371"/>
      <c r="Y36" s="371"/>
      <c r="Z36" s="371"/>
      <c r="AA36" s="371"/>
      <c r="AB36" s="371"/>
      <c r="AC36" s="371"/>
      <c r="AD36" s="371"/>
      <c r="AE36" s="371"/>
      <c r="AF36" s="371"/>
      <c r="AG36" s="371"/>
      <c r="AH36" s="371"/>
    </row>
    <row r="37" spans="1:34" s="362" customFormat="1">
      <c r="A37" s="360"/>
      <c r="B37" s="361"/>
      <c r="C37" s="1058">
        <v>43893</v>
      </c>
      <c r="D37" s="1059">
        <v>14</v>
      </c>
      <c r="E37" s="1069" t="s">
        <v>281</v>
      </c>
      <c r="F37" s="1137" t="s">
        <v>9</v>
      </c>
      <c r="G37" s="1133">
        <v>65</v>
      </c>
      <c r="H37" s="1060" t="s">
        <v>282</v>
      </c>
      <c r="I37" s="1062" t="s">
        <v>51</v>
      </c>
      <c r="J37" s="1134" t="s">
        <v>80</v>
      </c>
      <c r="K37" s="825" t="s">
        <v>96</v>
      </c>
      <c r="L37" s="358"/>
      <c r="M37" s="1064"/>
      <c r="N37" s="731"/>
      <c r="O37" s="1205"/>
      <c r="P37" s="1008"/>
      <c r="Q37" s="1067"/>
      <c r="R37" s="1179"/>
      <c r="S37" s="977"/>
      <c r="T37" s="1068">
        <f>COUNTIF(D:D,N37)+COUNTIF(Avr!D:D,N37)</f>
        <v>0</v>
      </c>
      <c r="U37" s="372"/>
      <c r="V37" s="360"/>
      <c r="W37" s="371"/>
      <c r="X37" s="371"/>
      <c r="Y37" s="371"/>
      <c r="Z37" s="371"/>
      <c r="AA37" s="371"/>
      <c r="AB37" s="371"/>
      <c r="AC37" s="371"/>
      <c r="AD37" s="371"/>
      <c r="AE37" s="371"/>
      <c r="AF37" s="371"/>
      <c r="AG37" s="371"/>
      <c r="AH37" s="371"/>
    </row>
    <row r="38" spans="1:34" s="362" customFormat="1" ht="16.5" thickBot="1">
      <c r="A38" s="360"/>
      <c r="B38" s="361"/>
      <c r="C38" s="1058">
        <v>43893</v>
      </c>
      <c r="D38" s="1059">
        <v>14</v>
      </c>
      <c r="E38" s="1071" t="s">
        <v>283</v>
      </c>
      <c r="F38" s="1137" t="s">
        <v>9</v>
      </c>
      <c r="G38" s="1133">
        <v>65</v>
      </c>
      <c r="H38" s="1078" t="s">
        <v>167</v>
      </c>
      <c r="I38" s="1062" t="s">
        <v>51</v>
      </c>
      <c r="J38" s="1134" t="s">
        <v>80</v>
      </c>
      <c r="K38" s="825" t="s">
        <v>96</v>
      </c>
      <c r="L38" s="370"/>
      <c r="M38" s="1073"/>
      <c r="N38" s="1206"/>
      <c r="O38" s="1207"/>
      <c r="P38" s="1139"/>
      <c r="Q38" s="1138"/>
      <c r="R38" s="1208"/>
      <c r="S38" s="977"/>
      <c r="T38" s="1192">
        <f>COUNTIF(D:D,N38)+COUNTIF(Avr!D:D,N38)</f>
        <v>0</v>
      </c>
      <c r="U38" s="372"/>
      <c r="V38" s="360"/>
      <c r="W38" s="371"/>
      <c r="X38" s="371"/>
      <c r="Y38" s="371"/>
      <c r="Z38" s="371"/>
      <c r="AA38" s="371"/>
      <c r="AB38" s="371"/>
      <c r="AC38" s="371"/>
      <c r="AD38" s="371"/>
      <c r="AE38" s="371"/>
      <c r="AF38" s="371"/>
      <c r="AG38" s="371"/>
      <c r="AH38" s="371"/>
    </row>
    <row r="39" spans="1:34" s="362" customFormat="1">
      <c r="A39" s="360"/>
      <c r="B39" s="361"/>
      <c r="C39" s="1058">
        <v>43893</v>
      </c>
      <c r="D39" s="1059">
        <v>14</v>
      </c>
      <c r="E39" s="1071" t="s">
        <v>284</v>
      </c>
      <c r="F39" s="1137" t="s">
        <v>9</v>
      </c>
      <c r="G39" s="1133">
        <v>65</v>
      </c>
      <c r="H39" s="1062" t="s">
        <v>79</v>
      </c>
      <c r="I39" s="1062" t="s">
        <v>51</v>
      </c>
      <c r="J39" s="1134" t="s">
        <v>80</v>
      </c>
      <c r="K39" s="825" t="s">
        <v>96</v>
      </c>
      <c r="L39" s="370"/>
      <c r="M39" s="373"/>
      <c r="N39" s="369"/>
      <c r="O39" s="369"/>
      <c r="P39" s="369"/>
      <c r="Q39" s="369"/>
      <c r="R39" s="346"/>
      <c r="S39" s="369"/>
      <c r="T39" s="369"/>
      <c r="U39" s="372"/>
      <c r="V39" s="360"/>
      <c r="W39" s="371"/>
      <c r="X39" s="371"/>
      <c r="Y39" s="371"/>
      <c r="Z39" s="371"/>
      <c r="AA39" s="371"/>
      <c r="AB39" s="371"/>
      <c r="AC39" s="371"/>
      <c r="AD39" s="371"/>
      <c r="AE39" s="371"/>
      <c r="AF39" s="371"/>
      <c r="AG39" s="371"/>
      <c r="AH39" s="371"/>
    </row>
    <row r="40" spans="1:34">
      <c r="A40" s="321"/>
      <c r="B40" s="339"/>
      <c r="C40" s="1058">
        <v>43893</v>
      </c>
      <c r="D40" s="1059">
        <v>14</v>
      </c>
      <c r="E40" s="1071" t="s">
        <v>284</v>
      </c>
      <c r="F40" s="1137" t="s">
        <v>8</v>
      </c>
      <c r="G40" s="1133">
        <v>65</v>
      </c>
      <c r="H40" s="1062" t="s">
        <v>253</v>
      </c>
      <c r="I40" s="1062" t="s">
        <v>51</v>
      </c>
      <c r="J40" s="1134" t="s">
        <v>80</v>
      </c>
      <c r="K40" s="825" t="s">
        <v>81</v>
      </c>
      <c r="L40" s="370"/>
      <c r="M40" s="373"/>
      <c r="N40" s="369"/>
      <c r="O40" s="369"/>
      <c r="P40" s="806"/>
      <c r="Q40" s="369"/>
      <c r="R40" s="369"/>
      <c r="S40" s="369"/>
      <c r="T40" s="369"/>
      <c r="U40" s="341"/>
      <c r="V40" s="321"/>
      <c r="X40" s="572"/>
      <c r="Y40" s="572"/>
      <c r="Z40" s="572"/>
      <c r="AA40" s="572"/>
      <c r="AB40" s="572"/>
      <c r="AC40" s="572"/>
      <c r="AD40" s="572"/>
      <c r="AE40" s="572"/>
      <c r="AF40" s="572"/>
      <c r="AG40" s="572"/>
      <c r="AH40" s="572"/>
    </row>
    <row r="41" spans="1:34">
      <c r="A41" s="321"/>
      <c r="B41" s="339"/>
      <c r="C41" s="1058">
        <v>43893</v>
      </c>
      <c r="D41" s="1059">
        <v>16</v>
      </c>
      <c r="E41" s="1071" t="s">
        <v>285</v>
      </c>
      <c r="F41" s="1137" t="s">
        <v>9</v>
      </c>
      <c r="G41" s="1133">
        <v>40</v>
      </c>
      <c r="H41" s="1062" t="s">
        <v>286</v>
      </c>
      <c r="I41" s="1062" t="s">
        <v>51</v>
      </c>
      <c r="J41" s="1134" t="s">
        <v>80</v>
      </c>
      <c r="K41" s="844"/>
      <c r="L41" s="370"/>
      <c r="M41" s="373"/>
      <c r="N41" s="369"/>
      <c r="O41" s="369"/>
      <c r="P41" s="806"/>
      <c r="Q41" s="369"/>
      <c r="R41" s="369"/>
      <c r="S41" s="369"/>
      <c r="T41" s="369"/>
      <c r="U41" s="341"/>
      <c r="V41" s="321"/>
      <c r="X41" s="572"/>
      <c r="Y41" s="572"/>
      <c r="Z41" s="572"/>
      <c r="AA41" s="572"/>
      <c r="AB41" s="572"/>
      <c r="AC41" s="572"/>
      <c r="AD41" s="572"/>
      <c r="AE41" s="572"/>
      <c r="AF41" s="572"/>
      <c r="AG41" s="572"/>
      <c r="AH41" s="572"/>
    </row>
    <row r="42" spans="1:34">
      <c r="A42" s="321"/>
      <c r="B42" s="339"/>
      <c r="C42" s="1058">
        <v>43893</v>
      </c>
      <c r="D42" s="1059">
        <v>14</v>
      </c>
      <c r="E42" s="1071" t="s">
        <v>284</v>
      </c>
      <c r="F42" s="1137" t="s">
        <v>9</v>
      </c>
      <c r="G42" s="1133">
        <v>65</v>
      </c>
      <c r="H42" s="1062" t="s">
        <v>193</v>
      </c>
      <c r="I42" s="1062" t="s">
        <v>51</v>
      </c>
      <c r="J42" s="1134" t="s">
        <v>80</v>
      </c>
      <c r="K42" s="825" t="s">
        <v>96</v>
      </c>
      <c r="L42" s="370"/>
      <c r="M42" s="373"/>
      <c r="N42" s="346"/>
      <c r="O42" s="346"/>
      <c r="P42" s="806"/>
      <c r="Q42" s="346"/>
      <c r="R42" s="346"/>
      <c r="S42" s="346"/>
      <c r="T42" s="346"/>
      <c r="U42" s="341"/>
      <c r="V42" s="321"/>
      <c r="X42" s="572"/>
      <c r="Y42" s="572"/>
      <c r="Z42" s="572"/>
      <c r="AA42" s="572"/>
      <c r="AB42" s="572"/>
      <c r="AC42" s="572"/>
      <c r="AD42" s="572"/>
      <c r="AE42" s="572"/>
      <c r="AF42" s="572"/>
      <c r="AG42" s="572"/>
      <c r="AH42" s="572"/>
    </row>
    <row r="43" spans="1:34">
      <c r="A43" s="321"/>
      <c r="B43" s="339"/>
      <c r="C43" s="1058">
        <v>43893</v>
      </c>
      <c r="D43" s="1059">
        <v>14</v>
      </c>
      <c r="E43" s="1071" t="s">
        <v>284</v>
      </c>
      <c r="F43" s="1137" t="s">
        <v>8</v>
      </c>
      <c r="G43" s="1133">
        <v>65</v>
      </c>
      <c r="H43" s="1062" t="s">
        <v>193</v>
      </c>
      <c r="I43" s="1062" t="s">
        <v>51</v>
      </c>
      <c r="J43" s="1134" t="s">
        <v>80</v>
      </c>
      <c r="K43" s="825" t="s">
        <v>81</v>
      </c>
      <c r="L43" s="375"/>
      <c r="M43" s="373"/>
      <c r="N43" s="346"/>
      <c r="O43" s="346"/>
      <c r="P43" s="806"/>
      <c r="Q43" s="346"/>
      <c r="R43" s="346"/>
      <c r="S43" s="346"/>
      <c r="T43" s="346"/>
      <c r="U43" s="341"/>
      <c r="V43" s="321"/>
      <c r="X43" s="572"/>
      <c r="Y43" s="572"/>
      <c r="Z43" s="572"/>
      <c r="AA43" s="572"/>
      <c r="AB43" s="572"/>
      <c r="AC43" s="572"/>
      <c r="AD43" s="572"/>
      <c r="AE43" s="572"/>
      <c r="AF43" s="572"/>
      <c r="AG43" s="572"/>
      <c r="AH43" s="572"/>
    </row>
    <row r="44" spans="1:34" s="362" customFormat="1">
      <c r="A44" s="360"/>
      <c r="B44" s="361"/>
      <c r="C44" s="1058">
        <v>43893</v>
      </c>
      <c r="D44" s="1059">
        <v>14</v>
      </c>
      <c r="E44" s="1078" t="s">
        <v>287</v>
      </c>
      <c r="F44" s="1137" t="s">
        <v>9</v>
      </c>
      <c r="G44" s="1133">
        <v>65</v>
      </c>
      <c r="H44" s="1062" t="s">
        <v>288</v>
      </c>
      <c r="I44" s="1062" t="s">
        <v>51</v>
      </c>
      <c r="J44" s="1134" t="s">
        <v>80</v>
      </c>
      <c r="K44" s="825" t="s">
        <v>96</v>
      </c>
      <c r="L44" s="358"/>
      <c r="M44" s="373"/>
      <c r="N44" s="346"/>
      <c r="O44" s="346"/>
      <c r="P44" s="806"/>
      <c r="Q44" s="346"/>
      <c r="R44" s="346"/>
      <c r="S44" s="346"/>
      <c r="T44" s="346"/>
      <c r="U44" s="372"/>
      <c r="V44" s="360"/>
      <c r="W44" s="371"/>
      <c r="X44" s="371"/>
      <c r="Y44" s="371"/>
      <c r="Z44" s="371"/>
      <c r="AA44" s="371"/>
      <c r="AB44" s="371"/>
      <c r="AC44" s="371"/>
      <c r="AD44" s="371"/>
      <c r="AE44" s="371"/>
      <c r="AF44" s="371"/>
      <c r="AG44" s="371"/>
      <c r="AH44" s="371"/>
    </row>
    <row r="45" spans="1:34" s="362" customFormat="1">
      <c r="A45" s="360"/>
      <c r="B45" s="361"/>
      <c r="C45" s="1058">
        <v>43893</v>
      </c>
      <c r="D45" s="1059">
        <v>15</v>
      </c>
      <c r="E45" s="1071" t="s">
        <v>289</v>
      </c>
      <c r="F45" s="1137" t="s">
        <v>9</v>
      </c>
      <c r="G45" s="1133">
        <v>64</v>
      </c>
      <c r="H45" s="1062" t="s">
        <v>290</v>
      </c>
      <c r="I45" s="1062" t="s">
        <v>51</v>
      </c>
      <c r="J45" s="1134" t="s">
        <v>80</v>
      </c>
      <c r="K45" s="825" t="s">
        <v>96</v>
      </c>
      <c r="L45" s="370"/>
      <c r="M45" s="373"/>
      <c r="N45" s="346"/>
      <c r="O45" s="346"/>
      <c r="P45" s="1209"/>
      <c r="Q45" s="346"/>
      <c r="R45" s="346"/>
      <c r="S45" s="346"/>
      <c r="T45" s="346"/>
      <c r="U45" s="372"/>
      <c r="V45" s="360"/>
      <c r="W45" s="371"/>
      <c r="X45" s="371"/>
      <c r="Y45" s="371"/>
      <c r="Z45" s="371"/>
      <c r="AA45" s="371"/>
      <c r="AB45" s="371"/>
      <c r="AC45" s="371"/>
      <c r="AD45" s="371"/>
      <c r="AE45" s="371"/>
      <c r="AF45" s="371"/>
      <c r="AG45" s="371"/>
      <c r="AH45" s="371"/>
    </row>
    <row r="46" spans="1:34" s="362" customFormat="1">
      <c r="A46" s="360"/>
      <c r="B46" s="361"/>
      <c r="C46" s="1058">
        <v>43893</v>
      </c>
      <c r="D46" s="1059">
        <v>15</v>
      </c>
      <c r="E46" s="1062" t="s">
        <v>291</v>
      </c>
      <c r="F46" s="1137" t="s">
        <v>9</v>
      </c>
      <c r="G46" s="1133">
        <v>64</v>
      </c>
      <c r="H46" s="1071" t="s">
        <v>292</v>
      </c>
      <c r="I46" s="1062" t="s">
        <v>51</v>
      </c>
      <c r="J46" s="1134" t="s">
        <v>80</v>
      </c>
      <c r="K46" s="839" t="s">
        <v>96</v>
      </c>
      <c r="L46" s="370"/>
      <c r="M46" s="373"/>
      <c r="N46" s="346"/>
      <c r="O46" s="346"/>
      <c r="P46" s="806"/>
      <c r="Q46" s="346"/>
      <c r="R46" s="346"/>
      <c r="S46" s="346"/>
      <c r="T46" s="346"/>
      <c r="U46" s="372"/>
      <c r="V46" s="360"/>
      <c r="W46" s="371"/>
      <c r="X46" s="371"/>
      <c r="Y46" s="371"/>
      <c r="Z46" s="371"/>
      <c r="AA46" s="371"/>
      <c r="AB46" s="371"/>
      <c r="AC46" s="371"/>
      <c r="AD46" s="371"/>
      <c r="AE46" s="371"/>
      <c r="AF46" s="371"/>
      <c r="AG46" s="371"/>
      <c r="AH46" s="371"/>
    </row>
    <row r="47" spans="1:34" s="362" customFormat="1">
      <c r="A47" s="360"/>
      <c r="B47" s="361"/>
      <c r="C47" s="1058">
        <v>43893</v>
      </c>
      <c r="D47" s="1059">
        <v>16</v>
      </c>
      <c r="E47" s="1062" t="s">
        <v>293</v>
      </c>
      <c r="F47" s="1137" t="s">
        <v>9</v>
      </c>
      <c r="G47" s="1133">
        <v>40</v>
      </c>
      <c r="H47" s="1071" t="s">
        <v>118</v>
      </c>
      <c r="I47" s="1062" t="s">
        <v>51</v>
      </c>
      <c r="J47" s="1134" t="s">
        <v>80</v>
      </c>
      <c r="K47" s="825" t="s">
        <v>96</v>
      </c>
      <c r="L47" s="370"/>
      <c r="M47" s="373"/>
      <c r="N47" s="346"/>
      <c r="O47" s="346"/>
      <c r="P47" s="1028"/>
      <c r="Q47" s="346"/>
      <c r="R47" s="346"/>
      <c r="S47" s="346"/>
      <c r="T47" s="346"/>
      <c r="U47" s="372"/>
      <c r="V47" s="360"/>
      <c r="W47" s="371"/>
      <c r="X47" s="371"/>
      <c r="Y47" s="371"/>
      <c r="Z47" s="371"/>
      <c r="AA47" s="371"/>
      <c r="AB47" s="371"/>
      <c r="AC47" s="371"/>
      <c r="AD47" s="371"/>
      <c r="AE47" s="371"/>
      <c r="AF47" s="371"/>
      <c r="AG47" s="371"/>
      <c r="AH47" s="371"/>
    </row>
    <row r="48" spans="1:34" s="362" customFormat="1">
      <c r="A48" s="360"/>
      <c r="B48" s="361"/>
      <c r="C48" s="1081">
        <v>43893</v>
      </c>
      <c r="D48" s="1059">
        <v>16</v>
      </c>
      <c r="E48" s="1062" t="s">
        <v>293</v>
      </c>
      <c r="F48" s="1137" t="s">
        <v>8</v>
      </c>
      <c r="G48" s="1144">
        <v>40</v>
      </c>
      <c r="H48" s="1062" t="s">
        <v>85</v>
      </c>
      <c r="I48" s="1062" t="s">
        <v>51</v>
      </c>
      <c r="J48" s="1134" t="s">
        <v>80</v>
      </c>
      <c r="K48" s="825" t="s">
        <v>81</v>
      </c>
      <c r="L48" s="370"/>
      <c r="M48" s="373"/>
      <c r="N48" s="346"/>
      <c r="O48" s="346"/>
      <c r="P48" s="806"/>
      <c r="Q48" s="346"/>
      <c r="R48" s="346"/>
      <c r="S48" s="346"/>
      <c r="T48" s="346"/>
      <c r="U48" s="372"/>
      <c r="V48" s="360"/>
      <c r="W48" s="371"/>
      <c r="X48" s="371"/>
      <c r="Y48" s="371"/>
      <c r="Z48" s="371"/>
      <c r="AA48" s="371"/>
      <c r="AB48" s="371"/>
      <c r="AC48" s="371"/>
      <c r="AD48" s="371"/>
      <c r="AE48" s="371"/>
      <c r="AF48" s="371"/>
      <c r="AG48" s="371"/>
      <c r="AH48" s="371"/>
    </row>
    <row r="49" spans="1:34" s="362" customFormat="1">
      <c r="A49" s="360"/>
      <c r="B49" s="361"/>
      <c r="C49" s="1058">
        <v>43893</v>
      </c>
      <c r="D49" s="1059">
        <v>15</v>
      </c>
      <c r="E49" s="1078" t="s">
        <v>294</v>
      </c>
      <c r="F49" s="1137" t="s">
        <v>9</v>
      </c>
      <c r="G49" s="1133">
        <v>64</v>
      </c>
      <c r="H49" s="1062" t="s">
        <v>295</v>
      </c>
      <c r="I49" s="1062" t="s">
        <v>51</v>
      </c>
      <c r="J49" s="1134" t="s">
        <v>80</v>
      </c>
      <c r="K49" s="825" t="s">
        <v>96</v>
      </c>
      <c r="L49" s="370"/>
      <c r="M49" s="373"/>
      <c r="N49" s="346"/>
      <c r="O49" s="346"/>
      <c r="P49" s="1028"/>
      <c r="Q49" s="346"/>
      <c r="R49" s="346"/>
      <c r="S49" s="346"/>
      <c r="T49" s="346"/>
      <c r="U49" s="372"/>
      <c r="V49" s="360"/>
      <c r="W49" s="371"/>
      <c r="X49" s="371"/>
      <c r="Y49" s="371"/>
      <c r="Z49" s="371"/>
      <c r="AA49" s="371"/>
      <c r="AB49" s="371"/>
      <c r="AC49" s="371"/>
      <c r="AD49" s="371"/>
      <c r="AE49" s="371"/>
      <c r="AF49" s="371"/>
      <c r="AG49" s="371"/>
      <c r="AH49" s="371"/>
    </row>
    <row r="50" spans="1:34" s="362" customFormat="1">
      <c r="A50" s="360"/>
      <c r="B50" s="361"/>
      <c r="C50" s="1058">
        <v>43893</v>
      </c>
      <c r="D50" s="1059">
        <v>21</v>
      </c>
      <c r="E50" s="1078" t="s">
        <v>296</v>
      </c>
      <c r="F50" s="1137" t="s">
        <v>9</v>
      </c>
      <c r="G50" s="1133">
        <v>65</v>
      </c>
      <c r="H50" s="1062" t="s">
        <v>297</v>
      </c>
      <c r="I50" s="1062" t="s">
        <v>51</v>
      </c>
      <c r="J50" s="1134" t="s">
        <v>80</v>
      </c>
      <c r="K50" s="825" t="s">
        <v>96</v>
      </c>
      <c r="L50" s="375"/>
      <c r="M50" s="373"/>
      <c r="N50" s="346"/>
      <c r="O50" s="346"/>
      <c r="P50" s="806"/>
      <c r="Q50" s="346"/>
      <c r="R50" s="346"/>
      <c r="S50" s="346"/>
      <c r="T50" s="346"/>
      <c r="U50" s="372"/>
      <c r="V50" s="327"/>
      <c r="W50" s="346"/>
      <c r="X50" s="682"/>
      <c r="Y50" s="369"/>
      <c r="Z50" s="373"/>
      <c r="AA50" s="1210"/>
      <c r="AB50" s="1210"/>
      <c r="AC50" s="1210"/>
      <c r="AD50" s="1210"/>
      <c r="AE50" s="369"/>
      <c r="AF50" s="369"/>
      <c r="AG50" s="572"/>
      <c r="AH50" s="572"/>
    </row>
    <row r="51" spans="1:34" s="362" customFormat="1">
      <c r="A51" s="360"/>
      <c r="B51" s="361"/>
      <c r="C51" s="1058">
        <v>43893</v>
      </c>
      <c r="D51" s="1059">
        <v>16</v>
      </c>
      <c r="E51" s="1078" t="s">
        <v>298</v>
      </c>
      <c r="F51" s="1137" t="s">
        <v>9</v>
      </c>
      <c r="G51" s="1133">
        <v>40</v>
      </c>
      <c r="H51" s="1062" t="s">
        <v>118</v>
      </c>
      <c r="I51" s="1062" t="s">
        <v>51</v>
      </c>
      <c r="J51" s="1134" t="s">
        <v>80</v>
      </c>
      <c r="K51" s="839" t="s">
        <v>96</v>
      </c>
      <c r="L51" s="358"/>
      <c r="M51" s="373"/>
      <c r="N51" s="369"/>
      <c r="O51" s="346"/>
      <c r="P51" s="806"/>
      <c r="Q51" s="346"/>
      <c r="R51" s="346"/>
      <c r="S51" s="346"/>
      <c r="T51" s="346"/>
      <c r="U51" s="372"/>
      <c r="V51" s="327"/>
      <c r="W51" s="346"/>
      <c r="X51" s="682"/>
      <c r="Y51" s="369"/>
      <c r="Z51" s="373"/>
      <c r="AA51" s="1210"/>
      <c r="AB51" s="1210"/>
      <c r="AC51" s="1210"/>
      <c r="AD51" s="1210"/>
      <c r="AE51" s="369"/>
      <c r="AF51" s="369"/>
      <c r="AG51" s="572"/>
      <c r="AH51" s="572"/>
    </row>
    <row r="52" spans="1:34" s="362" customFormat="1">
      <c r="A52" s="360"/>
      <c r="B52" s="361"/>
      <c r="C52" s="1058">
        <v>43893</v>
      </c>
      <c r="D52" s="1059">
        <v>16</v>
      </c>
      <c r="E52" s="1078" t="s">
        <v>298</v>
      </c>
      <c r="F52" s="1137" t="s">
        <v>8</v>
      </c>
      <c r="G52" s="1133">
        <v>40</v>
      </c>
      <c r="H52" s="1062" t="s">
        <v>299</v>
      </c>
      <c r="I52" s="1062" t="s">
        <v>51</v>
      </c>
      <c r="J52" s="1134" t="s">
        <v>80</v>
      </c>
      <c r="K52" s="844"/>
      <c r="L52" s="358"/>
      <c r="M52" s="373"/>
      <c r="N52" s="369"/>
      <c r="O52" s="346"/>
      <c r="P52" s="827"/>
      <c r="Q52" s="346"/>
      <c r="R52" s="346"/>
      <c r="S52" s="346"/>
      <c r="T52" s="346"/>
      <c r="U52" s="372"/>
      <c r="V52" s="327"/>
      <c r="W52" s="346"/>
      <c r="X52" s="682"/>
      <c r="Y52" s="369"/>
      <c r="Z52" s="373"/>
      <c r="AA52" s="1210"/>
      <c r="AB52" s="1210"/>
      <c r="AC52" s="1210"/>
      <c r="AD52" s="1210"/>
      <c r="AE52" s="369"/>
      <c r="AF52" s="369"/>
      <c r="AG52" s="572"/>
      <c r="AH52" s="572"/>
    </row>
    <row r="53" spans="1:34" s="362" customFormat="1">
      <c r="A53" s="360"/>
      <c r="B53" s="361"/>
      <c r="C53" s="1058">
        <v>43893</v>
      </c>
      <c r="D53" s="1059">
        <v>15</v>
      </c>
      <c r="E53" s="1072" t="s">
        <v>300</v>
      </c>
      <c r="F53" s="1137" t="s">
        <v>9</v>
      </c>
      <c r="G53" s="1133">
        <v>65</v>
      </c>
      <c r="H53" s="1062" t="s">
        <v>301</v>
      </c>
      <c r="I53" s="1062" t="s">
        <v>51</v>
      </c>
      <c r="J53" s="1134" t="s">
        <v>80</v>
      </c>
      <c r="K53" s="825" t="s">
        <v>96</v>
      </c>
      <c r="L53" s="358"/>
      <c r="M53" s="373"/>
      <c r="N53" s="369"/>
      <c r="O53" s="346"/>
      <c r="P53" s="806"/>
      <c r="Q53" s="346"/>
      <c r="R53" s="346"/>
      <c r="S53" s="346"/>
      <c r="T53" s="346"/>
      <c r="U53" s="372"/>
      <c r="V53" s="327"/>
      <c r="W53" s="346"/>
      <c r="X53" s="682"/>
      <c r="Y53" s="369"/>
      <c r="Z53" s="373"/>
      <c r="AA53" s="1210"/>
      <c r="AB53" s="1210"/>
      <c r="AC53" s="1210"/>
      <c r="AD53" s="1210"/>
      <c r="AE53" s="369"/>
      <c r="AF53" s="369"/>
      <c r="AG53" s="572"/>
      <c r="AH53" s="572"/>
    </row>
    <row r="54" spans="1:34" s="362" customFormat="1">
      <c r="A54" s="360"/>
      <c r="B54" s="361"/>
      <c r="C54" s="1058">
        <v>43893</v>
      </c>
      <c r="D54" s="1059">
        <v>16</v>
      </c>
      <c r="E54" s="1078" t="s">
        <v>302</v>
      </c>
      <c r="F54" s="1137" t="s">
        <v>8</v>
      </c>
      <c r="G54" s="1133">
        <v>40</v>
      </c>
      <c r="H54" s="1062" t="s">
        <v>303</v>
      </c>
      <c r="I54" s="1062" t="s">
        <v>51</v>
      </c>
      <c r="J54" s="1134" t="s">
        <v>80</v>
      </c>
      <c r="K54" s="825" t="s">
        <v>81</v>
      </c>
      <c r="L54" s="358"/>
      <c r="M54" s="373"/>
      <c r="N54" s="369"/>
      <c r="O54" s="346"/>
      <c r="P54" s="806"/>
      <c r="Q54" s="346"/>
      <c r="R54" s="346"/>
      <c r="S54" s="346"/>
      <c r="T54" s="346"/>
      <c r="U54" s="372"/>
      <c r="V54" s="327"/>
      <c r="W54" s="346"/>
      <c r="X54" s="682"/>
      <c r="Y54" s="369"/>
      <c r="Z54" s="373"/>
      <c r="AA54" s="1210"/>
      <c r="AB54" s="1210"/>
      <c r="AC54" s="1210"/>
      <c r="AD54" s="1210"/>
      <c r="AE54" s="369"/>
      <c r="AF54" s="369"/>
      <c r="AG54" s="572"/>
      <c r="AH54" s="572"/>
    </row>
    <row r="55" spans="1:34" s="362" customFormat="1">
      <c r="A55" s="360"/>
      <c r="B55" s="361"/>
      <c r="C55" s="1058">
        <v>43893</v>
      </c>
      <c r="D55" s="1059">
        <v>21</v>
      </c>
      <c r="E55" s="1078" t="s">
        <v>304</v>
      </c>
      <c r="F55" s="1137" t="s">
        <v>8</v>
      </c>
      <c r="G55" s="1133">
        <v>65</v>
      </c>
      <c r="H55" s="1062" t="s">
        <v>305</v>
      </c>
      <c r="I55" s="1062" t="s">
        <v>51</v>
      </c>
      <c r="J55" s="1134" t="s">
        <v>80</v>
      </c>
      <c r="K55" s="839" t="s">
        <v>81</v>
      </c>
      <c r="L55" s="358"/>
      <c r="M55" s="373"/>
      <c r="N55" s="369"/>
      <c r="O55" s="346"/>
      <c r="P55" s="806"/>
      <c r="Q55" s="346"/>
      <c r="R55" s="346"/>
      <c r="S55" s="346"/>
      <c r="T55" s="346"/>
      <c r="U55" s="372"/>
      <c r="V55" s="327"/>
      <c r="W55" s="346"/>
      <c r="X55" s="682"/>
      <c r="Y55" s="369"/>
      <c r="Z55" s="373"/>
      <c r="AA55" s="1210"/>
      <c r="AB55" s="1210"/>
      <c r="AC55" s="1210"/>
      <c r="AD55" s="1210"/>
      <c r="AE55" s="369"/>
      <c r="AF55" s="369"/>
      <c r="AG55" s="572"/>
      <c r="AH55" s="572"/>
    </row>
    <row r="56" spans="1:34" s="362" customFormat="1">
      <c r="A56" s="360"/>
      <c r="B56" s="361"/>
      <c r="C56" s="1058">
        <v>43893</v>
      </c>
      <c r="D56" s="1059">
        <v>15</v>
      </c>
      <c r="E56" s="1078" t="s">
        <v>306</v>
      </c>
      <c r="F56" s="1137" t="s">
        <v>8</v>
      </c>
      <c r="G56" s="1133">
        <v>64</v>
      </c>
      <c r="H56" s="1062" t="s">
        <v>247</v>
      </c>
      <c r="I56" s="1062" t="s">
        <v>51</v>
      </c>
      <c r="J56" s="1134" t="s">
        <v>80</v>
      </c>
      <c r="K56" s="825" t="s">
        <v>81</v>
      </c>
      <c r="L56" s="358"/>
      <c r="M56" s="373"/>
      <c r="N56" s="369"/>
      <c r="O56" s="346"/>
      <c r="P56" s="806"/>
      <c r="Q56" s="346"/>
      <c r="R56" s="346"/>
      <c r="S56" s="346"/>
      <c r="T56" s="346"/>
      <c r="U56" s="372"/>
      <c r="V56" s="327"/>
      <c r="W56" s="346"/>
      <c r="X56" s="682"/>
      <c r="Y56" s="369"/>
      <c r="Z56" s="667"/>
      <c r="AA56" s="669"/>
      <c r="AB56" s="669"/>
      <c r="AC56" s="369"/>
      <c r="AD56" s="369"/>
      <c r="AE56" s="369"/>
      <c r="AF56" s="369"/>
      <c r="AG56" s="572"/>
      <c r="AH56" s="572"/>
    </row>
    <row r="57" spans="1:34" s="362" customFormat="1">
      <c r="A57" s="360"/>
      <c r="B57" s="361"/>
      <c r="C57" s="1058">
        <v>43893</v>
      </c>
      <c r="D57" s="1059">
        <v>15</v>
      </c>
      <c r="E57" s="1078" t="s">
        <v>307</v>
      </c>
      <c r="F57" s="1137" t="s">
        <v>8</v>
      </c>
      <c r="G57" s="1133">
        <v>64</v>
      </c>
      <c r="H57" s="1072" t="s">
        <v>123</v>
      </c>
      <c r="I57" s="1062" t="s">
        <v>51</v>
      </c>
      <c r="J57" s="1134" t="s">
        <v>80</v>
      </c>
      <c r="K57" s="825" t="s">
        <v>81</v>
      </c>
      <c r="L57" s="353"/>
      <c r="M57" s="373"/>
      <c r="N57" s="369"/>
      <c r="O57" s="346"/>
      <c r="P57" s="806"/>
      <c r="Q57" s="346"/>
      <c r="R57" s="346"/>
      <c r="S57" s="346"/>
      <c r="T57" s="346"/>
      <c r="U57" s="372"/>
      <c r="V57" s="327"/>
      <c r="W57" s="346"/>
      <c r="X57" s="682"/>
      <c r="Y57" s="369"/>
      <c r="Z57" s="369"/>
      <c r="AA57" s="369"/>
      <c r="AB57" s="369"/>
      <c r="AC57" s="369"/>
      <c r="AD57" s="369"/>
      <c r="AE57" s="369"/>
      <c r="AF57" s="369"/>
      <c r="AG57" s="572"/>
      <c r="AH57" s="572"/>
    </row>
    <row r="58" spans="1:34" s="362" customFormat="1">
      <c r="A58" s="360"/>
      <c r="B58" s="361"/>
      <c r="C58" s="1058">
        <v>43893</v>
      </c>
      <c r="D58" s="1059">
        <v>14</v>
      </c>
      <c r="E58" s="1078" t="s">
        <v>308</v>
      </c>
      <c r="F58" s="1137" t="s">
        <v>8</v>
      </c>
      <c r="G58" s="1133">
        <v>64</v>
      </c>
      <c r="H58" s="1072" t="s">
        <v>109</v>
      </c>
      <c r="I58" s="1062" t="s">
        <v>51</v>
      </c>
      <c r="J58" s="1134" t="s">
        <v>80</v>
      </c>
      <c r="K58" s="825" t="s">
        <v>81</v>
      </c>
      <c r="L58" s="353"/>
      <c r="M58" s="346"/>
      <c r="N58" s="369"/>
      <c r="O58" s="346"/>
      <c r="P58" s="806"/>
      <c r="Q58" s="346"/>
      <c r="R58" s="346"/>
      <c r="S58" s="346"/>
      <c r="T58" s="346"/>
      <c r="U58" s="372"/>
      <c r="V58" s="360"/>
      <c r="W58" s="371"/>
      <c r="X58" s="371"/>
      <c r="Y58" s="346"/>
      <c r="Z58" s="346"/>
      <c r="AA58" s="346"/>
      <c r="AB58" s="346"/>
      <c r="AC58" s="346"/>
      <c r="AD58" s="346"/>
      <c r="AE58" s="346"/>
      <c r="AF58" s="346"/>
      <c r="AG58" s="371"/>
      <c r="AH58" s="371"/>
    </row>
    <row r="59" spans="1:34" s="362" customFormat="1">
      <c r="A59" s="360"/>
      <c r="B59" s="361"/>
      <c r="C59" s="1058">
        <v>43893</v>
      </c>
      <c r="D59" s="1059">
        <v>15</v>
      </c>
      <c r="E59" s="1079" t="s">
        <v>309</v>
      </c>
      <c r="F59" s="1137" t="s">
        <v>8</v>
      </c>
      <c r="G59" s="1133">
        <v>64</v>
      </c>
      <c r="H59" s="1062" t="s">
        <v>88</v>
      </c>
      <c r="I59" s="1062" t="s">
        <v>51</v>
      </c>
      <c r="J59" s="1134" t="s">
        <v>80</v>
      </c>
      <c r="K59" s="839" t="s">
        <v>81</v>
      </c>
      <c r="L59" s="346"/>
      <c r="M59" s="346"/>
      <c r="N59" s="369"/>
      <c r="O59" s="346"/>
      <c r="P59" s="806"/>
      <c r="Q59" s="346"/>
      <c r="R59" s="346"/>
      <c r="S59" s="346"/>
      <c r="T59" s="346"/>
      <c r="U59" s="372"/>
      <c r="V59" s="360"/>
      <c r="W59" s="371"/>
      <c r="X59" s="371"/>
      <c r="Y59" s="371"/>
      <c r="Z59" s="371"/>
      <c r="AA59" s="371"/>
      <c r="AB59" s="371"/>
      <c r="AC59" s="371"/>
      <c r="AD59" s="371"/>
      <c r="AE59" s="371"/>
      <c r="AF59" s="371"/>
      <c r="AG59" s="371"/>
      <c r="AH59" s="371"/>
    </row>
    <row r="60" spans="1:34" s="362" customFormat="1">
      <c r="A60" s="360"/>
      <c r="B60" s="361"/>
      <c r="C60" s="1058">
        <v>43893</v>
      </c>
      <c r="D60" s="1059">
        <v>15</v>
      </c>
      <c r="E60" s="1062" t="s">
        <v>310</v>
      </c>
      <c r="F60" s="1137" t="s">
        <v>8</v>
      </c>
      <c r="G60" s="1133">
        <v>65</v>
      </c>
      <c r="H60" s="1072" t="s">
        <v>311</v>
      </c>
      <c r="I60" s="1062" t="s">
        <v>51</v>
      </c>
      <c r="J60" s="1134" t="s">
        <v>80</v>
      </c>
      <c r="K60" s="825" t="s">
        <v>81</v>
      </c>
      <c r="L60" s="346"/>
      <c r="M60" s="373"/>
      <c r="N60" s="369"/>
      <c r="O60" s="353"/>
      <c r="P60" s="806"/>
      <c r="Q60" s="369"/>
      <c r="R60" s="369"/>
      <c r="S60" s="369"/>
      <c r="T60" s="369"/>
      <c r="U60" s="372"/>
      <c r="V60" s="360"/>
      <c r="W60" s="371"/>
      <c r="X60" s="371"/>
      <c r="Y60" s="371"/>
      <c r="Z60" s="371"/>
      <c r="AA60" s="371"/>
      <c r="AB60" s="371"/>
      <c r="AC60" s="371"/>
      <c r="AD60" s="371"/>
      <c r="AE60" s="371"/>
      <c r="AF60" s="371"/>
      <c r="AG60" s="371"/>
      <c r="AH60" s="371"/>
    </row>
    <row r="61" spans="1:34" s="362" customFormat="1">
      <c r="A61" s="360"/>
      <c r="B61" s="361"/>
      <c r="C61" s="1058">
        <v>43893</v>
      </c>
      <c r="D61" s="1059">
        <v>16</v>
      </c>
      <c r="E61" s="1078" t="s">
        <v>312</v>
      </c>
      <c r="F61" s="1137" t="s">
        <v>8</v>
      </c>
      <c r="G61" s="1133">
        <v>40</v>
      </c>
      <c r="H61" s="1072" t="s">
        <v>85</v>
      </c>
      <c r="I61" s="1062" t="s">
        <v>51</v>
      </c>
      <c r="J61" s="1134" t="s">
        <v>80</v>
      </c>
      <c r="K61" s="825" t="s">
        <v>81</v>
      </c>
      <c r="L61" s="346"/>
      <c r="M61" s="373"/>
      <c r="N61" s="346"/>
      <c r="O61" s="346"/>
      <c r="P61" s="806"/>
      <c r="Q61" s="346"/>
      <c r="R61" s="346"/>
      <c r="S61" s="346"/>
      <c r="T61" s="346"/>
      <c r="U61" s="372"/>
      <c r="V61" s="360"/>
      <c r="W61" s="371"/>
      <c r="X61" s="371"/>
      <c r="Y61" s="371"/>
      <c r="Z61" s="371"/>
      <c r="AA61" s="371"/>
      <c r="AB61" s="371"/>
      <c r="AC61" s="371"/>
      <c r="AD61" s="371"/>
      <c r="AE61" s="371"/>
      <c r="AF61" s="371"/>
      <c r="AG61" s="371"/>
      <c r="AH61" s="371"/>
    </row>
    <row r="62" spans="1:34">
      <c r="A62" s="321"/>
      <c r="B62" s="339"/>
      <c r="C62" s="1058">
        <v>43893</v>
      </c>
      <c r="D62" s="1061">
        <v>14</v>
      </c>
      <c r="E62" s="1062" t="s">
        <v>313</v>
      </c>
      <c r="F62" s="1133" t="s">
        <v>8</v>
      </c>
      <c r="G62" s="1133">
        <v>65</v>
      </c>
      <c r="H62" s="1062" t="s">
        <v>79</v>
      </c>
      <c r="I62" s="1071" t="s">
        <v>51</v>
      </c>
      <c r="J62" s="1134" t="s">
        <v>80</v>
      </c>
      <c r="K62" s="825" t="s">
        <v>81</v>
      </c>
      <c r="L62" s="346"/>
      <c r="M62" s="373"/>
      <c r="N62" s="346"/>
      <c r="O62" s="346"/>
      <c r="P62" s="806"/>
      <c r="Q62" s="346"/>
      <c r="R62" s="346"/>
      <c r="S62" s="346"/>
      <c r="T62" s="346"/>
      <c r="U62" s="341"/>
      <c r="V62" s="321"/>
      <c r="X62" s="572"/>
      <c r="Y62" s="572"/>
      <c r="Z62" s="572"/>
      <c r="AA62" s="572"/>
      <c r="AB62" s="572"/>
      <c r="AC62" s="572"/>
      <c r="AD62" s="572"/>
      <c r="AE62" s="572"/>
      <c r="AF62" s="572"/>
      <c r="AG62" s="572"/>
      <c r="AH62" s="572"/>
    </row>
    <row r="63" spans="1:34" s="362" customFormat="1">
      <c r="A63" s="360"/>
      <c r="B63" s="361"/>
      <c r="C63" s="1058">
        <v>43893</v>
      </c>
      <c r="D63" s="1061">
        <v>14</v>
      </c>
      <c r="E63" s="1062" t="s">
        <v>313</v>
      </c>
      <c r="F63" s="1133" t="s">
        <v>8</v>
      </c>
      <c r="G63" s="1133">
        <v>65</v>
      </c>
      <c r="H63" s="1062" t="s">
        <v>193</v>
      </c>
      <c r="I63" s="1071" t="s">
        <v>51</v>
      </c>
      <c r="J63" s="1134" t="s">
        <v>80</v>
      </c>
      <c r="K63" s="825" t="s">
        <v>81</v>
      </c>
      <c r="L63" s="346"/>
      <c r="M63" s="373"/>
      <c r="N63" s="346"/>
      <c r="O63" s="346"/>
      <c r="P63" s="806"/>
      <c r="Q63" s="346"/>
      <c r="R63" s="346"/>
      <c r="S63" s="346"/>
      <c r="T63" s="346"/>
      <c r="U63" s="372"/>
      <c r="V63" s="360"/>
      <c r="W63" s="371"/>
      <c r="X63" s="371"/>
      <c r="Y63" s="371"/>
      <c r="Z63" s="371"/>
      <c r="AA63" s="371"/>
      <c r="AB63" s="371"/>
      <c r="AC63" s="371"/>
      <c r="AD63" s="371"/>
      <c r="AE63" s="371"/>
      <c r="AF63" s="371"/>
      <c r="AG63" s="371"/>
      <c r="AH63" s="371"/>
    </row>
    <row r="64" spans="1:34" s="362" customFormat="1">
      <c r="A64" s="360"/>
      <c r="B64" s="361"/>
      <c r="C64" s="1058">
        <v>43893</v>
      </c>
      <c r="D64" s="1061">
        <v>16</v>
      </c>
      <c r="E64" s="1071" t="s">
        <v>314</v>
      </c>
      <c r="F64" s="1133" t="s">
        <v>8</v>
      </c>
      <c r="G64" s="1133">
        <v>40</v>
      </c>
      <c r="H64" s="1062" t="s">
        <v>315</v>
      </c>
      <c r="I64" s="1071" t="s">
        <v>51</v>
      </c>
      <c r="J64" s="1134" t="s">
        <v>80</v>
      </c>
      <c r="K64" s="844"/>
      <c r="L64" s="346"/>
      <c r="M64" s="373"/>
      <c r="N64" s="346"/>
      <c r="O64" s="346"/>
      <c r="P64" s="806"/>
      <c r="Q64" s="346"/>
      <c r="R64" s="346"/>
      <c r="S64" s="346"/>
      <c r="T64" s="346"/>
      <c r="U64" s="372"/>
      <c r="V64" s="360"/>
      <c r="W64" s="371"/>
      <c r="X64" s="371"/>
      <c r="Y64" s="371"/>
      <c r="Z64" s="371"/>
      <c r="AA64" s="371"/>
      <c r="AB64" s="371"/>
      <c r="AC64" s="371"/>
      <c r="AD64" s="371"/>
      <c r="AE64" s="371"/>
      <c r="AF64" s="371"/>
      <c r="AG64" s="371"/>
      <c r="AH64" s="371"/>
    </row>
    <row r="65" spans="1:34" s="362" customFormat="1">
      <c r="A65" s="360"/>
      <c r="B65" s="361"/>
      <c r="C65" s="1211">
        <v>43893</v>
      </c>
      <c r="D65" s="1085">
        <v>16</v>
      </c>
      <c r="E65" s="1071" t="s">
        <v>316</v>
      </c>
      <c r="F65" s="1212" t="s">
        <v>9</v>
      </c>
      <c r="G65" s="1212">
        <v>40</v>
      </c>
      <c r="H65" s="1084" t="s">
        <v>303</v>
      </c>
      <c r="I65" s="1086" t="s">
        <v>51</v>
      </c>
      <c r="J65" s="1134" t="s">
        <v>80</v>
      </c>
      <c r="K65" s="839" t="s">
        <v>96</v>
      </c>
      <c r="L65" s="346"/>
      <c r="M65" s="373"/>
      <c r="N65" s="346"/>
      <c r="O65" s="346"/>
      <c r="P65" s="806"/>
      <c r="Q65" s="346"/>
      <c r="R65" s="346"/>
      <c r="S65" s="346"/>
      <c r="T65" s="346"/>
      <c r="U65" s="372"/>
      <c r="V65" s="360"/>
      <c r="W65" s="371"/>
      <c r="X65" s="371"/>
      <c r="Y65" s="371"/>
      <c r="Z65" s="371"/>
      <c r="AA65" s="371"/>
      <c r="AB65" s="371"/>
      <c r="AC65" s="371"/>
      <c r="AD65" s="371"/>
      <c r="AE65" s="371"/>
      <c r="AF65" s="371"/>
      <c r="AG65" s="371"/>
      <c r="AH65" s="371"/>
    </row>
    <row r="66" spans="1:34" s="362" customFormat="1">
      <c r="A66" s="360"/>
      <c r="B66" s="361"/>
      <c r="C66" s="1211">
        <v>43893</v>
      </c>
      <c r="D66" s="1085">
        <v>16</v>
      </c>
      <c r="E66" s="1078" t="s">
        <v>317</v>
      </c>
      <c r="F66" s="1212" t="s">
        <v>9</v>
      </c>
      <c r="G66" s="1212">
        <v>40</v>
      </c>
      <c r="H66" s="1084" t="s">
        <v>118</v>
      </c>
      <c r="I66" s="1086" t="s">
        <v>51</v>
      </c>
      <c r="J66" s="1134" t="s">
        <v>80</v>
      </c>
      <c r="K66" s="844"/>
      <c r="L66" s="346"/>
      <c r="M66" s="373"/>
      <c r="N66" s="346"/>
      <c r="O66" s="346"/>
      <c r="P66" s="806"/>
      <c r="Q66" s="346"/>
      <c r="R66" s="346"/>
      <c r="S66" s="346"/>
      <c r="T66" s="346"/>
      <c r="U66" s="372"/>
      <c r="V66" s="360"/>
      <c r="W66" s="371"/>
      <c r="X66" s="371"/>
      <c r="Y66" s="371"/>
      <c r="Z66" s="371"/>
      <c r="AA66" s="371"/>
      <c r="AB66" s="371"/>
      <c r="AC66" s="371"/>
      <c r="AD66" s="371"/>
      <c r="AE66" s="371"/>
      <c r="AF66" s="371"/>
      <c r="AG66" s="371"/>
      <c r="AH66" s="371"/>
    </row>
    <row r="67" spans="1:34" s="362" customFormat="1">
      <c r="A67" s="360"/>
      <c r="B67" s="361"/>
      <c r="C67" s="1211">
        <v>43894</v>
      </c>
      <c r="D67" s="1059">
        <v>15</v>
      </c>
      <c r="E67" s="1072" t="s">
        <v>300</v>
      </c>
      <c r="F67" s="1137" t="s">
        <v>9</v>
      </c>
      <c r="G67" s="1133">
        <v>65</v>
      </c>
      <c r="H67" s="1062" t="s">
        <v>318</v>
      </c>
      <c r="I67" s="1062" t="s">
        <v>51</v>
      </c>
      <c r="J67" s="1134" t="s">
        <v>80</v>
      </c>
      <c r="K67" s="844"/>
      <c r="L67" s="346"/>
      <c r="M67" s="373"/>
      <c r="N67" s="346"/>
      <c r="O67" s="346"/>
      <c r="P67" s="806"/>
      <c r="Q67" s="346"/>
      <c r="R67" s="346"/>
      <c r="S67" s="346"/>
      <c r="T67" s="346"/>
      <c r="U67" s="372"/>
      <c r="V67" s="360"/>
      <c r="W67" s="371"/>
      <c r="X67" s="371"/>
      <c r="Y67" s="371"/>
      <c r="Z67" s="371"/>
      <c r="AA67" s="371"/>
      <c r="AB67" s="371"/>
      <c r="AC67" s="371"/>
      <c r="AD67" s="371"/>
      <c r="AE67" s="371"/>
      <c r="AF67" s="371"/>
      <c r="AG67" s="371"/>
      <c r="AH67" s="371"/>
    </row>
    <row r="68" spans="1:34" s="362" customFormat="1">
      <c r="A68" s="360"/>
      <c r="B68" s="361"/>
      <c r="C68" s="1211">
        <v>43894</v>
      </c>
      <c r="D68" s="1059">
        <v>17</v>
      </c>
      <c r="E68" s="1078" t="s">
        <v>319</v>
      </c>
      <c r="F68" s="1137" t="s">
        <v>10</v>
      </c>
      <c r="G68" s="1133">
        <v>64</v>
      </c>
      <c r="H68" s="1062" t="s">
        <v>320</v>
      </c>
      <c r="I68" s="1062" t="s">
        <v>51</v>
      </c>
      <c r="J68" s="1134" t="s">
        <v>80</v>
      </c>
      <c r="K68" s="839" t="s">
        <v>81</v>
      </c>
      <c r="L68" s="346"/>
      <c r="M68" s="373"/>
      <c r="N68" s="346"/>
      <c r="O68" s="346"/>
      <c r="P68" s="806"/>
      <c r="Q68" s="346"/>
      <c r="R68" s="346"/>
      <c r="S68" s="346"/>
      <c r="T68" s="346"/>
      <c r="U68" s="372"/>
      <c r="V68" s="360"/>
      <c r="W68" s="371"/>
      <c r="X68" s="371"/>
      <c r="Y68" s="371"/>
      <c r="Z68" s="371"/>
      <c r="AA68" s="371"/>
      <c r="AB68" s="371"/>
      <c r="AC68" s="371"/>
      <c r="AD68" s="371"/>
      <c r="AE68" s="371"/>
      <c r="AF68" s="371"/>
      <c r="AG68" s="371"/>
      <c r="AH68" s="371"/>
    </row>
    <row r="69" spans="1:34" s="362" customFormat="1">
      <c r="A69" s="360"/>
      <c r="B69" s="361"/>
      <c r="C69" s="1211">
        <v>43894</v>
      </c>
      <c r="D69" s="1083">
        <v>16</v>
      </c>
      <c r="E69" s="1060" t="s">
        <v>321</v>
      </c>
      <c r="F69" s="1213" t="s">
        <v>8</v>
      </c>
      <c r="G69" s="1212">
        <v>40</v>
      </c>
      <c r="H69" s="1084" t="s">
        <v>85</v>
      </c>
      <c r="I69" s="1084" t="s">
        <v>51</v>
      </c>
      <c r="J69" s="1134" t="s">
        <v>80</v>
      </c>
      <c r="K69" s="825" t="s">
        <v>81</v>
      </c>
      <c r="L69" s="346"/>
      <c r="M69" s="373"/>
      <c r="N69" s="346"/>
      <c r="O69" s="346"/>
      <c r="P69" s="806"/>
      <c r="Q69" s="346"/>
      <c r="R69" s="346"/>
      <c r="S69" s="346"/>
      <c r="T69" s="346"/>
      <c r="U69" s="372"/>
      <c r="V69" s="360"/>
      <c r="W69" s="371"/>
      <c r="X69" s="371"/>
      <c r="Y69" s="371"/>
      <c r="Z69" s="371"/>
      <c r="AA69" s="371"/>
      <c r="AB69" s="371"/>
      <c r="AC69" s="371"/>
      <c r="AD69" s="371"/>
      <c r="AE69" s="371"/>
      <c r="AF69" s="371"/>
      <c r="AG69" s="371"/>
      <c r="AH69" s="371"/>
    </row>
    <row r="70" spans="1:34" s="362" customFormat="1">
      <c r="A70" s="360"/>
      <c r="B70" s="361"/>
      <c r="C70" s="1211">
        <v>43894</v>
      </c>
      <c r="D70" s="1083"/>
      <c r="E70" s="1214" t="s">
        <v>322</v>
      </c>
      <c r="F70" s="1213" t="s">
        <v>8</v>
      </c>
      <c r="G70" s="1212">
        <v>40</v>
      </c>
      <c r="H70" s="1084" t="s">
        <v>85</v>
      </c>
      <c r="I70" s="1084" t="s">
        <v>50</v>
      </c>
      <c r="J70" s="1134" t="s">
        <v>80</v>
      </c>
      <c r="K70" s="825" t="s">
        <v>81</v>
      </c>
      <c r="L70" s="346"/>
      <c r="M70" s="373"/>
      <c r="N70" s="346"/>
      <c r="O70" s="346"/>
      <c r="P70" s="806"/>
      <c r="Q70" s="346"/>
      <c r="R70" s="346"/>
      <c r="S70" s="346"/>
      <c r="T70" s="346"/>
      <c r="U70" s="372"/>
      <c r="V70" s="360"/>
      <c r="W70" s="371"/>
      <c r="X70" s="371"/>
      <c r="Y70" s="371"/>
      <c r="Z70" s="371"/>
      <c r="AA70" s="371"/>
      <c r="AB70" s="371"/>
      <c r="AC70" s="371"/>
      <c r="AD70" s="371"/>
      <c r="AE70" s="371"/>
      <c r="AF70" s="371"/>
      <c r="AG70" s="371"/>
      <c r="AH70" s="371"/>
    </row>
    <row r="71" spans="1:34" s="362" customFormat="1">
      <c r="A71" s="360"/>
      <c r="B71" s="361"/>
      <c r="C71" s="1058">
        <v>43894</v>
      </c>
      <c r="D71" s="1059">
        <v>9</v>
      </c>
      <c r="E71" s="1078" t="s">
        <v>323</v>
      </c>
      <c r="F71" s="1137" t="s">
        <v>8</v>
      </c>
      <c r="G71" s="1133">
        <v>40</v>
      </c>
      <c r="H71" s="1062" t="s">
        <v>85</v>
      </c>
      <c r="I71" s="1062" t="s">
        <v>54</v>
      </c>
      <c r="J71" s="1134" t="s">
        <v>80</v>
      </c>
      <c r="K71" s="825" t="s">
        <v>81</v>
      </c>
      <c r="L71" s="346"/>
      <c r="M71" s="373"/>
      <c r="N71" s="346"/>
      <c r="O71" s="346"/>
      <c r="P71" s="806"/>
      <c r="Q71" s="346"/>
      <c r="R71" s="346"/>
      <c r="S71" s="346"/>
      <c r="T71" s="346"/>
      <c r="U71" s="372"/>
      <c r="V71" s="360"/>
      <c r="W71" s="371"/>
      <c r="X71" s="371"/>
      <c r="Y71" s="371"/>
      <c r="Z71" s="371"/>
      <c r="AA71" s="371"/>
      <c r="AB71" s="371"/>
      <c r="AC71" s="371"/>
      <c r="AD71" s="371"/>
      <c r="AE71" s="371"/>
      <c r="AF71" s="371"/>
      <c r="AG71" s="371"/>
      <c r="AH71" s="371"/>
    </row>
    <row r="72" spans="1:34" s="362" customFormat="1">
      <c r="A72" s="360"/>
      <c r="B72" s="361"/>
      <c r="C72" s="1058">
        <v>43894</v>
      </c>
      <c r="D72" s="1059">
        <v>16</v>
      </c>
      <c r="E72" s="1078" t="s">
        <v>324</v>
      </c>
      <c r="F72" s="1137" t="s">
        <v>9</v>
      </c>
      <c r="G72" s="1133">
        <v>40</v>
      </c>
      <c r="H72" s="1062" t="s">
        <v>118</v>
      </c>
      <c r="I72" s="1062" t="s">
        <v>51</v>
      </c>
      <c r="J72" s="1134" t="s">
        <v>80</v>
      </c>
      <c r="K72" s="825" t="s">
        <v>96</v>
      </c>
      <c r="L72" s="346"/>
      <c r="M72" s="373"/>
      <c r="N72" s="346"/>
      <c r="O72" s="346"/>
      <c r="P72" s="806"/>
      <c r="Q72" s="346"/>
      <c r="R72" s="346"/>
      <c r="S72" s="346"/>
      <c r="T72" s="346"/>
      <c r="U72" s="372"/>
      <c r="V72" s="360"/>
      <c r="W72" s="371"/>
      <c r="X72" s="371"/>
      <c r="Y72" s="371"/>
      <c r="Z72" s="371"/>
      <c r="AA72" s="371"/>
      <c r="AB72" s="371"/>
      <c r="AC72" s="371"/>
      <c r="AD72" s="371"/>
      <c r="AE72" s="371"/>
      <c r="AF72" s="371"/>
      <c r="AG72" s="371"/>
      <c r="AH72" s="371"/>
    </row>
    <row r="73" spans="1:34" s="362" customFormat="1">
      <c r="A73" s="360"/>
      <c r="B73" s="361"/>
      <c r="C73" s="1211">
        <v>43894</v>
      </c>
      <c r="D73" s="1083">
        <v>15</v>
      </c>
      <c r="E73" s="1079" t="s">
        <v>325</v>
      </c>
      <c r="F73" s="1213" t="s">
        <v>10</v>
      </c>
      <c r="G73" s="1212">
        <v>64</v>
      </c>
      <c r="H73" s="1084" t="s">
        <v>326</v>
      </c>
      <c r="I73" s="1084" t="s">
        <v>51</v>
      </c>
      <c r="J73" s="1134" t="s">
        <v>80</v>
      </c>
      <c r="K73" s="839" t="s">
        <v>96</v>
      </c>
      <c r="L73" s="346"/>
      <c r="M73" s="373"/>
      <c r="N73" s="346"/>
      <c r="O73" s="346"/>
      <c r="P73" s="827"/>
      <c r="Q73" s="346"/>
      <c r="R73" s="346"/>
      <c r="S73" s="346"/>
      <c r="T73" s="346"/>
      <c r="U73" s="372"/>
      <c r="V73" s="360"/>
      <c r="W73" s="371"/>
      <c r="X73" s="371"/>
      <c r="Y73" s="371"/>
      <c r="Z73" s="371"/>
      <c r="AA73" s="371"/>
      <c r="AB73" s="371"/>
      <c r="AC73" s="371"/>
      <c r="AD73" s="371"/>
      <c r="AE73" s="371"/>
      <c r="AF73" s="371"/>
      <c r="AG73" s="371"/>
      <c r="AH73" s="371"/>
    </row>
    <row r="74" spans="1:34" s="362" customFormat="1">
      <c r="A74" s="360"/>
      <c r="B74" s="361"/>
      <c r="C74" s="1058">
        <v>43894</v>
      </c>
      <c r="D74" s="1059">
        <v>14</v>
      </c>
      <c r="E74" s="1193" t="s">
        <v>327</v>
      </c>
      <c r="F74" s="1137" t="s">
        <v>8</v>
      </c>
      <c r="G74" s="1133">
        <v>65</v>
      </c>
      <c r="H74" s="1062" t="s">
        <v>311</v>
      </c>
      <c r="I74" s="1062" t="s">
        <v>51</v>
      </c>
      <c r="J74" s="1134" t="s">
        <v>80</v>
      </c>
      <c r="K74" s="825" t="s">
        <v>81</v>
      </c>
      <c r="L74" s="346"/>
      <c r="M74" s="373"/>
      <c r="N74" s="346"/>
      <c r="O74" s="346"/>
      <c r="P74" s="806"/>
      <c r="Q74" s="346"/>
      <c r="R74" s="346"/>
      <c r="S74" s="346"/>
      <c r="T74" s="346"/>
      <c r="U74" s="372"/>
      <c r="V74" s="360"/>
      <c r="W74" s="371"/>
      <c r="X74" s="371"/>
      <c r="Y74" s="371"/>
      <c r="Z74" s="371"/>
      <c r="AA74" s="371"/>
      <c r="AB74" s="371"/>
      <c r="AC74" s="371"/>
      <c r="AD74" s="371"/>
      <c r="AE74" s="371"/>
      <c r="AF74" s="371"/>
      <c r="AG74" s="371"/>
      <c r="AH74" s="371"/>
    </row>
    <row r="75" spans="1:34" s="362" customFormat="1" ht="18" customHeight="1">
      <c r="A75" s="360"/>
      <c r="B75" s="361"/>
      <c r="C75" s="1058">
        <v>43894</v>
      </c>
      <c r="D75" s="1059">
        <v>22</v>
      </c>
      <c r="E75" s="1078" t="s">
        <v>328</v>
      </c>
      <c r="F75" s="1137" t="s">
        <v>8</v>
      </c>
      <c r="G75" s="1133">
        <v>64</v>
      </c>
      <c r="H75" s="1072" t="s">
        <v>88</v>
      </c>
      <c r="I75" s="1062" t="s">
        <v>51</v>
      </c>
      <c r="J75" s="1134" t="s">
        <v>80</v>
      </c>
      <c r="K75" s="825" t="s">
        <v>81</v>
      </c>
      <c r="L75" s="346"/>
      <c r="M75" s="373"/>
      <c r="N75" s="346"/>
      <c r="O75" s="346"/>
      <c r="P75" s="806"/>
      <c r="Q75" s="346"/>
      <c r="R75" s="346"/>
      <c r="S75" s="346"/>
      <c r="T75" s="346"/>
      <c r="U75" s="372"/>
      <c r="V75" s="360"/>
      <c r="W75" s="371"/>
      <c r="X75" s="371"/>
      <c r="Y75" s="371"/>
      <c r="Z75" s="371"/>
      <c r="AA75" s="371"/>
      <c r="AB75" s="371"/>
      <c r="AC75" s="371"/>
      <c r="AD75" s="371"/>
      <c r="AE75" s="371"/>
      <c r="AF75" s="371"/>
      <c r="AG75" s="371"/>
      <c r="AH75" s="371"/>
    </row>
    <row r="76" spans="1:34" s="362" customFormat="1" ht="14.25" customHeight="1">
      <c r="A76" s="360"/>
      <c r="B76" s="361"/>
      <c r="C76" s="1058">
        <v>43894</v>
      </c>
      <c r="D76" s="1059">
        <v>22</v>
      </c>
      <c r="E76" s="1062" t="s">
        <v>329</v>
      </c>
      <c r="F76" s="1137" t="s">
        <v>8</v>
      </c>
      <c r="G76" s="1133">
        <v>64</v>
      </c>
      <c r="H76" s="1062" t="s">
        <v>330</v>
      </c>
      <c r="I76" s="1062" t="s">
        <v>51</v>
      </c>
      <c r="J76" s="1134" t="s">
        <v>80</v>
      </c>
      <c r="K76" s="825" t="s">
        <v>81</v>
      </c>
      <c r="L76" s="346"/>
      <c r="M76" s="373"/>
      <c r="N76" s="346"/>
      <c r="O76" s="346"/>
      <c r="P76" s="806"/>
      <c r="Q76" s="346"/>
      <c r="R76" s="346"/>
      <c r="S76" s="346"/>
      <c r="T76" s="346"/>
      <c r="U76" s="372"/>
      <c r="V76" s="360"/>
      <c r="W76" s="371"/>
      <c r="X76" s="371"/>
      <c r="Y76" s="371"/>
      <c r="Z76" s="371"/>
      <c r="AA76" s="371"/>
      <c r="AB76" s="371"/>
      <c r="AC76" s="371"/>
      <c r="AD76" s="371"/>
      <c r="AE76" s="371"/>
      <c r="AF76" s="371"/>
      <c r="AG76" s="371"/>
      <c r="AH76" s="371"/>
    </row>
    <row r="77" spans="1:34" s="362" customFormat="1" ht="15.75" customHeight="1">
      <c r="A77" s="327"/>
      <c r="B77" s="361"/>
      <c r="C77" s="1058">
        <v>43894</v>
      </c>
      <c r="D77" s="1061">
        <v>22</v>
      </c>
      <c r="E77" s="1078" t="s">
        <v>312</v>
      </c>
      <c r="F77" s="1137" t="s">
        <v>9</v>
      </c>
      <c r="G77" s="1133">
        <v>64</v>
      </c>
      <c r="H77" s="1078" t="s">
        <v>331</v>
      </c>
      <c r="I77" s="1062" t="s">
        <v>51</v>
      </c>
      <c r="J77" s="1134" t="s">
        <v>80</v>
      </c>
      <c r="K77" s="844"/>
      <c r="L77" s="346"/>
      <c r="M77" s="373"/>
      <c r="N77" s="346"/>
      <c r="O77" s="346"/>
      <c r="P77" s="806"/>
      <c r="Q77" s="346"/>
      <c r="R77" s="346"/>
      <c r="S77" s="346"/>
      <c r="T77" s="346"/>
      <c r="U77" s="372"/>
      <c r="V77" s="360"/>
      <c r="W77" s="371"/>
      <c r="X77" s="371"/>
      <c r="Y77" s="371"/>
      <c r="Z77" s="371"/>
      <c r="AA77" s="371"/>
      <c r="AB77" s="371"/>
      <c r="AC77" s="371"/>
      <c r="AD77" s="371"/>
      <c r="AE77" s="371"/>
      <c r="AF77" s="371"/>
      <c r="AG77" s="371"/>
      <c r="AH77" s="371"/>
    </row>
    <row r="78" spans="1:34" s="362" customFormat="1">
      <c r="A78" s="327"/>
      <c r="B78" s="361"/>
      <c r="C78" s="1058">
        <v>43894</v>
      </c>
      <c r="D78" s="1061">
        <v>101</v>
      </c>
      <c r="E78" s="1062" t="s">
        <v>332</v>
      </c>
      <c r="F78" s="1133" t="s">
        <v>8</v>
      </c>
      <c r="G78" s="1133">
        <v>65</v>
      </c>
      <c r="H78" s="1062" t="s">
        <v>196</v>
      </c>
      <c r="I78" s="1071" t="s">
        <v>50</v>
      </c>
      <c r="J78" s="1134" t="s">
        <v>80</v>
      </c>
      <c r="K78" s="825" t="s">
        <v>81</v>
      </c>
      <c r="L78" s="346"/>
      <c r="M78" s="373"/>
      <c r="N78" s="346"/>
      <c r="O78" s="346"/>
      <c r="P78" s="806"/>
      <c r="Q78" s="346"/>
      <c r="R78" s="346"/>
      <c r="S78" s="346"/>
      <c r="T78" s="346"/>
      <c r="U78" s="372"/>
      <c r="V78" s="360"/>
      <c r="W78" s="371"/>
      <c r="X78" s="371"/>
      <c r="Y78" s="371"/>
      <c r="Z78" s="371"/>
      <c r="AA78" s="371"/>
      <c r="AB78" s="371"/>
      <c r="AC78" s="371"/>
      <c r="AD78" s="371"/>
      <c r="AE78" s="371"/>
      <c r="AF78" s="371"/>
      <c r="AG78" s="371"/>
      <c r="AH78" s="371"/>
    </row>
    <row r="79" spans="1:34" s="362" customFormat="1">
      <c r="A79" s="327"/>
      <c r="B79" s="361"/>
      <c r="C79" s="1058">
        <v>43895</v>
      </c>
      <c r="D79" s="1059">
        <v>22</v>
      </c>
      <c r="E79" s="1062" t="s">
        <v>333</v>
      </c>
      <c r="F79" s="1137" t="s">
        <v>8</v>
      </c>
      <c r="G79" s="1133">
        <v>64</v>
      </c>
      <c r="H79" s="1062" t="s">
        <v>88</v>
      </c>
      <c r="I79" s="1062" t="s">
        <v>51</v>
      </c>
      <c r="J79" s="1134" t="s">
        <v>80</v>
      </c>
      <c r="K79" s="825" t="s">
        <v>81</v>
      </c>
      <c r="L79" s="346"/>
      <c r="M79" s="373"/>
      <c r="N79" s="346"/>
      <c r="O79" s="346"/>
      <c r="P79" s="806"/>
      <c r="Q79" s="346"/>
      <c r="R79" s="346"/>
      <c r="S79" s="346"/>
      <c r="T79" s="346"/>
      <c r="U79" s="372"/>
      <c r="V79" s="360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</row>
    <row r="80" spans="1:34" s="362" customFormat="1">
      <c r="A80" s="327"/>
      <c r="B80" s="361"/>
      <c r="C80" s="1058">
        <v>43895</v>
      </c>
      <c r="D80" s="1059">
        <v>22</v>
      </c>
      <c r="E80" s="1062" t="s">
        <v>334</v>
      </c>
      <c r="F80" s="1137" t="s">
        <v>8</v>
      </c>
      <c r="G80" s="1133">
        <v>64</v>
      </c>
      <c r="H80" s="1062" t="s">
        <v>123</v>
      </c>
      <c r="I80" s="1062" t="s">
        <v>51</v>
      </c>
      <c r="J80" s="1134" t="s">
        <v>80</v>
      </c>
      <c r="K80" s="844"/>
      <c r="L80" s="346"/>
      <c r="M80" s="346"/>
      <c r="N80" s="346"/>
      <c r="O80" s="346"/>
      <c r="P80" s="806"/>
      <c r="Q80" s="346"/>
      <c r="R80" s="346"/>
      <c r="S80" s="346"/>
      <c r="T80" s="346"/>
      <c r="U80" s="372"/>
      <c r="V80" s="360"/>
      <c r="W80" s="371"/>
      <c r="X80" s="371"/>
      <c r="Y80" s="371"/>
      <c r="Z80" s="371"/>
      <c r="AA80" s="371"/>
      <c r="AB80" s="371"/>
      <c r="AC80" s="371"/>
      <c r="AD80" s="371"/>
      <c r="AE80" s="371"/>
      <c r="AF80" s="371"/>
      <c r="AG80" s="371"/>
      <c r="AH80" s="371"/>
    </row>
    <row r="81" spans="1:34" s="362" customFormat="1">
      <c r="A81" s="327"/>
      <c r="B81" s="361"/>
      <c r="C81" s="1058">
        <v>43895</v>
      </c>
      <c r="D81" s="1059">
        <v>21</v>
      </c>
      <c r="E81" s="1062" t="s">
        <v>335</v>
      </c>
      <c r="F81" s="1137" t="s">
        <v>8</v>
      </c>
      <c r="G81" s="1133">
        <v>65</v>
      </c>
      <c r="H81" s="1062" t="s">
        <v>167</v>
      </c>
      <c r="I81" s="1062" t="s">
        <v>51</v>
      </c>
      <c r="J81" s="1134" t="s">
        <v>80</v>
      </c>
      <c r="K81" s="825" t="s">
        <v>81</v>
      </c>
      <c r="L81" s="346"/>
      <c r="M81" s="373"/>
      <c r="N81" s="346"/>
      <c r="O81" s="346"/>
      <c r="P81" s="806"/>
      <c r="Q81" s="346"/>
      <c r="R81" s="346"/>
      <c r="S81" s="346"/>
      <c r="T81" s="346"/>
      <c r="U81" s="372"/>
      <c r="V81" s="360"/>
      <c r="W81" s="371"/>
      <c r="X81" s="371"/>
      <c r="Y81" s="371"/>
      <c r="Z81" s="371"/>
      <c r="AA81" s="371"/>
      <c r="AB81" s="371"/>
      <c r="AC81" s="371"/>
      <c r="AD81" s="371"/>
      <c r="AE81" s="371"/>
      <c r="AF81" s="371"/>
      <c r="AG81" s="371"/>
      <c r="AH81" s="371"/>
    </row>
    <row r="82" spans="1:34" s="362" customFormat="1">
      <c r="A82" s="327"/>
      <c r="B82" s="361"/>
      <c r="C82" s="1058">
        <v>43895</v>
      </c>
      <c r="D82" s="1059">
        <v>21</v>
      </c>
      <c r="E82" s="1062" t="s">
        <v>336</v>
      </c>
      <c r="F82" s="1137" t="s">
        <v>8</v>
      </c>
      <c r="G82" s="1133">
        <v>65</v>
      </c>
      <c r="H82" s="1062" t="s">
        <v>193</v>
      </c>
      <c r="I82" s="1062" t="s">
        <v>51</v>
      </c>
      <c r="J82" s="1134" t="s">
        <v>80</v>
      </c>
      <c r="K82" s="825" t="s">
        <v>81</v>
      </c>
      <c r="L82" s="346"/>
      <c r="M82" s="373"/>
      <c r="N82" s="346"/>
      <c r="O82" s="346"/>
      <c r="P82" s="806"/>
      <c r="Q82" s="346"/>
      <c r="R82" s="346"/>
      <c r="S82" s="346"/>
      <c r="T82" s="346"/>
      <c r="U82" s="372"/>
      <c r="V82" s="360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</row>
    <row r="83" spans="1:34" s="362" customFormat="1">
      <c r="A83" s="327"/>
      <c r="B83" s="361"/>
      <c r="C83" s="1058">
        <v>43895</v>
      </c>
      <c r="D83" s="1059">
        <v>24</v>
      </c>
      <c r="E83" s="1062" t="s">
        <v>337</v>
      </c>
      <c r="F83" s="1137" t="s">
        <v>8</v>
      </c>
      <c r="G83" s="1133">
        <v>65</v>
      </c>
      <c r="H83" s="1062" t="s">
        <v>167</v>
      </c>
      <c r="I83" s="1062" t="s">
        <v>51</v>
      </c>
      <c r="J83" s="1134" t="s">
        <v>80</v>
      </c>
      <c r="K83" s="825" t="s">
        <v>81</v>
      </c>
      <c r="L83" s="346"/>
      <c r="M83" s="373"/>
      <c r="N83" s="346"/>
      <c r="O83" s="346"/>
      <c r="P83" s="806"/>
      <c r="Q83" s="346"/>
      <c r="R83" s="346"/>
      <c r="S83" s="346"/>
      <c r="T83" s="346"/>
      <c r="U83" s="372"/>
      <c r="V83" s="360"/>
      <c r="W83" s="371"/>
      <c r="X83" s="371"/>
      <c r="Y83" s="371"/>
      <c r="Z83" s="371"/>
      <c r="AA83" s="371"/>
      <c r="AB83" s="371"/>
      <c r="AC83" s="371"/>
      <c r="AD83" s="371"/>
      <c r="AE83" s="371"/>
      <c r="AF83" s="371"/>
      <c r="AG83" s="371"/>
      <c r="AH83" s="371"/>
    </row>
    <row r="84" spans="1:34" s="362" customFormat="1">
      <c r="A84" s="327"/>
      <c r="B84" s="361"/>
      <c r="C84" s="1058">
        <v>43895</v>
      </c>
      <c r="D84" s="1059">
        <v>24</v>
      </c>
      <c r="E84" s="1062" t="s">
        <v>336</v>
      </c>
      <c r="F84" s="1137" t="s">
        <v>8</v>
      </c>
      <c r="G84" s="1133">
        <v>65</v>
      </c>
      <c r="H84" s="1062" t="s">
        <v>79</v>
      </c>
      <c r="I84" s="1062" t="s">
        <v>51</v>
      </c>
      <c r="J84" s="1134" t="s">
        <v>80</v>
      </c>
      <c r="K84" s="825" t="s">
        <v>81</v>
      </c>
      <c r="L84" s="346"/>
      <c r="M84" s="373"/>
      <c r="N84" s="346"/>
      <c r="O84" s="346"/>
      <c r="P84" s="806"/>
      <c r="Q84" s="346"/>
      <c r="R84" s="346"/>
      <c r="S84" s="346"/>
      <c r="T84" s="346"/>
      <c r="U84" s="372"/>
      <c r="V84" s="360"/>
      <c r="W84" s="371"/>
      <c r="X84" s="371"/>
      <c r="Y84" s="371"/>
      <c r="Z84" s="371"/>
      <c r="AA84" s="371"/>
      <c r="AB84" s="371"/>
      <c r="AC84" s="371"/>
      <c r="AD84" s="371"/>
      <c r="AE84" s="371"/>
      <c r="AF84" s="371"/>
      <c r="AG84" s="371"/>
      <c r="AH84" s="371"/>
    </row>
    <row r="85" spans="1:34" s="362" customFormat="1">
      <c r="A85" s="327"/>
      <c r="B85" s="361"/>
      <c r="C85" s="1058">
        <v>43895</v>
      </c>
      <c r="D85" s="1059">
        <v>25</v>
      </c>
      <c r="E85" s="1078" t="s">
        <v>338</v>
      </c>
      <c r="F85" s="1137" t="s">
        <v>8</v>
      </c>
      <c r="G85" s="1133">
        <v>64</v>
      </c>
      <c r="H85" s="1072" t="s">
        <v>123</v>
      </c>
      <c r="I85" s="1062" t="s">
        <v>51</v>
      </c>
      <c r="J85" s="1134" t="s">
        <v>80</v>
      </c>
      <c r="K85" s="825" t="s">
        <v>81</v>
      </c>
      <c r="L85" s="346"/>
      <c r="M85" s="373"/>
      <c r="N85" s="346"/>
      <c r="O85" s="346"/>
      <c r="P85" s="806"/>
      <c r="Q85" s="346"/>
      <c r="R85" s="346"/>
      <c r="S85" s="346"/>
      <c r="T85" s="346"/>
      <c r="U85" s="372"/>
      <c r="V85" s="360"/>
      <c r="W85" s="371"/>
      <c r="X85" s="371"/>
      <c r="Y85" s="371"/>
      <c r="Z85" s="371"/>
      <c r="AA85" s="371"/>
      <c r="AB85" s="371"/>
      <c r="AC85" s="371"/>
      <c r="AD85" s="371"/>
      <c r="AE85" s="371"/>
      <c r="AF85" s="371"/>
      <c r="AG85" s="371"/>
      <c r="AH85" s="371"/>
    </row>
    <row r="86" spans="1:34" s="362" customFormat="1">
      <c r="A86" s="327"/>
      <c r="B86" s="361"/>
      <c r="C86" s="1058">
        <v>43895</v>
      </c>
      <c r="D86" s="1061">
        <v>26</v>
      </c>
      <c r="E86" s="1072" t="s">
        <v>339</v>
      </c>
      <c r="F86" s="1137" t="s">
        <v>8</v>
      </c>
      <c r="G86" s="1133">
        <v>40</v>
      </c>
      <c r="H86" s="1078" t="s">
        <v>85</v>
      </c>
      <c r="I86" s="1071" t="s">
        <v>51</v>
      </c>
      <c r="J86" s="1134" t="s">
        <v>80</v>
      </c>
      <c r="K86" s="839" t="s">
        <v>81</v>
      </c>
      <c r="L86" s="346"/>
      <c r="M86" s="373"/>
      <c r="N86" s="346"/>
      <c r="O86" s="346"/>
      <c r="P86" s="806"/>
      <c r="Q86" s="346"/>
      <c r="R86" s="346"/>
      <c r="S86" s="346"/>
      <c r="T86" s="346"/>
      <c r="U86" s="372"/>
      <c r="V86" s="360"/>
      <c r="W86" s="371"/>
      <c r="X86" s="371"/>
      <c r="Y86" s="371"/>
      <c r="Z86" s="371"/>
      <c r="AA86" s="371"/>
      <c r="AB86" s="371"/>
      <c r="AC86" s="371"/>
      <c r="AD86" s="371"/>
      <c r="AE86" s="371"/>
      <c r="AF86" s="371"/>
      <c r="AG86" s="371"/>
      <c r="AH86" s="371"/>
    </row>
    <row r="87" spans="1:34" s="362" customFormat="1">
      <c r="A87" s="327"/>
      <c r="B87" s="361"/>
      <c r="C87" s="1058">
        <v>43895</v>
      </c>
      <c r="D87" s="1061">
        <v>24</v>
      </c>
      <c r="E87" s="1062" t="s">
        <v>340</v>
      </c>
      <c r="F87" s="1133" t="s">
        <v>8</v>
      </c>
      <c r="G87" s="1133">
        <v>65</v>
      </c>
      <c r="H87" s="1062" t="s">
        <v>167</v>
      </c>
      <c r="I87" s="1071" t="s">
        <v>51</v>
      </c>
      <c r="J87" s="1134" t="s">
        <v>80</v>
      </c>
      <c r="K87" s="825" t="s">
        <v>81</v>
      </c>
      <c r="L87" s="346"/>
      <c r="M87" s="373"/>
      <c r="N87" s="346"/>
      <c r="O87" s="346"/>
      <c r="P87" s="806"/>
      <c r="Q87" s="346"/>
      <c r="R87" s="346"/>
      <c r="S87" s="346"/>
      <c r="T87" s="346"/>
      <c r="U87" s="372"/>
      <c r="V87" s="360"/>
      <c r="W87" s="371"/>
      <c r="X87" s="371"/>
      <c r="Y87" s="371"/>
      <c r="Z87" s="371"/>
      <c r="AA87" s="371"/>
      <c r="AB87" s="371"/>
      <c r="AC87" s="371"/>
      <c r="AD87" s="371"/>
      <c r="AE87" s="371"/>
      <c r="AF87" s="371"/>
      <c r="AG87" s="371"/>
      <c r="AH87" s="371"/>
    </row>
    <row r="88" spans="1:34" s="362" customFormat="1">
      <c r="A88" s="327"/>
      <c r="B88" s="361"/>
      <c r="C88" s="1058">
        <v>43895</v>
      </c>
      <c r="D88" s="1061">
        <v>26</v>
      </c>
      <c r="E88" s="1069" t="s">
        <v>341</v>
      </c>
      <c r="F88" s="1133" t="s">
        <v>8</v>
      </c>
      <c r="G88" s="1133">
        <v>40</v>
      </c>
      <c r="H88" s="1062" t="s">
        <v>85</v>
      </c>
      <c r="I88" s="1071" t="s">
        <v>51</v>
      </c>
      <c r="J88" s="1134" t="s">
        <v>80</v>
      </c>
      <c r="K88" s="825" t="s">
        <v>81</v>
      </c>
      <c r="L88" s="721"/>
      <c r="M88" s="373"/>
      <c r="N88" s="346"/>
      <c r="O88" s="346"/>
      <c r="P88" s="806"/>
      <c r="Q88" s="346"/>
      <c r="R88" s="346"/>
      <c r="S88" s="346"/>
      <c r="T88" s="346"/>
      <c r="U88" s="372"/>
      <c r="V88" s="360"/>
      <c r="W88" s="371"/>
      <c r="X88" s="371"/>
      <c r="Y88" s="371"/>
      <c r="Z88" s="371"/>
      <c r="AA88" s="371"/>
      <c r="AB88" s="371"/>
      <c r="AC88" s="371"/>
      <c r="AD88" s="371"/>
      <c r="AE88" s="371"/>
      <c r="AF88" s="371"/>
      <c r="AG88" s="371"/>
      <c r="AH88" s="371"/>
    </row>
    <row r="89" spans="1:34" s="362" customFormat="1">
      <c r="A89" s="327"/>
      <c r="B89" s="1215"/>
      <c r="C89" s="1058">
        <v>43895</v>
      </c>
      <c r="D89" s="1061">
        <v>26</v>
      </c>
      <c r="E89" s="1071" t="s">
        <v>342</v>
      </c>
      <c r="F89" s="1133" t="s">
        <v>9</v>
      </c>
      <c r="G89" s="1133">
        <v>40</v>
      </c>
      <c r="H89" s="1062" t="s">
        <v>118</v>
      </c>
      <c r="I89" s="1071" t="s">
        <v>51</v>
      </c>
      <c r="J89" s="1134" t="s">
        <v>80</v>
      </c>
      <c r="K89" s="825" t="s">
        <v>96</v>
      </c>
      <c r="L89" s="346"/>
      <c r="M89" s="373"/>
      <c r="N89" s="346"/>
      <c r="O89" s="346"/>
      <c r="P89" s="806"/>
      <c r="Q89" s="346"/>
      <c r="R89" s="346"/>
      <c r="S89" s="346"/>
      <c r="T89" s="346"/>
      <c r="U89" s="372"/>
      <c r="V89" s="360"/>
      <c r="W89" s="371"/>
      <c r="X89" s="371"/>
      <c r="Y89" s="371"/>
      <c r="Z89" s="371"/>
      <c r="AA89" s="371"/>
      <c r="AB89" s="371"/>
      <c r="AC89" s="371"/>
      <c r="AD89" s="371"/>
      <c r="AE89" s="371"/>
      <c r="AF89" s="371"/>
      <c r="AG89" s="371"/>
      <c r="AH89" s="371"/>
    </row>
    <row r="90" spans="1:34" s="362" customFormat="1">
      <c r="A90" s="327"/>
      <c r="B90" s="1215"/>
      <c r="C90" s="1058">
        <v>43896</v>
      </c>
      <c r="D90" s="1061">
        <v>27</v>
      </c>
      <c r="E90" s="1071" t="s">
        <v>342</v>
      </c>
      <c r="F90" s="1133" t="s">
        <v>8</v>
      </c>
      <c r="G90" s="1133">
        <v>40</v>
      </c>
      <c r="H90" s="1062" t="s">
        <v>85</v>
      </c>
      <c r="I90" s="1071" t="s">
        <v>51</v>
      </c>
      <c r="J90" s="1134" t="s">
        <v>80</v>
      </c>
      <c r="K90" s="825" t="s">
        <v>81</v>
      </c>
      <c r="L90" s="346"/>
      <c r="M90" s="722"/>
      <c r="N90" s="720"/>
      <c r="O90" s="720"/>
      <c r="P90" s="806"/>
      <c r="Q90" s="720"/>
      <c r="R90" s="720"/>
      <c r="S90" s="720"/>
      <c r="T90" s="720"/>
      <c r="U90" s="372"/>
      <c r="V90" s="360"/>
      <c r="W90" s="371"/>
      <c r="X90" s="371"/>
      <c r="Y90" s="371"/>
      <c r="Z90" s="371"/>
      <c r="AA90" s="371"/>
      <c r="AB90" s="371"/>
      <c r="AC90" s="371"/>
      <c r="AD90" s="371"/>
      <c r="AE90" s="371"/>
      <c r="AF90" s="371"/>
      <c r="AG90" s="371"/>
      <c r="AH90" s="371"/>
    </row>
    <row r="91" spans="1:34" s="362" customFormat="1">
      <c r="A91" s="327"/>
      <c r="B91" s="361"/>
      <c r="C91" s="1058">
        <v>43896</v>
      </c>
      <c r="D91" s="1061">
        <v>9</v>
      </c>
      <c r="E91" s="1062" t="s">
        <v>272</v>
      </c>
      <c r="F91" s="1133" t="s">
        <v>8</v>
      </c>
      <c r="G91" s="1133">
        <v>64</v>
      </c>
      <c r="H91" s="1062" t="s">
        <v>88</v>
      </c>
      <c r="I91" s="1071" t="s">
        <v>54</v>
      </c>
      <c r="J91" s="1134" t="s">
        <v>80</v>
      </c>
      <c r="K91" s="825" t="s">
        <v>81</v>
      </c>
      <c r="L91" s="346"/>
      <c r="M91" s="373"/>
      <c r="N91" s="369"/>
      <c r="O91" s="369"/>
      <c r="P91" s="806"/>
      <c r="Q91" s="369"/>
      <c r="R91" s="369"/>
      <c r="S91" s="369"/>
      <c r="T91" s="369"/>
      <c r="U91" s="372"/>
      <c r="V91" s="360"/>
      <c r="W91" s="371"/>
      <c r="X91" s="371"/>
      <c r="Y91" s="371"/>
      <c r="Z91" s="371"/>
      <c r="AA91" s="371"/>
      <c r="AB91" s="371"/>
      <c r="AC91" s="371"/>
      <c r="AD91" s="371"/>
      <c r="AE91" s="371"/>
      <c r="AF91" s="371"/>
      <c r="AG91" s="371"/>
      <c r="AH91" s="371"/>
    </row>
    <row r="92" spans="1:34" s="399" customFormat="1">
      <c r="A92" s="395"/>
      <c r="B92" s="719"/>
      <c r="C92" s="1058">
        <v>43896</v>
      </c>
      <c r="D92" s="1061">
        <v>27</v>
      </c>
      <c r="E92" s="1062" t="s">
        <v>343</v>
      </c>
      <c r="F92" s="1133" t="s">
        <v>8</v>
      </c>
      <c r="G92" s="1133">
        <v>40</v>
      </c>
      <c r="H92" s="1062" t="s">
        <v>85</v>
      </c>
      <c r="I92" s="1071" t="s">
        <v>51</v>
      </c>
      <c r="J92" s="1134" t="s">
        <v>80</v>
      </c>
      <c r="K92" s="825" t="s">
        <v>81</v>
      </c>
      <c r="L92" s="358"/>
      <c r="M92" s="373"/>
      <c r="N92" s="369"/>
      <c r="O92" s="369"/>
      <c r="P92" s="806"/>
      <c r="Q92" s="369"/>
      <c r="R92" s="369"/>
      <c r="S92" s="369"/>
      <c r="T92" s="369"/>
      <c r="U92" s="723"/>
      <c r="V92" s="398"/>
      <c r="W92" s="575"/>
      <c r="X92" s="575"/>
      <c r="Y92" s="575"/>
      <c r="Z92" s="575"/>
      <c r="AA92" s="575"/>
      <c r="AB92" s="575"/>
      <c r="AC92" s="575"/>
      <c r="AD92" s="575"/>
      <c r="AE92" s="575"/>
      <c r="AF92" s="575"/>
      <c r="AG92" s="575"/>
      <c r="AH92" s="575"/>
    </row>
    <row r="93" spans="1:34">
      <c r="A93" s="326"/>
      <c r="B93" s="339"/>
      <c r="C93" s="1058">
        <v>43896</v>
      </c>
      <c r="D93" s="1061">
        <v>27</v>
      </c>
      <c r="E93" s="1072" t="s">
        <v>344</v>
      </c>
      <c r="F93" s="1133" t="s">
        <v>10</v>
      </c>
      <c r="G93" s="1133">
        <v>40</v>
      </c>
      <c r="H93" s="1071" t="s">
        <v>275</v>
      </c>
      <c r="I93" s="1071" t="s">
        <v>51</v>
      </c>
      <c r="J93" s="1134" t="s">
        <v>80</v>
      </c>
      <c r="K93" s="844"/>
      <c r="L93" s="346"/>
      <c r="M93" s="373"/>
      <c r="N93" s="369"/>
      <c r="O93" s="369"/>
      <c r="P93" s="806"/>
      <c r="Q93" s="369"/>
      <c r="R93" s="369"/>
      <c r="S93" s="369"/>
      <c r="T93" s="369"/>
      <c r="U93" s="341"/>
      <c r="V93" s="321"/>
      <c r="X93" s="572"/>
      <c r="Y93" s="572"/>
      <c r="Z93" s="572"/>
      <c r="AA93" s="572"/>
      <c r="AB93" s="572"/>
      <c r="AC93" s="572"/>
      <c r="AD93" s="572"/>
      <c r="AE93" s="572"/>
      <c r="AF93" s="572"/>
      <c r="AG93" s="572"/>
      <c r="AH93" s="572"/>
    </row>
    <row r="94" spans="1:34">
      <c r="A94" s="326"/>
      <c r="B94" s="339"/>
      <c r="C94" s="1058">
        <v>43899</v>
      </c>
      <c r="D94" s="1061">
        <v>25</v>
      </c>
      <c r="E94" s="1062" t="s">
        <v>345</v>
      </c>
      <c r="F94" s="1133" t="s">
        <v>8</v>
      </c>
      <c r="G94" s="1133">
        <v>64</v>
      </c>
      <c r="H94" s="1062" t="s">
        <v>109</v>
      </c>
      <c r="I94" s="1071" t="s">
        <v>51</v>
      </c>
      <c r="J94" s="1134" t="s">
        <v>80</v>
      </c>
      <c r="K94" s="825" t="s">
        <v>81</v>
      </c>
      <c r="L94" s="346"/>
      <c r="M94" s="373"/>
      <c r="N94" s="369"/>
      <c r="O94" s="369"/>
      <c r="P94" s="806"/>
      <c r="Q94" s="373"/>
      <c r="R94" s="369"/>
      <c r="S94" s="369"/>
      <c r="T94" s="369"/>
      <c r="U94" s="341"/>
      <c r="V94" s="321"/>
      <c r="X94" s="572"/>
      <c r="Y94" s="572"/>
      <c r="Z94" s="572"/>
      <c r="AA94" s="572"/>
      <c r="AB94" s="572"/>
      <c r="AC94" s="572"/>
      <c r="AD94" s="572"/>
      <c r="AE94" s="572"/>
      <c r="AF94" s="572"/>
      <c r="AG94" s="572"/>
      <c r="AH94" s="572"/>
    </row>
    <row r="95" spans="1:34">
      <c r="A95" s="326"/>
      <c r="B95" s="339"/>
      <c r="C95" s="1058">
        <v>43900</v>
      </c>
      <c r="D95" s="1061">
        <v>101</v>
      </c>
      <c r="E95" s="1071" t="s">
        <v>346</v>
      </c>
      <c r="F95" s="1133" t="s">
        <v>8</v>
      </c>
      <c r="G95" s="1133">
        <v>65</v>
      </c>
      <c r="H95" s="1062" t="s">
        <v>193</v>
      </c>
      <c r="I95" s="1071" t="s">
        <v>50</v>
      </c>
      <c r="J95" s="1134" t="s">
        <v>80</v>
      </c>
      <c r="K95" s="825" t="s">
        <v>81</v>
      </c>
      <c r="L95" s="346"/>
      <c r="M95" s="373"/>
      <c r="N95" s="369"/>
      <c r="O95" s="369"/>
      <c r="P95" s="806"/>
      <c r="Q95" s="373"/>
      <c r="R95" s="369"/>
      <c r="S95" s="369"/>
      <c r="T95" s="369"/>
      <c r="U95" s="341"/>
      <c r="V95" s="321"/>
      <c r="X95" s="572"/>
      <c r="Y95" s="572"/>
      <c r="Z95" s="572"/>
      <c r="AA95" s="572"/>
      <c r="AB95" s="572"/>
      <c r="AC95" s="572"/>
      <c r="AD95" s="572"/>
      <c r="AE95" s="572"/>
      <c r="AF95" s="572"/>
      <c r="AG95" s="572"/>
      <c r="AH95" s="572"/>
    </row>
    <row r="96" spans="1:34" ht="15.75" customHeight="1">
      <c r="A96" s="326"/>
      <c r="B96" s="339"/>
      <c r="C96" s="1058">
        <v>43900</v>
      </c>
      <c r="D96" s="1061">
        <v>101</v>
      </c>
      <c r="E96" s="1071" t="s">
        <v>346</v>
      </c>
      <c r="F96" s="1133" t="s">
        <v>8</v>
      </c>
      <c r="G96" s="1133">
        <v>65</v>
      </c>
      <c r="H96" s="1062" t="s">
        <v>311</v>
      </c>
      <c r="I96" s="1071" t="s">
        <v>50</v>
      </c>
      <c r="J96" s="1134" t="s">
        <v>80</v>
      </c>
      <c r="K96" s="825" t="s">
        <v>81</v>
      </c>
      <c r="L96" s="346"/>
      <c r="M96" s="373"/>
      <c r="N96" s="369"/>
      <c r="O96" s="369"/>
      <c r="P96" s="806"/>
      <c r="Q96" s="373"/>
      <c r="R96" s="369"/>
      <c r="S96" s="369"/>
      <c r="T96" s="369"/>
      <c r="U96" s="341"/>
      <c r="V96" s="321"/>
      <c r="X96" s="572"/>
      <c r="Y96" s="572"/>
      <c r="Z96" s="572"/>
      <c r="AA96" s="572"/>
      <c r="AB96" s="572"/>
      <c r="AC96" s="572"/>
      <c r="AD96" s="572"/>
      <c r="AE96" s="572"/>
      <c r="AF96" s="572"/>
      <c r="AG96" s="572"/>
      <c r="AH96" s="572"/>
    </row>
    <row r="97" spans="1:34" ht="15.75" customHeight="1">
      <c r="A97" s="326"/>
      <c r="B97" s="339"/>
      <c r="C97" s="1058">
        <v>43900</v>
      </c>
      <c r="D97" s="1216"/>
      <c r="E97" s="1071" t="s">
        <v>347</v>
      </c>
      <c r="F97" s="1133" t="s">
        <v>8</v>
      </c>
      <c r="G97" s="1133">
        <v>64</v>
      </c>
      <c r="H97" s="1062" t="s">
        <v>109</v>
      </c>
      <c r="I97" s="1071" t="s">
        <v>50</v>
      </c>
      <c r="J97" s="1134" t="s">
        <v>80</v>
      </c>
      <c r="K97" s="825" t="s">
        <v>81</v>
      </c>
      <c r="L97" s="346"/>
      <c r="M97" s="373"/>
      <c r="N97" s="369"/>
      <c r="O97" s="369"/>
      <c r="P97" s="806"/>
      <c r="Q97" s="373"/>
      <c r="R97" s="369"/>
      <c r="S97" s="369"/>
      <c r="T97" s="369"/>
      <c r="U97" s="341"/>
      <c r="V97" s="321"/>
      <c r="X97" s="572"/>
      <c r="Y97" s="572"/>
      <c r="Z97" s="572"/>
      <c r="AA97" s="572"/>
      <c r="AB97" s="572"/>
      <c r="AC97" s="572"/>
      <c r="AD97" s="572"/>
      <c r="AE97" s="572"/>
      <c r="AF97" s="572"/>
      <c r="AG97" s="572"/>
      <c r="AH97" s="572"/>
    </row>
    <row r="98" spans="1:34" ht="15.75" customHeight="1">
      <c r="A98" s="326"/>
      <c r="B98" s="339"/>
      <c r="C98" s="1058">
        <v>43900</v>
      </c>
      <c r="D98" s="1216"/>
      <c r="E98" s="1062" t="s">
        <v>348</v>
      </c>
      <c r="F98" s="1133" t="s">
        <v>8</v>
      </c>
      <c r="G98" s="1133">
        <v>40</v>
      </c>
      <c r="H98" s="1062" t="s">
        <v>85</v>
      </c>
      <c r="I98" s="1071" t="s">
        <v>52</v>
      </c>
      <c r="J98" s="1134" t="s">
        <v>80</v>
      </c>
      <c r="K98" s="825" t="s">
        <v>81</v>
      </c>
      <c r="L98" s="346"/>
      <c r="M98" s="373"/>
      <c r="N98" s="369"/>
      <c r="O98" s="369"/>
      <c r="P98" s="806"/>
      <c r="Q98" s="373"/>
      <c r="R98" s="369"/>
      <c r="S98" s="369"/>
      <c r="T98" s="369"/>
      <c r="U98" s="341"/>
      <c r="V98" s="321"/>
      <c r="X98" s="572"/>
      <c r="Y98" s="572"/>
      <c r="Z98" s="572"/>
      <c r="AA98" s="572"/>
      <c r="AB98" s="572"/>
      <c r="AC98" s="572"/>
      <c r="AD98" s="572"/>
      <c r="AE98" s="572"/>
      <c r="AF98" s="572"/>
      <c r="AG98" s="572"/>
      <c r="AH98" s="572"/>
    </row>
    <row r="99" spans="1:34">
      <c r="A99" s="326"/>
      <c r="B99" s="339"/>
      <c r="C99" s="1058">
        <v>43902</v>
      </c>
      <c r="D99" s="1216"/>
      <c r="E99" s="1062" t="s">
        <v>349</v>
      </c>
      <c r="F99" s="1133" t="s">
        <v>8</v>
      </c>
      <c r="G99" s="1133">
        <v>65</v>
      </c>
      <c r="H99" s="1062" t="s">
        <v>193</v>
      </c>
      <c r="I99" s="1071" t="s">
        <v>52</v>
      </c>
      <c r="J99" s="1134" t="s">
        <v>80</v>
      </c>
      <c r="K99" s="825" t="s">
        <v>81</v>
      </c>
      <c r="L99" s="346"/>
      <c r="M99" s="373"/>
      <c r="N99" s="369"/>
      <c r="O99" s="369"/>
      <c r="P99" s="806"/>
      <c r="Q99" s="373"/>
      <c r="R99" s="369"/>
      <c r="S99" s="369"/>
      <c r="T99" s="369"/>
      <c r="U99" s="341"/>
      <c r="V99" s="321"/>
      <c r="X99" s="572"/>
      <c r="Y99" s="572"/>
      <c r="Z99" s="572"/>
      <c r="AA99" s="572"/>
      <c r="AB99" s="572"/>
      <c r="AC99" s="572"/>
      <c r="AD99" s="572"/>
      <c r="AE99" s="572"/>
      <c r="AF99" s="572"/>
      <c r="AG99" s="572"/>
      <c r="AH99" s="572"/>
    </row>
    <row r="100" spans="1:34">
      <c r="A100" s="326"/>
      <c r="B100" s="339"/>
      <c r="C100" s="1058">
        <v>43902</v>
      </c>
      <c r="D100" s="1197"/>
      <c r="E100" s="1062" t="s">
        <v>350</v>
      </c>
      <c r="F100" s="1133" t="s">
        <v>8</v>
      </c>
      <c r="G100" s="1133">
        <v>64</v>
      </c>
      <c r="H100" s="1062" t="s">
        <v>351</v>
      </c>
      <c r="I100" s="1071" t="s">
        <v>51</v>
      </c>
      <c r="J100" s="1142" t="s">
        <v>92</v>
      </c>
      <c r="K100" s="846"/>
      <c r="L100" s="346"/>
      <c r="M100" s="373"/>
      <c r="N100" s="369"/>
      <c r="O100" s="369"/>
      <c r="P100" s="806"/>
      <c r="Q100" s="373"/>
      <c r="R100" s="369"/>
      <c r="S100" s="369"/>
      <c r="T100" s="369"/>
      <c r="U100" s="341"/>
      <c r="V100" s="321"/>
      <c r="X100" s="572"/>
      <c r="Y100" s="572"/>
      <c r="Z100" s="572"/>
      <c r="AA100" s="572"/>
      <c r="AB100" s="572"/>
      <c r="AC100" s="572"/>
      <c r="AD100" s="572"/>
      <c r="AE100" s="572"/>
      <c r="AF100" s="572"/>
      <c r="AG100" s="572"/>
      <c r="AH100" s="572"/>
    </row>
    <row r="101" spans="1:34">
      <c r="A101" s="326"/>
      <c r="B101" s="339"/>
      <c r="C101" s="1058">
        <v>43907</v>
      </c>
      <c r="D101" s="1197">
        <v>24</v>
      </c>
      <c r="E101" s="1078" t="s">
        <v>352</v>
      </c>
      <c r="F101" s="1133" t="s">
        <v>8</v>
      </c>
      <c r="G101" s="1133">
        <v>64</v>
      </c>
      <c r="H101" s="1062" t="s">
        <v>353</v>
      </c>
      <c r="I101" s="1062" t="s">
        <v>51</v>
      </c>
      <c r="J101" s="1134" t="s">
        <v>80</v>
      </c>
      <c r="K101" s="825" t="s">
        <v>81</v>
      </c>
      <c r="L101" s="346"/>
      <c r="M101" s="373"/>
      <c r="N101" s="369"/>
      <c r="O101" s="369"/>
      <c r="P101" s="806"/>
      <c r="Q101" s="373"/>
      <c r="R101" s="369"/>
      <c r="S101" s="369"/>
      <c r="T101" s="369"/>
      <c r="U101" s="341"/>
      <c r="V101" s="321"/>
      <c r="X101" s="572"/>
      <c r="Y101" s="572"/>
      <c r="Z101" s="572"/>
      <c r="AA101" s="572"/>
      <c r="AB101" s="572"/>
      <c r="AC101" s="572"/>
      <c r="AD101" s="572"/>
      <c r="AE101" s="572"/>
      <c r="AF101" s="572"/>
      <c r="AG101" s="572"/>
      <c r="AH101" s="572"/>
    </row>
    <row r="102" spans="1:34">
      <c r="A102" s="326"/>
      <c r="B102" s="339"/>
      <c r="C102" s="1058">
        <v>43912</v>
      </c>
      <c r="D102" s="1061"/>
      <c r="E102" s="1062" t="s">
        <v>354</v>
      </c>
      <c r="F102" s="1133" t="s">
        <v>9</v>
      </c>
      <c r="G102" s="1133">
        <v>64</v>
      </c>
      <c r="H102" s="1060" t="s">
        <v>331</v>
      </c>
      <c r="I102" s="1071" t="s">
        <v>51</v>
      </c>
      <c r="J102" s="1134" t="s">
        <v>80</v>
      </c>
      <c r="K102" s="844"/>
      <c r="L102" s="346"/>
      <c r="M102" s="373"/>
      <c r="N102" s="369"/>
      <c r="O102" s="369"/>
      <c r="P102" s="806"/>
      <c r="Q102" s="373"/>
      <c r="R102" s="369"/>
      <c r="S102" s="369"/>
      <c r="T102" s="369"/>
      <c r="U102" s="341"/>
      <c r="V102" s="321"/>
      <c r="X102" s="572"/>
      <c r="Y102" s="572"/>
      <c r="Z102" s="572"/>
      <c r="AA102" s="572"/>
      <c r="AB102" s="572"/>
      <c r="AC102" s="572"/>
      <c r="AD102" s="572"/>
      <c r="AE102" s="572"/>
      <c r="AF102" s="572"/>
      <c r="AG102" s="572"/>
      <c r="AH102" s="572"/>
    </row>
    <row r="103" spans="1:34">
      <c r="A103" s="321"/>
      <c r="B103" s="339"/>
      <c r="C103" s="1058">
        <v>43916</v>
      </c>
      <c r="D103" s="1197"/>
      <c r="E103" s="1062" t="s">
        <v>355</v>
      </c>
      <c r="F103" s="1133" t="s">
        <v>8</v>
      </c>
      <c r="G103" s="1133">
        <v>64</v>
      </c>
      <c r="H103" s="1062" t="s">
        <v>109</v>
      </c>
      <c r="I103" s="1062" t="s">
        <v>51</v>
      </c>
      <c r="J103" s="1134" t="s">
        <v>80</v>
      </c>
      <c r="K103" s="825" t="s">
        <v>81</v>
      </c>
      <c r="L103" s="346"/>
      <c r="M103" s="373"/>
      <c r="N103" s="369"/>
      <c r="O103" s="369"/>
      <c r="P103" s="806"/>
      <c r="Q103" s="369"/>
      <c r="R103" s="369"/>
      <c r="S103" s="369"/>
      <c r="T103" s="369"/>
      <c r="U103" s="341"/>
      <c r="V103" s="321"/>
      <c r="X103" s="572"/>
      <c r="Y103" s="572"/>
      <c r="Z103" s="572"/>
      <c r="AA103" s="572"/>
      <c r="AB103" s="572"/>
      <c r="AC103" s="572"/>
      <c r="AD103" s="572"/>
      <c r="AE103" s="572"/>
      <c r="AF103" s="572"/>
      <c r="AG103" s="572"/>
      <c r="AH103" s="572"/>
    </row>
    <row r="104" spans="1:34" ht="16.5" thickBot="1">
      <c r="A104" s="321"/>
      <c r="B104" s="339"/>
      <c r="C104" s="1211">
        <v>43896</v>
      </c>
      <c r="D104" s="1217">
        <v>9</v>
      </c>
      <c r="E104" s="1214" t="s">
        <v>272</v>
      </c>
      <c r="F104" s="1212" t="s">
        <v>8</v>
      </c>
      <c r="G104" s="1133">
        <v>40</v>
      </c>
      <c r="H104" s="1084" t="s">
        <v>85</v>
      </c>
      <c r="I104" s="1071" t="s">
        <v>54</v>
      </c>
      <c r="J104" s="1134" t="s">
        <v>356</v>
      </c>
      <c r="K104" s="826"/>
      <c r="L104" s="346"/>
      <c r="M104" s="373"/>
      <c r="N104" s="369"/>
      <c r="O104" s="369"/>
      <c r="P104" s="806"/>
      <c r="Q104" s="369"/>
      <c r="R104" s="369"/>
      <c r="S104" s="369"/>
      <c r="T104" s="369"/>
      <c r="U104" s="341"/>
      <c r="V104" s="321"/>
      <c r="X104" s="572"/>
      <c r="Y104" s="572"/>
      <c r="Z104" s="572"/>
      <c r="AA104" s="572"/>
      <c r="AB104" s="572"/>
      <c r="AC104" s="572"/>
      <c r="AD104" s="572"/>
      <c r="AE104" s="572"/>
      <c r="AF104" s="572"/>
      <c r="AG104" s="572"/>
      <c r="AH104" s="572"/>
    </row>
    <row r="105" spans="1:34" ht="15.75" customHeight="1">
      <c r="A105" s="321"/>
      <c r="B105" s="339"/>
      <c r="C105" s="1058">
        <v>43920</v>
      </c>
      <c r="D105" s="1061">
        <v>29</v>
      </c>
      <c r="E105" s="1072" t="s">
        <v>357</v>
      </c>
      <c r="F105" s="1133" t="s">
        <v>9</v>
      </c>
      <c r="G105" s="1133">
        <v>65</v>
      </c>
      <c r="H105" s="847" t="s">
        <v>243</v>
      </c>
      <c r="I105" s="1071" t="s">
        <v>50</v>
      </c>
      <c r="J105" s="1134" t="s">
        <v>80</v>
      </c>
      <c r="K105" s="825" t="s">
        <v>96</v>
      </c>
      <c r="L105" s="346"/>
      <c r="M105" s="373"/>
      <c r="N105" s="369"/>
      <c r="O105" s="369"/>
      <c r="P105" s="806"/>
      <c r="Q105" s="369"/>
      <c r="R105" s="369"/>
      <c r="S105" s="369"/>
      <c r="T105" s="369"/>
      <c r="U105" s="341"/>
      <c r="V105" s="321"/>
      <c r="X105" s="572"/>
      <c r="Y105" s="572"/>
      <c r="Z105" s="572"/>
      <c r="AA105" s="572"/>
      <c r="AB105" s="572"/>
      <c r="AC105" s="572"/>
      <c r="AD105" s="572"/>
      <c r="AE105" s="572"/>
      <c r="AF105" s="572"/>
      <c r="AG105" s="572"/>
      <c r="AH105" s="572"/>
    </row>
    <row r="106" spans="1:34">
      <c r="A106" s="321"/>
      <c r="B106" s="339"/>
      <c r="C106" s="1058">
        <v>43900</v>
      </c>
      <c r="D106" s="1061">
        <v>101</v>
      </c>
      <c r="E106" s="1071" t="s">
        <v>346</v>
      </c>
      <c r="F106" s="1133" t="s">
        <v>9</v>
      </c>
      <c r="G106" s="1133">
        <v>65</v>
      </c>
      <c r="H106" s="1062" t="s">
        <v>193</v>
      </c>
      <c r="I106" s="1071" t="s">
        <v>50</v>
      </c>
      <c r="J106" s="1134" t="s">
        <v>80</v>
      </c>
      <c r="K106" s="825" t="s">
        <v>81</v>
      </c>
      <c r="L106" s="346"/>
      <c r="M106" s="373"/>
      <c r="N106" s="369"/>
      <c r="O106" s="369"/>
      <c r="P106" s="806"/>
      <c r="Q106" s="369"/>
      <c r="R106" s="369"/>
      <c r="S106" s="369"/>
      <c r="T106" s="369"/>
      <c r="U106" s="341"/>
      <c r="V106" s="321"/>
      <c r="X106" s="572"/>
      <c r="Y106" s="572"/>
      <c r="Z106" s="572"/>
      <c r="AA106" s="572"/>
      <c r="AB106" s="572"/>
      <c r="AC106" s="572"/>
      <c r="AD106" s="572"/>
      <c r="AE106" s="572"/>
      <c r="AF106" s="572"/>
      <c r="AG106" s="572"/>
      <c r="AH106" s="572"/>
    </row>
    <row r="107" spans="1:34">
      <c r="A107" s="321"/>
      <c r="B107" s="339"/>
      <c r="C107" s="1058">
        <v>43900</v>
      </c>
      <c r="D107" s="1061">
        <v>101</v>
      </c>
      <c r="E107" s="1071" t="s">
        <v>346</v>
      </c>
      <c r="F107" s="1133" t="s">
        <v>9</v>
      </c>
      <c r="G107" s="1133">
        <v>65</v>
      </c>
      <c r="H107" s="1062" t="s">
        <v>311</v>
      </c>
      <c r="I107" s="1071" t="s">
        <v>50</v>
      </c>
      <c r="J107" s="1134" t="s">
        <v>80</v>
      </c>
      <c r="K107" s="825" t="s">
        <v>81</v>
      </c>
      <c r="L107" s="346"/>
      <c r="M107" s="373"/>
      <c r="N107" s="369"/>
      <c r="O107" s="369"/>
      <c r="P107" s="806"/>
      <c r="Q107" s="369"/>
      <c r="R107" s="369"/>
      <c r="S107" s="369"/>
      <c r="T107" s="369"/>
      <c r="U107" s="341"/>
      <c r="V107" s="321"/>
      <c r="X107" s="572"/>
      <c r="Y107" s="572"/>
      <c r="Z107" s="572"/>
      <c r="AA107" s="572"/>
      <c r="AB107" s="572"/>
      <c r="AC107" s="572"/>
      <c r="AD107" s="572"/>
      <c r="AE107" s="572"/>
      <c r="AF107" s="572"/>
      <c r="AG107" s="572"/>
      <c r="AH107" s="572"/>
    </row>
    <row r="108" spans="1:34">
      <c r="A108" s="321"/>
      <c r="B108" s="339"/>
      <c r="C108" s="1211">
        <v>43921</v>
      </c>
      <c r="D108" s="1083">
        <v>29</v>
      </c>
      <c r="E108" s="1086" t="s">
        <v>358</v>
      </c>
      <c r="F108" s="1213" t="s">
        <v>8</v>
      </c>
      <c r="G108" s="1212">
        <v>65</v>
      </c>
      <c r="H108" s="1084" t="s">
        <v>167</v>
      </c>
      <c r="I108" s="1071" t="s">
        <v>50</v>
      </c>
      <c r="J108" s="1218" t="s">
        <v>80</v>
      </c>
      <c r="K108" s="848" t="s">
        <v>81</v>
      </c>
      <c r="L108" s="346"/>
      <c r="M108" s="373"/>
      <c r="N108" s="369"/>
      <c r="O108" s="369"/>
      <c r="P108" s="806"/>
      <c r="Q108" s="369"/>
      <c r="R108" s="369"/>
      <c r="S108" s="369"/>
      <c r="T108" s="369"/>
      <c r="U108" s="341"/>
      <c r="V108" s="321"/>
      <c r="X108" s="572"/>
      <c r="Y108" s="572"/>
      <c r="Z108" s="572"/>
      <c r="AA108" s="572"/>
      <c r="AB108" s="572"/>
      <c r="AC108" s="572"/>
      <c r="AD108" s="572"/>
      <c r="AE108" s="572"/>
      <c r="AF108" s="572"/>
      <c r="AG108" s="572"/>
      <c r="AH108" s="572"/>
    </row>
    <row r="109" spans="1:34" ht="16.5" thickBot="1">
      <c r="A109" s="321"/>
      <c r="B109" s="339"/>
      <c r="C109" s="849">
        <v>43893</v>
      </c>
      <c r="D109" s="1089">
        <v>17</v>
      </c>
      <c r="E109" s="850" t="s">
        <v>359</v>
      </c>
      <c r="F109" s="851" t="s">
        <v>11</v>
      </c>
      <c r="G109" s="851">
        <v>64</v>
      </c>
      <c r="H109" s="852" t="s">
        <v>360</v>
      </c>
      <c r="I109" s="852" t="s">
        <v>51</v>
      </c>
      <c r="J109" s="1219" t="s">
        <v>80</v>
      </c>
      <c r="K109" s="853" t="s">
        <v>96</v>
      </c>
      <c r="L109" s="346"/>
      <c r="M109" s="373"/>
      <c r="N109" s="369"/>
      <c r="O109" s="369"/>
      <c r="P109" s="806"/>
      <c r="Q109" s="377"/>
      <c r="R109" s="369"/>
      <c r="S109" s="369"/>
      <c r="T109" s="369"/>
      <c r="U109" s="341"/>
      <c r="V109" s="321"/>
      <c r="X109" s="572"/>
      <c r="Y109" s="572"/>
      <c r="Z109" s="572"/>
      <c r="AA109" s="572"/>
      <c r="AB109" s="572"/>
      <c r="AC109" s="572"/>
      <c r="AD109" s="572"/>
      <c r="AE109" s="572"/>
      <c r="AF109" s="572"/>
      <c r="AG109" s="572"/>
      <c r="AH109" s="572"/>
    </row>
    <row r="110" spans="1:34">
      <c r="A110" s="321"/>
      <c r="B110" s="339"/>
      <c r="C110" s="696"/>
      <c r="D110" s="784"/>
      <c r="E110" s="697"/>
      <c r="F110" s="369"/>
      <c r="G110" s="669"/>
      <c r="H110" s="369"/>
      <c r="I110" s="369"/>
      <c r="J110" s="696"/>
      <c r="K110" s="369"/>
      <c r="L110" s="346"/>
      <c r="M110" s="373"/>
      <c r="N110" s="369"/>
      <c r="O110" s="369"/>
      <c r="P110" s="806"/>
      <c r="Q110" s="369"/>
      <c r="R110" s="369"/>
      <c r="S110" s="369"/>
      <c r="T110" s="369"/>
      <c r="U110" s="341"/>
      <c r="V110" s="321"/>
      <c r="X110" s="572"/>
      <c r="Y110" s="572"/>
      <c r="Z110" s="572"/>
      <c r="AA110" s="572"/>
      <c r="AB110" s="572"/>
      <c r="AC110" s="572"/>
      <c r="AD110" s="572"/>
      <c r="AE110" s="572"/>
      <c r="AF110" s="572"/>
      <c r="AG110" s="572"/>
      <c r="AH110" s="572"/>
    </row>
    <row r="111" spans="1:34" ht="16.5" thickBot="1">
      <c r="A111" s="321"/>
      <c r="B111" s="670"/>
      <c r="C111" s="387"/>
      <c r="D111" s="724"/>
      <c r="E111" s="384"/>
      <c r="F111" s="376"/>
      <c r="G111" s="385"/>
      <c r="H111" s="376"/>
      <c r="I111" s="376"/>
      <c r="J111" s="387"/>
      <c r="K111" s="376"/>
      <c r="L111" s="388"/>
      <c r="M111" s="389"/>
      <c r="N111" s="376"/>
      <c r="O111" s="376"/>
      <c r="P111" s="813"/>
      <c r="Q111" s="376"/>
      <c r="R111" s="376"/>
      <c r="S111" s="376"/>
      <c r="T111" s="376"/>
      <c r="U111" s="672"/>
      <c r="V111" s="321"/>
      <c r="X111" s="572"/>
      <c r="Y111" s="572"/>
      <c r="Z111" s="572"/>
      <c r="AA111" s="572"/>
      <c r="AB111" s="572"/>
      <c r="AC111" s="572"/>
      <c r="AD111" s="572"/>
      <c r="AE111" s="572"/>
      <c r="AF111" s="572"/>
      <c r="AG111" s="572"/>
      <c r="AH111" s="572"/>
    </row>
    <row r="112" spans="1:34">
      <c r="A112" s="321"/>
      <c r="B112" s="321"/>
      <c r="C112" s="322"/>
      <c r="D112" s="323"/>
      <c r="E112" s="324"/>
      <c r="F112" s="321"/>
      <c r="G112" s="325"/>
      <c r="H112" s="321"/>
      <c r="I112" s="321"/>
      <c r="J112" s="322"/>
      <c r="K112" s="321"/>
      <c r="L112" s="360"/>
      <c r="M112" s="392"/>
      <c r="N112" s="321"/>
      <c r="O112" s="321"/>
      <c r="P112" s="808"/>
      <c r="Q112" s="321"/>
      <c r="R112" s="321"/>
      <c r="S112" s="321"/>
      <c r="T112" s="321"/>
      <c r="U112" s="321"/>
      <c r="V112" s="321"/>
      <c r="X112" s="572"/>
      <c r="Y112" s="572"/>
      <c r="Z112" s="572"/>
      <c r="AA112" s="572"/>
      <c r="AB112" s="572"/>
      <c r="AC112" s="572"/>
      <c r="AD112" s="572"/>
      <c r="AE112" s="572"/>
      <c r="AF112" s="572"/>
      <c r="AG112" s="572"/>
      <c r="AH112" s="572"/>
    </row>
    <row r="113" spans="1:34">
      <c r="A113" s="321"/>
      <c r="B113" s="321"/>
      <c r="C113" s="322"/>
      <c r="D113" s="323"/>
      <c r="E113" s="324"/>
      <c r="F113" s="321"/>
      <c r="G113" s="325"/>
      <c r="H113" s="321"/>
      <c r="I113" s="321"/>
      <c r="J113" s="322"/>
      <c r="K113" s="321"/>
      <c r="L113" s="360"/>
      <c r="M113" s="392"/>
      <c r="N113" s="321"/>
      <c r="O113" s="321"/>
      <c r="P113" s="808"/>
      <c r="Q113" s="321"/>
      <c r="R113" s="321"/>
      <c r="S113" s="321"/>
      <c r="T113" s="321"/>
      <c r="U113" s="321"/>
      <c r="V113" s="321"/>
      <c r="X113" s="572"/>
      <c r="Y113" s="572"/>
      <c r="Z113" s="572"/>
      <c r="AA113" s="572"/>
      <c r="AB113" s="572"/>
      <c r="AC113" s="572"/>
      <c r="AD113" s="572"/>
      <c r="AE113" s="572"/>
      <c r="AF113" s="572"/>
      <c r="AG113" s="572"/>
      <c r="AH113" s="572"/>
    </row>
    <row r="114" spans="1:34">
      <c r="A114" s="321"/>
      <c r="B114" s="321"/>
      <c r="C114" s="322"/>
      <c r="D114" s="323"/>
      <c r="E114" s="324"/>
      <c r="F114" s="321"/>
      <c r="G114" s="325"/>
      <c r="H114" s="321"/>
      <c r="I114" s="321"/>
      <c r="J114" s="322"/>
      <c r="K114" s="321"/>
      <c r="L114" s="360"/>
      <c r="M114" s="392"/>
      <c r="N114" s="321"/>
      <c r="O114" s="321"/>
      <c r="P114" s="808"/>
      <c r="Q114" s="321"/>
      <c r="R114" s="321"/>
      <c r="S114" s="321"/>
      <c r="T114" s="321"/>
      <c r="U114" s="321"/>
      <c r="V114" s="321"/>
      <c r="X114" s="572"/>
      <c r="Y114" s="572"/>
      <c r="Z114" s="572"/>
      <c r="AA114" s="572"/>
      <c r="AB114" s="572"/>
      <c r="AC114" s="572"/>
      <c r="AD114" s="572"/>
      <c r="AE114" s="572"/>
      <c r="AF114" s="572"/>
      <c r="AG114" s="572"/>
      <c r="AH114" s="572"/>
    </row>
    <row r="115" spans="1:34">
      <c r="A115" s="321"/>
      <c r="B115" s="321"/>
      <c r="C115" s="322"/>
      <c r="D115" s="323"/>
      <c r="E115" s="324"/>
      <c r="F115" s="321"/>
      <c r="G115" s="325"/>
      <c r="H115" s="321"/>
      <c r="I115" s="321"/>
      <c r="J115" s="322"/>
      <c r="K115" s="321"/>
      <c r="L115" s="360"/>
      <c r="M115" s="392"/>
      <c r="N115" s="321"/>
      <c r="O115" s="321"/>
      <c r="P115" s="808"/>
      <c r="Q115" s="321"/>
      <c r="R115" s="321"/>
      <c r="S115" s="321"/>
      <c r="T115" s="321"/>
      <c r="U115" s="321"/>
      <c r="V115" s="321"/>
      <c r="X115" s="572"/>
      <c r="Y115" s="572"/>
      <c r="Z115" s="572"/>
      <c r="AA115" s="572"/>
      <c r="AB115" s="572"/>
      <c r="AC115" s="572"/>
      <c r="AD115" s="572"/>
      <c r="AE115" s="572"/>
      <c r="AF115" s="572"/>
      <c r="AG115" s="572"/>
      <c r="AH115" s="572"/>
    </row>
    <row r="116" spans="1:34">
      <c r="A116" s="321"/>
      <c r="B116" s="321"/>
      <c r="C116" s="322"/>
      <c r="D116" s="323"/>
      <c r="E116" s="324"/>
      <c r="F116" s="321"/>
      <c r="G116" s="325"/>
      <c r="H116" s="321"/>
      <c r="I116" s="321"/>
      <c r="J116" s="322"/>
      <c r="K116" s="321"/>
      <c r="L116" s="360"/>
      <c r="M116" s="392"/>
      <c r="N116" s="321"/>
      <c r="O116" s="321"/>
      <c r="P116" s="808"/>
      <c r="Q116" s="321"/>
      <c r="R116" s="321"/>
      <c r="S116" s="321"/>
      <c r="T116" s="321"/>
      <c r="U116" s="321"/>
      <c r="V116" s="321"/>
      <c r="X116" s="572"/>
      <c r="Y116" s="572"/>
      <c r="Z116" s="572"/>
      <c r="AA116" s="572"/>
      <c r="AB116" s="572"/>
      <c r="AC116" s="572"/>
      <c r="AD116" s="572"/>
      <c r="AE116" s="572"/>
      <c r="AF116" s="572"/>
      <c r="AG116" s="572"/>
      <c r="AH116" s="572"/>
    </row>
    <row r="117" spans="1:34">
      <c r="A117" s="321"/>
      <c r="B117" s="321"/>
      <c r="C117" s="322"/>
      <c r="D117" s="323"/>
      <c r="E117" s="324"/>
      <c r="F117" s="321"/>
      <c r="G117" s="325"/>
      <c r="H117" s="321"/>
      <c r="I117" s="321"/>
      <c r="J117" s="322"/>
      <c r="K117" s="321"/>
      <c r="L117" s="360"/>
      <c r="M117" s="392"/>
      <c r="N117" s="321"/>
      <c r="O117" s="321"/>
      <c r="P117" s="808"/>
      <c r="Q117" s="321"/>
      <c r="R117" s="321"/>
      <c r="S117" s="321"/>
      <c r="T117" s="321"/>
      <c r="U117" s="321"/>
      <c r="V117" s="321"/>
      <c r="X117" s="572"/>
      <c r="Y117" s="572"/>
      <c r="Z117" s="572"/>
      <c r="AA117" s="572"/>
      <c r="AB117" s="572"/>
      <c r="AC117" s="572"/>
      <c r="AD117" s="572"/>
      <c r="AE117" s="572"/>
      <c r="AF117" s="572"/>
      <c r="AG117" s="572"/>
      <c r="AH117" s="572"/>
    </row>
    <row r="118" spans="1:34">
      <c r="A118" s="321"/>
      <c r="B118" s="321"/>
      <c r="C118" s="322"/>
      <c r="D118" s="323"/>
      <c r="E118" s="324"/>
      <c r="F118" s="321"/>
      <c r="G118" s="325"/>
      <c r="H118" s="321"/>
      <c r="I118" s="321"/>
      <c r="J118" s="322"/>
      <c r="K118" s="321"/>
      <c r="L118" s="360"/>
      <c r="M118" s="392"/>
      <c r="N118" s="321"/>
      <c r="O118" s="321"/>
      <c r="P118" s="808"/>
      <c r="Q118" s="321"/>
      <c r="R118" s="321"/>
      <c r="S118" s="321"/>
      <c r="T118" s="321"/>
      <c r="U118" s="321"/>
      <c r="V118" s="321"/>
      <c r="X118" s="572"/>
      <c r="Y118" s="572"/>
      <c r="Z118" s="572"/>
      <c r="AA118" s="572"/>
      <c r="AB118" s="572"/>
      <c r="AC118" s="572"/>
      <c r="AD118" s="572"/>
      <c r="AE118" s="572"/>
      <c r="AF118" s="572"/>
      <c r="AG118" s="572"/>
      <c r="AH118" s="572"/>
    </row>
    <row r="119" spans="1:34">
      <c r="A119" s="321"/>
      <c r="B119" s="321"/>
      <c r="C119" s="322"/>
      <c r="D119" s="323"/>
      <c r="E119" s="324"/>
      <c r="F119" s="321"/>
      <c r="G119" s="325"/>
      <c r="H119" s="321"/>
      <c r="I119" s="321"/>
      <c r="J119" s="322"/>
      <c r="K119" s="321"/>
      <c r="L119" s="360"/>
      <c r="M119" s="392"/>
      <c r="N119" s="321"/>
      <c r="O119" s="321"/>
      <c r="P119" s="808"/>
      <c r="Q119" s="321"/>
      <c r="R119" s="321"/>
      <c r="S119" s="321"/>
      <c r="T119" s="321"/>
      <c r="U119" s="321"/>
      <c r="V119" s="321"/>
      <c r="X119" s="572"/>
      <c r="Y119" s="572"/>
      <c r="Z119" s="572"/>
      <c r="AA119" s="572"/>
      <c r="AB119" s="572"/>
      <c r="AC119" s="572"/>
      <c r="AD119" s="572"/>
      <c r="AE119" s="572"/>
      <c r="AF119" s="572"/>
      <c r="AG119" s="572"/>
      <c r="AH119" s="572"/>
    </row>
    <row r="120" spans="1:34">
      <c r="A120" s="321"/>
      <c r="B120" s="321"/>
      <c r="C120" s="322"/>
      <c r="D120" s="323"/>
      <c r="E120" s="324"/>
      <c r="F120" s="321"/>
      <c r="G120" s="325"/>
      <c r="H120" s="321"/>
      <c r="I120" s="321"/>
      <c r="J120" s="322"/>
      <c r="K120" s="321"/>
      <c r="L120" s="360"/>
      <c r="M120" s="392"/>
      <c r="N120" s="321"/>
      <c r="O120" s="321"/>
      <c r="P120" s="808"/>
      <c r="Q120" s="321"/>
      <c r="R120" s="321"/>
      <c r="S120" s="321"/>
      <c r="T120" s="321"/>
      <c r="U120" s="321"/>
      <c r="V120" s="321"/>
      <c r="X120" s="572"/>
      <c r="Y120" s="572"/>
      <c r="Z120" s="572"/>
      <c r="AA120" s="572"/>
      <c r="AB120" s="572"/>
      <c r="AC120" s="572"/>
      <c r="AD120" s="572"/>
      <c r="AE120" s="572"/>
      <c r="AF120" s="572"/>
      <c r="AG120" s="572"/>
      <c r="AH120" s="572"/>
    </row>
    <row r="121" spans="1:34">
      <c r="A121" s="321"/>
      <c r="B121" s="321"/>
      <c r="C121" s="322"/>
      <c r="D121" s="323"/>
      <c r="E121" s="324"/>
      <c r="F121" s="321"/>
      <c r="G121" s="325"/>
      <c r="H121" s="321"/>
      <c r="I121" s="321"/>
      <c r="J121" s="322"/>
      <c r="K121" s="321"/>
      <c r="L121" s="360"/>
      <c r="M121" s="392"/>
      <c r="N121" s="321"/>
      <c r="O121" s="321"/>
      <c r="P121" s="808"/>
      <c r="Q121" s="321"/>
      <c r="R121" s="321"/>
      <c r="S121" s="321"/>
      <c r="T121" s="321"/>
      <c r="U121" s="321"/>
      <c r="V121" s="321"/>
      <c r="X121" s="572"/>
      <c r="Y121" s="572"/>
      <c r="Z121" s="572"/>
      <c r="AA121" s="572"/>
      <c r="AB121" s="572"/>
      <c r="AC121" s="572"/>
      <c r="AD121" s="572"/>
      <c r="AE121" s="572"/>
      <c r="AF121" s="572"/>
      <c r="AG121" s="572"/>
      <c r="AH121" s="572"/>
    </row>
    <row r="122" spans="1:34">
      <c r="A122" s="321"/>
      <c r="B122" s="321"/>
      <c r="C122" s="322"/>
      <c r="D122" s="323"/>
      <c r="E122" s="324"/>
      <c r="F122" s="321"/>
      <c r="G122" s="325"/>
      <c r="H122" s="321"/>
      <c r="I122" s="321"/>
      <c r="J122" s="322"/>
      <c r="K122" s="321"/>
      <c r="L122" s="360"/>
      <c r="M122" s="392"/>
      <c r="N122" s="321"/>
      <c r="O122" s="321"/>
      <c r="P122" s="808"/>
      <c r="Q122" s="321"/>
      <c r="R122" s="321"/>
      <c r="S122" s="321"/>
      <c r="T122" s="321"/>
      <c r="U122" s="321"/>
      <c r="V122" s="321"/>
      <c r="X122" s="572"/>
      <c r="Y122" s="572"/>
      <c r="Z122" s="572"/>
      <c r="AA122" s="572"/>
      <c r="AB122" s="572"/>
      <c r="AC122" s="572"/>
      <c r="AD122" s="572"/>
      <c r="AE122" s="572"/>
      <c r="AF122" s="572"/>
      <c r="AG122" s="572"/>
      <c r="AH122" s="572"/>
    </row>
    <row r="123" spans="1:34">
      <c r="A123" s="321"/>
      <c r="B123" s="321"/>
      <c r="C123" s="322"/>
      <c r="D123" s="323"/>
      <c r="E123" s="324"/>
      <c r="F123" s="321"/>
      <c r="G123" s="325"/>
      <c r="H123" s="321"/>
      <c r="I123" s="321"/>
      <c r="J123" s="322"/>
      <c r="K123" s="321"/>
      <c r="L123" s="360"/>
      <c r="M123" s="392"/>
      <c r="N123" s="321"/>
      <c r="O123" s="321"/>
      <c r="P123" s="808"/>
      <c r="Q123" s="321"/>
      <c r="R123" s="321"/>
      <c r="S123" s="321"/>
      <c r="T123" s="321"/>
      <c r="U123" s="321"/>
      <c r="V123" s="321"/>
      <c r="X123" s="572"/>
      <c r="Y123" s="572"/>
      <c r="Z123" s="572"/>
      <c r="AA123" s="572"/>
      <c r="AB123" s="572"/>
      <c r="AC123" s="572"/>
      <c r="AD123" s="572"/>
      <c r="AE123" s="572"/>
      <c r="AF123" s="572"/>
      <c r="AG123" s="572"/>
      <c r="AH123" s="572"/>
    </row>
    <row r="124" spans="1:34">
      <c r="A124" s="321"/>
      <c r="B124" s="321"/>
      <c r="C124" s="322"/>
      <c r="D124" s="323"/>
      <c r="E124" s="324"/>
      <c r="F124" s="321"/>
      <c r="G124" s="325"/>
      <c r="H124" s="321"/>
      <c r="I124" s="321"/>
      <c r="J124" s="322"/>
      <c r="K124" s="321"/>
      <c r="L124" s="360"/>
      <c r="M124" s="392"/>
      <c r="N124" s="321"/>
      <c r="O124" s="321"/>
      <c r="P124" s="808"/>
      <c r="Q124" s="321"/>
      <c r="R124" s="321"/>
      <c r="S124" s="321"/>
      <c r="T124" s="321"/>
      <c r="U124" s="321"/>
      <c r="V124" s="321"/>
      <c r="X124" s="572"/>
      <c r="Y124" s="572"/>
      <c r="Z124" s="572"/>
      <c r="AA124" s="572"/>
      <c r="AB124" s="572"/>
      <c r="AC124" s="572"/>
      <c r="AD124" s="572"/>
      <c r="AE124" s="572"/>
      <c r="AF124" s="572"/>
      <c r="AG124" s="572"/>
      <c r="AH124" s="572"/>
    </row>
    <row r="125" spans="1:34">
      <c r="A125" s="321"/>
      <c r="B125" s="321"/>
      <c r="C125" s="322"/>
      <c r="D125" s="323"/>
      <c r="E125" s="324"/>
      <c r="F125" s="321"/>
      <c r="G125" s="325"/>
      <c r="H125" s="321"/>
      <c r="I125" s="321"/>
      <c r="J125" s="322"/>
      <c r="K125" s="321"/>
      <c r="L125" s="360"/>
      <c r="M125" s="392"/>
      <c r="N125" s="321"/>
      <c r="O125" s="321"/>
      <c r="P125" s="808"/>
      <c r="Q125" s="321"/>
      <c r="R125" s="321"/>
      <c r="S125" s="321"/>
      <c r="T125" s="321"/>
      <c r="U125" s="321"/>
      <c r="V125" s="321"/>
      <c r="X125" s="572"/>
      <c r="Y125" s="572"/>
      <c r="Z125" s="572"/>
      <c r="AA125" s="572"/>
      <c r="AB125" s="572"/>
      <c r="AC125" s="572"/>
      <c r="AD125" s="572"/>
      <c r="AE125" s="572"/>
      <c r="AF125" s="572"/>
      <c r="AG125" s="572"/>
      <c r="AH125" s="572"/>
    </row>
    <row r="126" spans="1:34">
      <c r="A126" s="321"/>
      <c r="B126" s="321"/>
      <c r="C126" s="322"/>
      <c r="D126" s="323"/>
      <c r="E126" s="324"/>
      <c r="F126" s="321"/>
      <c r="G126" s="325"/>
      <c r="H126" s="321"/>
      <c r="I126" s="321"/>
      <c r="J126" s="322"/>
      <c r="K126" s="321"/>
      <c r="L126" s="360"/>
      <c r="M126" s="392"/>
      <c r="N126" s="321"/>
      <c r="O126" s="321"/>
      <c r="P126" s="808"/>
      <c r="Q126" s="321"/>
      <c r="R126" s="321"/>
      <c r="S126" s="321"/>
      <c r="T126" s="321"/>
      <c r="U126" s="321"/>
      <c r="V126" s="321"/>
      <c r="X126" s="572"/>
      <c r="Y126" s="572"/>
      <c r="Z126" s="572"/>
      <c r="AA126" s="572"/>
      <c r="AB126" s="572"/>
      <c r="AC126" s="572"/>
      <c r="AD126" s="572"/>
      <c r="AE126" s="572"/>
      <c r="AF126" s="572"/>
      <c r="AG126" s="572"/>
      <c r="AH126" s="572"/>
    </row>
    <row r="127" spans="1:34" ht="48.75" customHeight="1" thickBot="1">
      <c r="A127" s="321"/>
      <c r="B127" s="321"/>
      <c r="C127" s="1633" t="s">
        <v>136</v>
      </c>
      <c r="D127" s="1633"/>
      <c r="E127" s="1633"/>
      <c r="F127" s="1633"/>
      <c r="G127" s="1633"/>
      <c r="H127" s="1633"/>
      <c r="I127" s="1633"/>
      <c r="J127" s="1633"/>
      <c r="K127" s="1633"/>
      <c r="L127" s="1633"/>
      <c r="M127" s="1633"/>
      <c r="N127" s="446"/>
      <c r="O127" s="321"/>
      <c r="P127" s="808"/>
      <c r="Q127" s="321"/>
      <c r="R127" s="321"/>
      <c r="S127" s="321"/>
      <c r="T127" s="321"/>
      <c r="U127" s="321"/>
      <c r="V127" s="321"/>
      <c r="X127" s="572"/>
      <c r="Y127" s="572"/>
      <c r="Z127" s="572"/>
      <c r="AA127" s="572"/>
      <c r="AB127" s="572"/>
      <c r="AC127" s="572"/>
      <c r="AD127" s="572"/>
      <c r="AE127" s="572"/>
      <c r="AF127" s="572"/>
      <c r="AG127" s="572"/>
      <c r="AH127" s="572"/>
    </row>
    <row r="128" spans="1:34" ht="16.5" customHeight="1" thickBot="1">
      <c r="A128" s="321"/>
      <c r="B128" s="321"/>
      <c r="C128" s="1608" t="s">
        <v>138</v>
      </c>
      <c r="D128" s="406"/>
      <c r="E128" s="407"/>
      <c r="F128" s="408"/>
      <c r="G128" s="409"/>
      <c r="H128" s="410"/>
      <c r="I128" s="408"/>
      <c r="J128" s="411"/>
      <c r="K128" s="406"/>
      <c r="L128" s="216"/>
      <c r="M128" s="217"/>
      <c r="N128" s="446"/>
      <c r="O128" s="321"/>
      <c r="P128" s="808"/>
      <c r="Q128" s="321"/>
      <c r="R128" s="321"/>
      <c r="S128" s="321"/>
      <c r="T128" s="321"/>
      <c r="U128" s="321"/>
      <c r="V128" s="321"/>
      <c r="X128" s="572"/>
      <c r="Y128" s="572"/>
      <c r="Z128" s="572"/>
      <c r="AA128" s="572"/>
      <c r="AB128" s="572"/>
      <c r="AC128" s="572"/>
      <c r="AD128" s="572"/>
      <c r="AE128" s="572"/>
      <c r="AF128" s="572"/>
      <c r="AG128" s="572"/>
      <c r="AH128" s="572"/>
    </row>
    <row r="129" spans="1:34">
      <c r="A129" s="321"/>
      <c r="B129" s="321"/>
      <c r="C129" s="1609"/>
      <c r="D129" s="412"/>
      <c r="E129" s="1152" t="s">
        <v>139</v>
      </c>
      <c r="F129" s="413" t="s">
        <v>140</v>
      </c>
      <c r="G129" s="414" t="s">
        <v>141</v>
      </c>
      <c r="H129" s="415"/>
      <c r="I129" s="1036" t="s">
        <v>142</v>
      </c>
      <c r="J129" s="416" t="s">
        <v>143</v>
      </c>
      <c r="K129" s="413" t="s">
        <v>132</v>
      </c>
      <c r="L129" s="246" t="s">
        <v>134</v>
      </c>
      <c r="M129" s="1146"/>
      <c r="N129" s="446"/>
      <c r="O129" s="321"/>
      <c r="P129" s="808"/>
      <c r="Q129" s="321"/>
      <c r="R129" s="321"/>
      <c r="S129" s="321"/>
      <c r="T129" s="321"/>
      <c r="U129" s="321"/>
      <c r="V129" s="321"/>
      <c r="X129" s="572"/>
      <c r="Y129" s="572"/>
      <c r="Z129" s="572"/>
      <c r="AA129" s="572"/>
      <c r="AB129" s="572"/>
      <c r="AC129" s="572"/>
      <c r="AD129" s="572"/>
      <c r="AE129" s="572"/>
      <c r="AF129" s="572"/>
      <c r="AG129" s="572"/>
      <c r="AH129" s="572"/>
    </row>
    <row r="130" spans="1:34">
      <c r="A130" s="321"/>
      <c r="B130" s="321"/>
      <c r="C130" s="1609"/>
      <c r="D130" s="412"/>
      <c r="E130" s="417" t="s">
        <v>144</v>
      </c>
      <c r="F130" s="418">
        <f>COUNTIF(J$1:J$127,"Positif")</f>
        <v>98</v>
      </c>
      <c r="G130" s="419">
        <f>COUNTIF(J$1:J$127,"Negatif")</f>
        <v>0</v>
      </c>
      <c r="H130" s="415"/>
      <c r="I130" s="420" t="s">
        <v>145</v>
      </c>
      <c r="J130" s="418">
        <f>COUNTIFS(F$1:F$127,"PQR",G$1:G$127, 40)</f>
        <v>17</v>
      </c>
      <c r="K130" s="421">
        <f>COUNTIFS(F$1:F$127,"PQR",G$1:G$127, 65)</f>
        <v>20</v>
      </c>
      <c r="L130" s="422">
        <f>COUNTIFS(F$1:F$127,"PQR",G$1:G$127,64)</f>
        <v>17</v>
      </c>
      <c r="M130" s="1146"/>
      <c r="N130" s="446"/>
      <c r="O130" s="321"/>
      <c r="P130" s="808"/>
      <c r="Q130" s="321"/>
      <c r="R130" s="321"/>
      <c r="S130" s="321"/>
      <c r="T130" s="321"/>
      <c r="U130" s="321"/>
      <c r="V130" s="321"/>
      <c r="X130" s="572"/>
      <c r="Y130" s="572"/>
      <c r="Z130" s="572"/>
      <c r="AA130" s="572"/>
      <c r="AB130" s="572"/>
      <c r="AC130" s="572"/>
      <c r="AD130" s="572"/>
      <c r="AE130" s="572"/>
      <c r="AF130" s="572"/>
      <c r="AG130" s="572"/>
      <c r="AH130" s="572"/>
    </row>
    <row r="131" spans="1:34">
      <c r="A131" s="321"/>
      <c r="B131" s="321"/>
      <c r="C131" s="1609"/>
      <c r="D131" s="412"/>
      <c r="E131" s="423" t="s">
        <v>143</v>
      </c>
      <c r="F131" s="424">
        <f>COUNTIFS(G$1:G$127,40,J$1:J$127, "Positif")</f>
        <v>26</v>
      </c>
      <c r="G131" s="419">
        <f>COUNTIFS(G$1:G$127,40,J$1:J$127, "Negatif")+COUNTIFS(G$1:G$127,40,J$1:J$127, "Negative")+COUNTIFS(G$1:G$127,40,J$1:J$127, "négatif")+COUNTIFS(G$1:G$127,40,J$1:J$127, "négative")</f>
        <v>0</v>
      </c>
      <c r="H131" s="415"/>
      <c r="I131" s="425" t="s">
        <v>146</v>
      </c>
      <c r="J131" s="418">
        <f>COUNTIFS(F$1:F$127,"web",G$1:G$127, 40)</f>
        <v>7</v>
      </c>
      <c r="K131" s="418">
        <f>COUNTIFS(F$1:F$127,"web",G$1:G$127, 65)</f>
        <v>18</v>
      </c>
      <c r="L131" s="419">
        <f>COUNTIFS(F$1:F$127,"web",G$1:G$127, 64)</f>
        <v>12</v>
      </c>
      <c r="M131" s="1146"/>
      <c r="N131" s="446"/>
      <c r="O131" s="321"/>
      <c r="P131" s="808"/>
      <c r="Q131" s="321"/>
      <c r="R131" s="321"/>
      <c r="S131" s="321"/>
      <c r="T131" s="321"/>
      <c r="U131" s="321"/>
      <c r="V131" s="321"/>
      <c r="X131" s="572"/>
      <c r="Y131" s="572"/>
      <c r="Z131" s="572"/>
      <c r="AA131" s="572"/>
      <c r="AB131" s="572"/>
      <c r="AC131" s="572"/>
      <c r="AD131" s="572"/>
      <c r="AE131" s="572"/>
      <c r="AF131" s="572"/>
      <c r="AG131" s="572"/>
      <c r="AH131" s="572"/>
    </row>
    <row r="132" spans="1:34">
      <c r="A132" s="321"/>
      <c r="B132" s="321"/>
      <c r="C132" s="1609"/>
      <c r="D132" s="412"/>
      <c r="E132" s="423" t="s">
        <v>132</v>
      </c>
      <c r="F132" s="424">
        <f>COUNTIFS(G$1:G$127,65,J$1:J$127, "Positif")+COUNTIFS(G$1:G$127,65,J$1:J$127,"Positive")</f>
        <v>38</v>
      </c>
      <c r="G132" s="419">
        <f>COUNTIFS(G$1:G$127,65,J$1:J$127, "Negatif")+COUNTIFS(G$1:G$127,65,J$1:J$127, "Negative")+COUNTIFS(G$1:G$127,65,J$1:J$127, "négatif")+COUNTIFS(G$1:G$127,65,J$1:J$127, "négative")</f>
        <v>0</v>
      </c>
      <c r="H132" s="415"/>
      <c r="I132" s="425" t="s">
        <v>147</v>
      </c>
      <c r="J132" s="418">
        <f>COUNTIFS(F$1:F$127,"radio",G$1:G$127, 40)</f>
        <v>2</v>
      </c>
      <c r="K132" s="418">
        <f>COUNTIFS(F$1:F$127,"radio",G$1:G$127, 65)</f>
        <v>0</v>
      </c>
      <c r="L132" s="419">
        <f>COUNTIFS(F$1:F$127,"radio",G$1:G$127, 64)</f>
        <v>3</v>
      </c>
      <c r="M132" s="1146"/>
      <c r="N132" s="446"/>
      <c r="O132" s="321"/>
      <c r="P132" s="808"/>
      <c r="Q132" s="321"/>
      <c r="R132" s="321"/>
      <c r="S132" s="321"/>
      <c r="T132" s="321"/>
      <c r="U132" s="321"/>
      <c r="V132" s="321"/>
      <c r="X132" s="572"/>
      <c r="Y132" s="572"/>
      <c r="Z132" s="572"/>
      <c r="AA132" s="572"/>
      <c r="AB132" s="572"/>
      <c r="AC132" s="572"/>
      <c r="AD132" s="572"/>
      <c r="AE132" s="572"/>
      <c r="AF132" s="572"/>
      <c r="AG132" s="572"/>
      <c r="AH132" s="572"/>
    </row>
    <row r="133" spans="1:34" ht="16.5" thickBot="1">
      <c r="A133" s="321"/>
      <c r="B133" s="321"/>
      <c r="C133" s="1609"/>
      <c r="D133" s="412"/>
      <c r="E133" s="426" t="s">
        <v>134</v>
      </c>
      <c r="F133" s="427">
        <f>COUNTIFS(G$1:G$127,64,J$1:J$127, "Positif")+COUNTIFS(G$1:G$127,64,J$1:J$127,"Positive")</f>
        <v>34</v>
      </c>
      <c r="G133" s="428">
        <f>COUNTIFS(G$7:G$127,64,J$7:J$127, "Negatif")+COUNTIFS(G$7:G$127,64,J$7:J$127, "Negative")+COUNTIFS(G$7:G$127,64,J$7:J$127, "négatif")+COUNTIFS(G$7:G$127,64,J$7:J$127, "négative")</f>
        <v>1</v>
      </c>
      <c r="H133" s="415"/>
      <c r="I133" s="429" t="s">
        <v>148</v>
      </c>
      <c r="J133" s="430">
        <f>COUNTIFS(F$1:F$127,"TV",G$1:G$127, 40)</f>
        <v>0</v>
      </c>
      <c r="K133" s="430">
        <f>COUNTIFS(F$1:F$127,"TV",G$1:G$127, 65)</f>
        <v>0</v>
      </c>
      <c r="L133" s="431">
        <f>COUNTIFS(F$1:F$127,"TV",G$1:G$127, 64)</f>
        <v>3</v>
      </c>
      <c r="M133" s="1146"/>
      <c r="N133" s="446"/>
      <c r="O133" s="321"/>
      <c r="P133" s="808"/>
      <c r="Q133" s="321"/>
      <c r="R133" s="321"/>
      <c r="S133" s="321"/>
      <c r="T133" s="321"/>
      <c r="U133" s="321"/>
      <c r="V133" s="321"/>
      <c r="X133" s="572"/>
      <c r="Y133" s="572"/>
      <c r="Z133" s="572"/>
      <c r="AA133" s="572"/>
      <c r="AB133" s="572"/>
      <c r="AC133" s="572"/>
      <c r="AD133" s="572"/>
      <c r="AE133" s="572"/>
      <c r="AF133" s="572"/>
      <c r="AG133" s="572"/>
      <c r="AH133" s="572"/>
    </row>
    <row r="134" spans="1:34">
      <c r="A134" s="321"/>
      <c r="B134" s="321"/>
      <c r="C134" s="1609"/>
      <c r="D134" s="412"/>
      <c r="E134" s="432"/>
      <c r="F134" s="433"/>
      <c r="G134" s="433"/>
      <c r="H134" s="415"/>
      <c r="I134" s="434"/>
      <c r="J134" s="435"/>
      <c r="K134" s="436"/>
      <c r="L134" s="434"/>
      <c r="M134" s="437"/>
      <c r="N134" s="446"/>
      <c r="O134" s="321"/>
      <c r="P134" s="808"/>
      <c r="Q134" s="321"/>
      <c r="R134" s="321"/>
      <c r="S134" s="321"/>
      <c r="T134" s="321"/>
      <c r="U134" s="321"/>
      <c r="V134" s="321"/>
      <c r="X134" s="572"/>
      <c r="Y134" s="572"/>
      <c r="Z134" s="572"/>
      <c r="AA134" s="572"/>
      <c r="AB134" s="572"/>
      <c r="AC134" s="572"/>
      <c r="AD134" s="572"/>
      <c r="AE134" s="572"/>
      <c r="AF134" s="572"/>
      <c r="AG134" s="572"/>
      <c r="AH134" s="572"/>
    </row>
    <row r="135" spans="1:34" ht="16.5" thickBot="1">
      <c r="A135" s="321"/>
      <c r="B135" s="321"/>
      <c r="C135" s="1610"/>
      <c r="D135" s="438"/>
      <c r="E135" s="439"/>
      <c r="F135" s="440"/>
      <c r="G135" s="441"/>
      <c r="H135" s="442"/>
      <c r="I135" s="443"/>
      <c r="J135" s="441"/>
      <c r="K135" s="444"/>
      <c r="L135" s="443"/>
      <c r="M135" s="445"/>
      <c r="N135" s="446"/>
      <c r="O135" s="321"/>
      <c r="P135" s="808"/>
      <c r="Q135" s="321"/>
      <c r="R135" s="321"/>
      <c r="S135" s="321"/>
      <c r="T135" s="321"/>
      <c r="U135" s="321"/>
      <c r="V135" s="321"/>
      <c r="X135" s="572"/>
      <c r="Y135" s="572"/>
      <c r="Z135" s="572"/>
      <c r="AA135" s="572"/>
      <c r="AB135" s="572"/>
      <c r="AC135" s="572"/>
      <c r="AD135" s="572"/>
      <c r="AE135" s="572"/>
      <c r="AF135" s="572"/>
      <c r="AG135" s="572"/>
      <c r="AH135" s="572"/>
    </row>
    <row r="136" spans="1:34" ht="16.5" thickBot="1">
      <c r="A136" s="321"/>
      <c r="B136" s="321"/>
      <c r="C136" s="446"/>
      <c r="D136" s="446"/>
      <c r="E136" s="446"/>
      <c r="F136" s="446"/>
      <c r="G136" s="446"/>
      <c r="H136" s="446"/>
      <c r="I136" s="446"/>
      <c r="J136" s="446"/>
      <c r="K136" s="446"/>
      <c r="L136" s="446"/>
      <c r="M136" s="446"/>
      <c r="N136" s="446"/>
      <c r="O136" s="321"/>
      <c r="P136" s="808"/>
      <c r="Q136" s="321"/>
      <c r="R136" s="321"/>
      <c r="S136" s="321"/>
      <c r="T136" s="321"/>
      <c r="U136" s="321"/>
      <c r="V136" s="321"/>
      <c r="X136" s="572"/>
      <c r="Y136" s="572"/>
      <c r="Z136" s="572"/>
      <c r="AA136" s="572"/>
      <c r="AB136" s="572"/>
      <c r="AC136" s="572"/>
      <c r="AD136" s="572"/>
      <c r="AE136" s="572"/>
      <c r="AF136" s="572"/>
      <c r="AG136" s="572"/>
      <c r="AH136" s="572"/>
    </row>
    <row r="137" spans="1:34" ht="16.5" customHeight="1" thickBot="1">
      <c r="A137" s="321"/>
      <c r="B137" s="351"/>
      <c r="C137" s="1608" t="s">
        <v>138</v>
      </c>
      <c r="D137" s="1147"/>
      <c r="E137" s="447"/>
      <c r="F137" s="1148"/>
      <c r="G137" s="1149"/>
      <c r="H137" s="1148"/>
      <c r="I137" s="411"/>
      <c r="J137" s="1150"/>
      <c r="K137" s="446"/>
      <c r="L137" s="446"/>
      <c r="M137" s="446"/>
      <c r="N137" s="538"/>
      <c r="O137" s="321"/>
      <c r="P137" s="326"/>
      <c r="Q137" s="321"/>
      <c r="R137" s="321"/>
      <c r="S137" s="321"/>
      <c r="T137" s="321"/>
      <c r="U137" s="321"/>
      <c r="V137" s="321"/>
      <c r="X137" s="572"/>
      <c r="Y137" s="572"/>
      <c r="Z137" s="572"/>
      <c r="AA137" s="572"/>
      <c r="AB137" s="572"/>
      <c r="AC137" s="572"/>
      <c r="AD137" s="572"/>
      <c r="AE137" s="572"/>
      <c r="AF137" s="572"/>
      <c r="AG137" s="572"/>
      <c r="AH137" s="572"/>
    </row>
    <row r="138" spans="1:34">
      <c r="A138" s="321"/>
      <c r="B138" s="351"/>
      <c r="C138" s="1609"/>
      <c r="D138" s="1151"/>
      <c r="E138" s="1611" t="s">
        <v>149</v>
      </c>
      <c r="F138" s="1612"/>
      <c r="G138" s="1153"/>
      <c r="H138" s="1611" t="s">
        <v>236</v>
      </c>
      <c r="I138" s="1612"/>
      <c r="J138" s="1146"/>
      <c r="K138" s="446"/>
      <c r="L138" s="446"/>
      <c r="M138" s="446"/>
      <c r="N138" s="538"/>
      <c r="O138" s="321"/>
      <c r="P138" s="326"/>
      <c r="Q138" s="321"/>
      <c r="R138" s="321"/>
      <c r="S138" s="321"/>
      <c r="T138" s="321"/>
      <c r="U138" s="321"/>
      <c r="V138" s="321"/>
      <c r="X138" s="572"/>
      <c r="Y138" s="572"/>
      <c r="Z138" s="572"/>
      <c r="AA138" s="572"/>
      <c r="AB138" s="572"/>
      <c r="AC138" s="572"/>
      <c r="AD138" s="572"/>
      <c r="AE138" s="572"/>
      <c r="AF138" s="572"/>
      <c r="AG138" s="572"/>
      <c r="AH138" s="572"/>
    </row>
    <row r="139" spans="1:34">
      <c r="A139" s="321"/>
      <c r="B139" s="321"/>
      <c r="C139" s="1609"/>
      <c r="D139" s="1151"/>
      <c r="E139" s="1613"/>
      <c r="F139" s="1614"/>
      <c r="G139" s="1153"/>
      <c r="H139" s="1615"/>
      <c r="I139" s="1616"/>
      <c r="J139" s="1146"/>
      <c r="K139" s="446"/>
      <c r="L139" s="446"/>
      <c r="M139" s="446"/>
      <c r="N139" s="446"/>
      <c r="O139" s="321"/>
      <c r="P139" s="321"/>
      <c r="Q139" s="321"/>
      <c r="R139" s="321"/>
      <c r="S139" s="321"/>
      <c r="T139" s="321"/>
      <c r="U139" s="321"/>
      <c r="V139" s="321"/>
      <c r="X139" s="572"/>
      <c r="Y139" s="572"/>
      <c r="Z139" s="572"/>
      <c r="AA139" s="572"/>
      <c r="AB139" s="572"/>
      <c r="AC139" s="572"/>
      <c r="AD139" s="572"/>
      <c r="AE139" s="572"/>
      <c r="AF139" s="572"/>
      <c r="AG139" s="572"/>
      <c r="AH139" s="572"/>
    </row>
    <row r="140" spans="1:34">
      <c r="A140" s="321"/>
      <c r="B140" s="360"/>
      <c r="C140" s="1609"/>
      <c r="D140" s="1151"/>
      <c r="E140" s="1613"/>
      <c r="F140" s="1614"/>
      <c r="G140" s="1153"/>
      <c r="H140" s="449" t="s">
        <v>151</v>
      </c>
      <c r="I140" s="450">
        <f>SUM(T:T)</f>
        <v>87</v>
      </c>
      <c r="J140" s="1146"/>
      <c r="K140" s="446"/>
      <c r="L140" s="446"/>
      <c r="M140" s="446"/>
      <c r="N140" s="488"/>
      <c r="O140" s="321"/>
      <c r="P140" s="321"/>
      <c r="Q140" s="321"/>
      <c r="R140" s="321"/>
      <c r="S140" s="321"/>
      <c r="T140" s="321"/>
      <c r="U140" s="321"/>
      <c r="V140" s="321"/>
      <c r="X140" s="572"/>
      <c r="Y140" s="572"/>
      <c r="Z140" s="572"/>
      <c r="AA140" s="572"/>
      <c r="AB140" s="572"/>
      <c r="AC140" s="572"/>
      <c r="AD140" s="572"/>
      <c r="AE140" s="572"/>
      <c r="AF140" s="572"/>
      <c r="AG140" s="572"/>
      <c r="AH140" s="572"/>
    </row>
    <row r="141" spans="1:34">
      <c r="A141" s="321"/>
      <c r="B141" s="360"/>
      <c r="C141" s="1609"/>
      <c r="D141" s="1151"/>
      <c r="E141" s="452" t="s">
        <v>152</v>
      </c>
      <c r="F141" s="450">
        <f>COUNTIF(Q:Q,40)</f>
        <v>4</v>
      </c>
      <c r="G141" s="1153"/>
      <c r="H141" s="453" t="s">
        <v>153</v>
      </c>
      <c r="I141" s="450">
        <f>SUMIFS(T:T,Q:Q, 40)</f>
        <v>20</v>
      </c>
      <c r="J141" s="1146"/>
      <c r="K141" s="446"/>
      <c r="L141" s="446"/>
      <c r="M141" s="446"/>
      <c r="N141" s="488"/>
      <c r="O141" s="321"/>
      <c r="P141" s="321"/>
      <c r="Q141" s="321"/>
      <c r="R141" s="321"/>
      <c r="S141" s="321"/>
      <c r="T141" s="321"/>
      <c r="U141" s="321"/>
      <c r="V141" s="321"/>
      <c r="X141" s="572"/>
      <c r="Y141" s="572"/>
      <c r="Z141" s="572"/>
      <c r="AA141" s="572"/>
      <c r="AB141" s="572"/>
      <c r="AC141" s="572"/>
      <c r="AD141" s="572"/>
      <c r="AE141" s="572"/>
      <c r="AF141" s="572"/>
      <c r="AG141" s="572"/>
      <c r="AH141" s="572"/>
    </row>
    <row r="142" spans="1:34">
      <c r="A142" s="321"/>
      <c r="B142" s="360"/>
      <c r="C142" s="1609"/>
      <c r="D142" s="1154"/>
      <c r="E142" s="453" t="s">
        <v>154</v>
      </c>
      <c r="F142" s="450">
        <f>COUNTIF(Q:Q,65)</f>
        <v>5</v>
      </c>
      <c r="G142" s="1154"/>
      <c r="H142" s="453" t="s">
        <v>155</v>
      </c>
      <c r="I142" s="450">
        <f>SUMIFS(T:T,Q:Q, 65)</f>
        <v>36</v>
      </c>
      <c r="J142" s="1155"/>
      <c r="K142" s="454"/>
      <c r="L142" s="446"/>
      <c r="M142" s="446"/>
      <c r="N142" s="488"/>
      <c r="O142" s="321"/>
      <c r="P142" s="321"/>
      <c r="Q142" s="321"/>
      <c r="R142" s="321"/>
      <c r="S142" s="321"/>
      <c r="T142" s="321"/>
      <c r="U142" s="321"/>
      <c r="V142" s="321"/>
      <c r="X142" s="572"/>
      <c r="Y142" s="572"/>
      <c r="Z142" s="572"/>
      <c r="AA142" s="572"/>
      <c r="AB142" s="572"/>
      <c r="AC142" s="572"/>
      <c r="AD142" s="572"/>
      <c r="AE142" s="572"/>
      <c r="AF142" s="572"/>
      <c r="AG142" s="572"/>
      <c r="AH142" s="572"/>
    </row>
    <row r="143" spans="1:34" ht="16.5" thickBot="1">
      <c r="A143" s="321"/>
      <c r="B143" s="363"/>
      <c r="C143" s="1609"/>
      <c r="D143" s="1154"/>
      <c r="E143" s="455" t="s">
        <v>156</v>
      </c>
      <c r="F143" s="456">
        <f>COUNTIF(Q:Q,64)</f>
        <v>6</v>
      </c>
      <c r="G143" s="1154"/>
      <c r="H143" s="455" t="s">
        <v>157</v>
      </c>
      <c r="I143" s="456">
        <f>SUMIFS(T:T,Q:Q, 64)</f>
        <v>31</v>
      </c>
      <c r="J143" s="1155"/>
      <c r="K143" s="454"/>
      <c r="L143" s="446"/>
      <c r="M143" s="446"/>
      <c r="N143" s="539"/>
      <c r="O143" s="321"/>
      <c r="P143" s="321"/>
      <c r="Q143" s="321"/>
      <c r="R143" s="321"/>
      <c r="S143" s="321"/>
      <c r="T143" s="321"/>
      <c r="U143" s="321"/>
      <c r="V143" s="321"/>
      <c r="X143" s="572"/>
      <c r="Y143" s="572"/>
      <c r="Z143" s="572"/>
      <c r="AA143" s="572"/>
      <c r="AB143" s="572"/>
      <c r="AC143" s="572"/>
      <c r="AD143" s="572"/>
      <c r="AE143" s="572"/>
      <c r="AF143" s="572"/>
      <c r="AG143" s="572"/>
      <c r="AH143" s="572"/>
    </row>
    <row r="144" spans="1:34" ht="16.5" thickBot="1">
      <c r="A144" s="321"/>
      <c r="B144" s="360"/>
      <c r="C144" s="1610"/>
      <c r="D144" s="1156"/>
      <c r="E144" s="1156"/>
      <c r="F144" s="1156"/>
      <c r="G144" s="1156"/>
      <c r="H144" s="1156"/>
      <c r="I144" s="1156"/>
      <c r="J144" s="1157"/>
      <c r="K144" s="458"/>
      <c r="L144" s="446"/>
      <c r="M144" s="446"/>
      <c r="N144" s="488"/>
      <c r="O144" s="321"/>
      <c r="P144" s="321"/>
      <c r="Q144" s="321"/>
      <c r="R144" s="321"/>
      <c r="S144" s="321"/>
      <c r="T144" s="321"/>
      <c r="U144" s="321"/>
      <c r="V144" s="321"/>
      <c r="X144" s="572"/>
      <c r="Y144" s="572"/>
      <c r="Z144" s="572"/>
      <c r="AA144" s="572"/>
      <c r="AB144" s="572"/>
      <c r="AC144" s="572"/>
      <c r="AD144" s="572"/>
      <c r="AE144" s="572"/>
      <c r="AF144" s="572"/>
      <c r="AG144" s="572"/>
      <c r="AH144" s="572"/>
    </row>
    <row r="145" spans="1:34" ht="16.5" thickBot="1">
      <c r="A145" s="321"/>
      <c r="B145" s="321"/>
      <c r="C145" s="459"/>
      <c r="D145" s="460"/>
      <c r="E145" s="446"/>
      <c r="F145" s="461"/>
      <c r="G145" s="458"/>
      <c r="H145" s="462"/>
      <c r="I145" s="463"/>
      <c r="J145" s="463"/>
      <c r="K145" s="454"/>
      <c r="L145" s="446"/>
      <c r="M145" s="446"/>
      <c r="N145" s="446"/>
      <c r="O145" s="321"/>
      <c r="P145" s="321"/>
      <c r="Q145" s="321"/>
      <c r="R145" s="321"/>
      <c r="S145" s="321"/>
      <c r="T145" s="321"/>
      <c r="U145" s="321"/>
      <c r="V145" s="321"/>
      <c r="X145" s="572"/>
      <c r="Y145" s="572"/>
      <c r="Z145" s="572"/>
      <c r="AA145" s="572"/>
      <c r="AB145" s="572"/>
      <c r="AC145" s="572"/>
      <c r="AD145" s="572"/>
      <c r="AE145" s="572"/>
      <c r="AF145" s="572"/>
      <c r="AG145" s="572"/>
      <c r="AH145" s="572"/>
    </row>
    <row r="146" spans="1:34" ht="16.5" customHeight="1" thickBot="1">
      <c r="A146" s="321"/>
      <c r="B146" s="363"/>
      <c r="C146" s="1608" t="s">
        <v>138</v>
      </c>
      <c r="D146" s="1158"/>
      <c r="E146" s="1158"/>
      <c r="F146" s="1158"/>
      <c r="G146" s="1158"/>
      <c r="H146" s="1158"/>
      <c r="I146" s="1158"/>
      <c r="J146" s="1159"/>
      <c r="K146" s="446"/>
      <c r="L146" s="446"/>
      <c r="M146" s="446"/>
      <c r="N146" s="539"/>
      <c r="O146" s="321"/>
      <c r="P146" s="321"/>
      <c r="Q146" s="321"/>
      <c r="R146" s="321"/>
      <c r="S146" s="321"/>
      <c r="T146" s="321"/>
      <c r="U146" s="321"/>
      <c r="V146" s="321"/>
      <c r="X146" s="572"/>
      <c r="Y146" s="572"/>
      <c r="Z146" s="572"/>
      <c r="AA146" s="572"/>
      <c r="AB146" s="572"/>
      <c r="AC146" s="572"/>
      <c r="AD146" s="572"/>
      <c r="AE146" s="572"/>
      <c r="AF146" s="572"/>
      <c r="AG146" s="572"/>
      <c r="AH146" s="572"/>
    </row>
    <row r="147" spans="1:34">
      <c r="A147" s="321"/>
      <c r="B147" s="360"/>
      <c r="C147" s="1609"/>
      <c r="D147" s="1154"/>
      <c r="E147" s="1617" t="s">
        <v>237</v>
      </c>
      <c r="F147" s="1618"/>
      <c r="G147" s="1618"/>
      <c r="H147" s="1618"/>
      <c r="I147" s="1619"/>
      <c r="J147" s="1155"/>
      <c r="K147" s="446"/>
      <c r="L147" s="446"/>
      <c r="M147" s="446"/>
      <c r="N147" s="488"/>
      <c r="O147" s="321"/>
      <c r="P147" s="321"/>
      <c r="Q147" s="321"/>
      <c r="R147" s="321"/>
      <c r="S147" s="321"/>
      <c r="T147" s="321"/>
      <c r="U147" s="321"/>
      <c r="V147" s="321"/>
      <c r="X147" s="572"/>
      <c r="Y147" s="572"/>
      <c r="Z147" s="572"/>
      <c r="AA147" s="572"/>
      <c r="AB147" s="572"/>
      <c r="AC147" s="572"/>
      <c r="AD147" s="572"/>
      <c r="AE147" s="572"/>
      <c r="AF147" s="572"/>
      <c r="AG147" s="572"/>
      <c r="AH147" s="572"/>
    </row>
    <row r="148" spans="1:34">
      <c r="A148" s="321"/>
      <c r="B148" s="360"/>
      <c r="C148" s="1609"/>
      <c r="D148" s="1154"/>
      <c r="E148" s="464" t="s">
        <v>72</v>
      </c>
      <c r="F148" s="465" t="s">
        <v>159</v>
      </c>
      <c r="G148" s="466" t="s">
        <v>143</v>
      </c>
      <c r="H148" s="466" t="s">
        <v>132</v>
      </c>
      <c r="I148" s="467" t="s">
        <v>134</v>
      </c>
      <c r="J148" s="1155"/>
      <c r="K148" s="446"/>
      <c r="L148" s="446"/>
      <c r="M148" s="446"/>
      <c r="N148" s="488"/>
      <c r="O148" s="321"/>
      <c r="P148" s="321"/>
      <c r="Q148" s="321"/>
      <c r="R148" s="321"/>
      <c r="S148" s="321"/>
      <c r="T148" s="321"/>
      <c r="U148" s="321"/>
      <c r="V148" s="321"/>
      <c r="X148" s="572"/>
      <c r="Y148" s="572"/>
      <c r="Z148" s="572"/>
      <c r="AA148" s="572"/>
      <c r="AB148" s="572"/>
      <c r="AC148" s="572"/>
      <c r="AD148" s="572"/>
      <c r="AE148" s="572"/>
      <c r="AF148" s="572"/>
      <c r="AG148" s="572"/>
      <c r="AH148" s="572"/>
    </row>
    <row r="149" spans="1:34">
      <c r="A149" s="321"/>
      <c r="B149" s="321"/>
      <c r="C149" s="1609"/>
      <c r="D149" s="1154"/>
      <c r="E149" s="468" t="s">
        <v>47</v>
      </c>
      <c r="F149" s="1160">
        <f t="shared" ref="F149:F156" si="0">COUNTIFS(I$11:I$127, E149)</f>
        <v>0</v>
      </c>
      <c r="G149" s="1161">
        <f t="shared" ref="G149:G156" si="1">COUNTIFS(G$11:G$127,40,I$11:I$127, E149)</f>
        <v>0</v>
      </c>
      <c r="H149" s="1162">
        <f t="shared" ref="H149:H156" si="2">COUNTIFS(G$11:G$127,65,I$11:I$127, E149)</f>
        <v>0</v>
      </c>
      <c r="I149" s="1163">
        <f t="shared" ref="I149:I156" si="3">COUNTIFS(G$11:G$127,64,I$11:I$127, E149)</f>
        <v>0</v>
      </c>
      <c r="J149" s="1155"/>
      <c r="K149" s="446"/>
      <c r="L149" s="446"/>
      <c r="M149" s="446"/>
      <c r="N149" s="446"/>
      <c r="O149" s="321"/>
      <c r="P149" s="321"/>
      <c r="Q149" s="321"/>
      <c r="R149" s="321"/>
      <c r="S149" s="321"/>
      <c r="T149" s="321"/>
      <c r="U149" s="321"/>
      <c r="V149" s="321"/>
      <c r="X149" s="572"/>
      <c r="Y149" s="572"/>
      <c r="Z149" s="572"/>
      <c r="AA149" s="572"/>
      <c r="AB149" s="572"/>
      <c r="AC149" s="572"/>
      <c r="AD149" s="572"/>
      <c r="AE149" s="572"/>
      <c r="AF149" s="572"/>
      <c r="AG149" s="572"/>
      <c r="AH149" s="572"/>
    </row>
    <row r="150" spans="1:34">
      <c r="A150" s="321"/>
      <c r="B150" s="321"/>
      <c r="C150" s="1609"/>
      <c r="D150" s="1154"/>
      <c r="E150" s="469" t="s">
        <v>48</v>
      </c>
      <c r="F150" s="1160">
        <f t="shared" si="0"/>
        <v>0</v>
      </c>
      <c r="G150" s="1161">
        <f t="shared" si="1"/>
        <v>0</v>
      </c>
      <c r="H150" s="1162">
        <f t="shared" si="2"/>
        <v>0</v>
      </c>
      <c r="I150" s="1163">
        <f t="shared" si="3"/>
        <v>0</v>
      </c>
      <c r="J150" s="1155"/>
      <c r="K150" s="446"/>
      <c r="L150" s="446"/>
      <c r="M150" s="446"/>
      <c r="N150" s="446"/>
      <c r="O150" s="321"/>
      <c r="P150" s="321"/>
      <c r="Q150" s="321"/>
      <c r="R150" s="321"/>
      <c r="S150" s="321"/>
      <c r="T150" s="321"/>
      <c r="U150" s="321"/>
      <c r="V150" s="321"/>
      <c r="X150" s="572"/>
      <c r="Y150" s="572"/>
      <c r="Z150" s="572"/>
      <c r="AA150" s="572"/>
      <c r="AB150" s="572"/>
      <c r="AC150" s="572"/>
      <c r="AD150" s="572"/>
      <c r="AE150" s="572"/>
      <c r="AF150" s="572"/>
      <c r="AG150" s="572"/>
      <c r="AH150" s="572"/>
    </row>
    <row r="151" spans="1:34">
      <c r="A151" s="321"/>
      <c r="B151" s="321"/>
      <c r="C151" s="1609"/>
      <c r="D151" s="1154"/>
      <c r="E151" s="469" t="s">
        <v>49</v>
      </c>
      <c r="F151" s="1160">
        <f t="shared" si="0"/>
        <v>0</v>
      </c>
      <c r="G151" s="1161">
        <f t="shared" si="1"/>
        <v>0</v>
      </c>
      <c r="H151" s="1162">
        <f t="shared" si="2"/>
        <v>0</v>
      </c>
      <c r="I151" s="1163">
        <f t="shared" si="3"/>
        <v>0</v>
      </c>
      <c r="J151" s="1155"/>
      <c r="K151" s="446"/>
      <c r="L151" s="446"/>
      <c r="M151" s="446"/>
      <c r="N151" s="446"/>
      <c r="O151" s="321"/>
      <c r="P151" s="321"/>
      <c r="Q151" s="321"/>
      <c r="R151" s="321"/>
      <c r="S151" s="321"/>
      <c r="T151" s="321"/>
      <c r="U151" s="321"/>
      <c r="V151" s="321"/>
      <c r="X151" s="572"/>
      <c r="Y151" s="572"/>
      <c r="Z151" s="572"/>
      <c r="AA151" s="572"/>
      <c r="AB151" s="572"/>
      <c r="AC151" s="572"/>
      <c r="AD151" s="572"/>
      <c r="AE151" s="572"/>
      <c r="AF151" s="572"/>
      <c r="AG151" s="572"/>
      <c r="AH151" s="572"/>
    </row>
    <row r="152" spans="1:34">
      <c r="A152" s="321"/>
      <c r="B152" s="360"/>
      <c r="C152" s="1609"/>
      <c r="D152" s="1154"/>
      <c r="E152" s="469" t="s">
        <v>50</v>
      </c>
      <c r="F152" s="1160">
        <f t="shared" si="0"/>
        <v>10</v>
      </c>
      <c r="G152" s="1161">
        <f t="shared" si="1"/>
        <v>2</v>
      </c>
      <c r="H152" s="1162">
        <f t="shared" si="2"/>
        <v>7</v>
      </c>
      <c r="I152" s="1163">
        <f t="shared" si="3"/>
        <v>1</v>
      </c>
      <c r="J152" s="1155"/>
      <c r="K152" s="446"/>
      <c r="L152" s="446"/>
      <c r="M152" s="446"/>
      <c r="N152" s="488"/>
      <c r="O152" s="321"/>
      <c r="P152" s="321"/>
      <c r="Q152" s="321"/>
      <c r="R152" s="321"/>
      <c r="S152" s="321"/>
      <c r="T152" s="321"/>
      <c r="U152" s="321"/>
      <c r="V152" s="321"/>
      <c r="X152" s="572"/>
      <c r="Y152" s="572"/>
      <c r="Z152" s="572"/>
      <c r="AA152" s="572"/>
      <c r="AB152" s="572"/>
      <c r="AC152" s="572"/>
      <c r="AD152" s="572"/>
      <c r="AE152" s="572"/>
      <c r="AF152" s="572"/>
      <c r="AG152" s="572"/>
      <c r="AH152" s="572"/>
    </row>
    <row r="153" spans="1:34">
      <c r="A153" s="321"/>
      <c r="B153" s="360"/>
      <c r="C153" s="1609"/>
      <c r="D153" s="1154"/>
      <c r="E153" s="469" t="s">
        <v>51</v>
      </c>
      <c r="F153" s="1160">
        <f t="shared" si="0"/>
        <v>83</v>
      </c>
      <c r="G153" s="1161">
        <f t="shared" si="1"/>
        <v>20</v>
      </c>
      <c r="H153" s="1162">
        <f t="shared" si="2"/>
        <v>30</v>
      </c>
      <c r="I153" s="1163">
        <f t="shared" si="3"/>
        <v>33</v>
      </c>
      <c r="J153" s="1155"/>
      <c r="K153" s="446"/>
      <c r="L153" s="446"/>
      <c r="M153" s="446"/>
      <c r="N153" s="488"/>
      <c r="O153" s="321"/>
      <c r="P153" s="321"/>
      <c r="Q153" s="321"/>
      <c r="R153" s="321"/>
      <c r="S153" s="321"/>
      <c r="T153" s="321"/>
      <c r="U153" s="321"/>
      <c r="V153" s="321"/>
      <c r="X153" s="572"/>
      <c r="Y153" s="572"/>
      <c r="Z153" s="572"/>
      <c r="AA153" s="572"/>
      <c r="AB153" s="572"/>
      <c r="AC153" s="572"/>
      <c r="AD153" s="572"/>
      <c r="AE153" s="572"/>
      <c r="AF153" s="572"/>
      <c r="AG153" s="572"/>
      <c r="AH153" s="572"/>
    </row>
    <row r="154" spans="1:34">
      <c r="A154" s="321"/>
      <c r="B154" s="360"/>
      <c r="C154" s="1609"/>
      <c r="D154" s="1154"/>
      <c r="E154" s="469" t="s">
        <v>52</v>
      </c>
      <c r="F154" s="1160">
        <f t="shared" si="0"/>
        <v>2</v>
      </c>
      <c r="G154" s="1161">
        <f t="shared" si="1"/>
        <v>1</v>
      </c>
      <c r="H154" s="1162">
        <f t="shared" si="2"/>
        <v>1</v>
      </c>
      <c r="I154" s="1163">
        <f t="shared" si="3"/>
        <v>0</v>
      </c>
      <c r="J154" s="1155"/>
      <c r="K154" s="446"/>
      <c r="L154" s="446"/>
      <c r="M154" s="446"/>
      <c r="N154" s="488"/>
      <c r="O154" s="321"/>
      <c r="P154" s="321"/>
      <c r="Q154" s="321"/>
      <c r="R154" s="321"/>
      <c r="S154" s="321"/>
      <c r="T154" s="321"/>
      <c r="U154" s="321"/>
      <c r="V154" s="321"/>
      <c r="X154" s="572"/>
      <c r="Y154" s="572"/>
      <c r="Z154" s="572"/>
      <c r="AA154" s="572"/>
      <c r="AB154" s="572"/>
      <c r="AC154" s="572"/>
      <c r="AD154" s="572"/>
      <c r="AE154" s="572"/>
      <c r="AF154" s="572"/>
      <c r="AG154" s="572"/>
      <c r="AH154" s="572"/>
    </row>
    <row r="155" spans="1:34">
      <c r="A155" s="321"/>
      <c r="B155" s="321"/>
      <c r="C155" s="1609"/>
      <c r="D155" s="1154"/>
      <c r="E155" s="469" t="s">
        <v>53</v>
      </c>
      <c r="F155" s="1160">
        <f t="shared" si="0"/>
        <v>0</v>
      </c>
      <c r="G155" s="1161">
        <f t="shared" si="1"/>
        <v>0</v>
      </c>
      <c r="H155" s="1162">
        <f t="shared" si="2"/>
        <v>0</v>
      </c>
      <c r="I155" s="1163">
        <f t="shared" si="3"/>
        <v>0</v>
      </c>
      <c r="J155" s="1155"/>
      <c r="K155" s="446"/>
      <c r="L155" s="446"/>
      <c r="M155" s="446"/>
      <c r="N155" s="446"/>
      <c r="O155" s="321"/>
      <c r="P155" s="321"/>
      <c r="Q155" s="321"/>
      <c r="R155" s="321"/>
      <c r="S155" s="321"/>
      <c r="T155" s="321"/>
      <c r="U155" s="321"/>
      <c r="V155" s="321"/>
      <c r="X155" s="572"/>
      <c r="Y155" s="572"/>
      <c r="Z155" s="572"/>
      <c r="AA155" s="572"/>
      <c r="AB155" s="572"/>
      <c r="AC155" s="572"/>
      <c r="AD155" s="572"/>
      <c r="AE155" s="572"/>
      <c r="AF155" s="572"/>
      <c r="AG155" s="572"/>
      <c r="AH155" s="572"/>
    </row>
    <row r="156" spans="1:34" ht="16.5" thickBot="1">
      <c r="A156" s="321"/>
      <c r="B156" s="360"/>
      <c r="C156" s="1609"/>
      <c r="D156" s="1154"/>
      <c r="E156" s="470" t="s">
        <v>54</v>
      </c>
      <c r="F156" s="1164">
        <f t="shared" si="0"/>
        <v>4</v>
      </c>
      <c r="G156" s="1165">
        <f t="shared" si="1"/>
        <v>3</v>
      </c>
      <c r="H156" s="1166">
        <f t="shared" si="2"/>
        <v>0</v>
      </c>
      <c r="I156" s="1167">
        <f t="shared" si="3"/>
        <v>1</v>
      </c>
      <c r="J156" s="1155"/>
      <c r="K156" s="446"/>
      <c r="L156" s="446"/>
      <c r="M156" s="446"/>
      <c r="N156" s="488"/>
      <c r="O156" s="321"/>
      <c r="P156" s="321"/>
      <c r="Q156" s="321"/>
      <c r="R156" s="321"/>
      <c r="S156" s="321"/>
      <c r="T156" s="321"/>
      <c r="U156" s="321"/>
      <c r="V156" s="321"/>
      <c r="X156" s="572"/>
      <c r="Y156" s="572"/>
      <c r="Z156" s="572"/>
      <c r="AA156" s="572"/>
      <c r="AB156" s="572"/>
      <c r="AC156" s="572"/>
      <c r="AD156" s="572"/>
      <c r="AE156" s="572"/>
      <c r="AF156" s="572"/>
      <c r="AG156" s="572"/>
      <c r="AH156" s="572"/>
    </row>
    <row r="157" spans="1:34">
      <c r="A157" s="321"/>
      <c r="B157" s="321"/>
      <c r="C157" s="1609"/>
      <c r="D157" s="1154"/>
      <c r="E157" s="1154"/>
      <c r="F157" s="1154"/>
      <c r="G157" s="1154"/>
      <c r="H157" s="1154"/>
      <c r="I157" s="1154"/>
      <c r="J157" s="1155"/>
      <c r="K157" s="446"/>
      <c r="L157" s="446"/>
      <c r="M157" s="446"/>
      <c r="N157" s="446"/>
      <c r="O157" s="321"/>
      <c r="P157" s="321"/>
      <c r="Q157" s="321"/>
      <c r="R157" s="321"/>
      <c r="S157" s="321"/>
      <c r="T157" s="321"/>
      <c r="U157" s="321"/>
      <c r="V157" s="321"/>
      <c r="X157" s="572"/>
      <c r="Y157" s="572"/>
      <c r="Z157" s="572"/>
      <c r="AA157" s="572"/>
      <c r="AB157" s="572"/>
      <c r="AC157" s="572"/>
      <c r="AD157" s="572"/>
      <c r="AE157" s="572"/>
      <c r="AF157" s="572"/>
      <c r="AG157" s="572"/>
      <c r="AH157" s="572"/>
    </row>
    <row r="158" spans="1:34" ht="16.5" thickBot="1">
      <c r="A158" s="321"/>
      <c r="B158" s="360"/>
      <c r="C158" s="1610"/>
      <c r="D158" s="1156"/>
      <c r="E158" s="1156"/>
      <c r="F158" s="1156"/>
      <c r="G158" s="1156"/>
      <c r="H158" s="1156"/>
      <c r="I158" s="1156"/>
      <c r="J158" s="1157"/>
      <c r="K158" s="446"/>
      <c r="L158" s="446"/>
      <c r="M158" s="446"/>
      <c r="N158" s="488"/>
      <c r="O158" s="321"/>
      <c r="P158" s="321"/>
      <c r="Q158" s="321"/>
      <c r="R158" s="321"/>
      <c r="S158" s="321"/>
      <c r="T158" s="321"/>
      <c r="U158" s="321"/>
      <c r="V158" s="321"/>
      <c r="X158" s="572"/>
      <c r="Y158" s="572"/>
      <c r="Z158" s="572"/>
      <c r="AA158" s="572"/>
      <c r="AB158" s="572"/>
      <c r="AC158" s="572"/>
      <c r="AD158" s="572"/>
      <c r="AE158" s="572"/>
      <c r="AF158" s="572"/>
      <c r="AG158" s="572"/>
      <c r="AH158" s="572"/>
    </row>
    <row r="159" spans="1:34">
      <c r="A159" s="321"/>
      <c r="B159" s="360"/>
      <c r="C159" s="446"/>
      <c r="D159" s="446"/>
      <c r="E159" s="446"/>
      <c r="F159" s="446"/>
      <c r="G159" s="446"/>
      <c r="H159" s="446"/>
      <c r="I159" s="446"/>
      <c r="J159" s="446"/>
      <c r="K159" s="446"/>
      <c r="L159" s="446"/>
      <c r="M159" s="446"/>
      <c r="N159" s="488"/>
      <c r="O159" s="321"/>
      <c r="P159" s="321"/>
      <c r="Q159" s="321"/>
      <c r="R159" s="321"/>
      <c r="S159" s="321"/>
      <c r="T159" s="321"/>
      <c r="U159" s="321"/>
      <c r="V159" s="321"/>
      <c r="X159" s="572"/>
      <c r="Y159" s="572"/>
      <c r="Z159" s="572"/>
      <c r="AA159" s="572"/>
      <c r="AB159" s="572"/>
      <c r="AC159" s="572"/>
      <c r="AD159" s="572"/>
      <c r="AE159" s="572"/>
      <c r="AF159" s="572"/>
      <c r="AG159" s="572"/>
      <c r="AH159" s="572"/>
    </row>
    <row r="160" spans="1:34" ht="16.5" thickBot="1">
      <c r="A160" s="321"/>
      <c r="B160" s="360"/>
      <c r="C160" s="446"/>
      <c r="D160" s="446"/>
      <c r="E160" s="446"/>
      <c r="F160" s="446"/>
      <c r="G160" s="446"/>
      <c r="H160" s="446"/>
      <c r="I160" s="446"/>
      <c r="J160" s="446"/>
      <c r="K160" s="446"/>
      <c r="L160" s="446"/>
      <c r="M160" s="446"/>
      <c r="N160" s="488"/>
      <c r="O160" s="321"/>
      <c r="P160" s="321"/>
      <c r="Q160" s="321"/>
      <c r="R160" s="321"/>
      <c r="S160" s="321"/>
      <c r="T160" s="321"/>
      <c r="U160" s="321"/>
      <c r="V160" s="321"/>
      <c r="X160" s="572"/>
      <c r="Y160" s="572"/>
      <c r="Z160" s="572"/>
      <c r="AA160" s="572"/>
      <c r="AB160" s="572"/>
      <c r="AC160" s="572"/>
      <c r="AD160" s="572"/>
      <c r="AE160" s="572"/>
      <c r="AF160" s="572"/>
      <c r="AG160" s="572"/>
      <c r="AH160" s="572"/>
    </row>
    <row r="161" spans="1:34" ht="16.5" customHeight="1" thickBot="1">
      <c r="A161" s="321"/>
      <c r="B161" s="360"/>
      <c r="C161" s="1600" t="s">
        <v>138</v>
      </c>
      <c r="D161" s="471"/>
      <c r="E161" s="472"/>
      <c r="F161" s="472"/>
      <c r="G161" s="472"/>
      <c r="H161" s="472"/>
      <c r="I161" s="472"/>
      <c r="J161" s="472"/>
      <c r="K161" s="472"/>
      <c r="L161" s="472"/>
      <c r="M161" s="472"/>
      <c r="N161" s="473"/>
      <c r="O161" s="321"/>
      <c r="P161" s="321"/>
      <c r="Q161" s="321"/>
      <c r="R161" s="321"/>
      <c r="S161" s="321"/>
      <c r="T161" s="321"/>
      <c r="U161" s="321"/>
      <c r="V161" s="321"/>
      <c r="X161" s="572"/>
      <c r="Y161" s="572"/>
      <c r="Z161" s="572"/>
      <c r="AA161" s="572"/>
      <c r="AB161" s="572"/>
      <c r="AC161" s="572"/>
      <c r="AD161" s="572"/>
      <c r="AE161" s="572"/>
      <c r="AF161" s="572"/>
      <c r="AG161" s="572"/>
      <c r="AH161" s="572"/>
    </row>
    <row r="162" spans="1:34">
      <c r="A162" s="321"/>
      <c r="B162" s="360"/>
      <c r="C162" s="1601"/>
      <c r="D162" s="474"/>
      <c r="E162" s="1634" t="s">
        <v>160</v>
      </c>
      <c r="F162" s="1635"/>
      <c r="G162" s="1635"/>
      <c r="H162" s="1635"/>
      <c r="I162" s="1635"/>
      <c r="J162" s="1635"/>
      <c r="K162" s="1635"/>
      <c r="L162" s="1635"/>
      <c r="M162" s="1636"/>
      <c r="N162" s="1168"/>
      <c r="O162" s="321"/>
      <c r="P162" s="321"/>
      <c r="Q162" s="321"/>
      <c r="R162" s="321"/>
      <c r="S162" s="321"/>
      <c r="T162" s="321"/>
      <c r="U162" s="321"/>
      <c r="V162" s="321"/>
      <c r="X162" s="572"/>
      <c r="Y162" s="572"/>
      <c r="Z162" s="572"/>
      <c r="AA162" s="572"/>
      <c r="AB162" s="572"/>
      <c r="AC162" s="572"/>
      <c r="AD162" s="572"/>
      <c r="AE162" s="572"/>
      <c r="AF162" s="572"/>
      <c r="AG162" s="572"/>
      <c r="AH162" s="572"/>
    </row>
    <row r="163" spans="1:34">
      <c r="A163" s="321"/>
      <c r="B163" s="360"/>
      <c r="C163" s="1601"/>
      <c r="D163" s="474"/>
      <c r="E163" s="1637"/>
      <c r="F163" s="1638"/>
      <c r="G163" s="1638"/>
      <c r="H163" s="1638"/>
      <c r="I163" s="1638"/>
      <c r="J163" s="1638"/>
      <c r="K163" s="1638"/>
      <c r="L163" s="1638"/>
      <c r="M163" s="1639"/>
      <c r="N163" s="475"/>
      <c r="O163" s="321"/>
      <c r="P163" s="321"/>
      <c r="Q163" s="321"/>
      <c r="R163" s="321"/>
      <c r="S163" s="321"/>
      <c r="T163" s="321"/>
      <c r="U163" s="321"/>
      <c r="V163" s="321"/>
      <c r="X163" s="572"/>
      <c r="Y163" s="572"/>
      <c r="Z163" s="572"/>
      <c r="AA163" s="572"/>
      <c r="AB163" s="572"/>
      <c r="AC163" s="572"/>
      <c r="AD163" s="572"/>
      <c r="AE163" s="572"/>
      <c r="AF163" s="572"/>
      <c r="AG163" s="572"/>
      <c r="AH163" s="572"/>
    </row>
    <row r="164" spans="1:34">
      <c r="A164" s="321"/>
      <c r="B164" s="360"/>
      <c r="C164" s="1601"/>
      <c r="D164" s="474"/>
      <c r="E164" s="464" t="s">
        <v>161</v>
      </c>
      <c r="F164" s="1603" t="s">
        <v>159</v>
      </c>
      <c r="G164" s="1604"/>
      <c r="H164" s="1605" t="s">
        <v>143</v>
      </c>
      <c r="I164" s="1606"/>
      <c r="J164" s="1605" t="s">
        <v>162</v>
      </c>
      <c r="K164" s="1606"/>
      <c r="L164" s="1605" t="s">
        <v>163</v>
      </c>
      <c r="M164" s="1607"/>
      <c r="N164" s="475"/>
      <c r="O164" s="321"/>
      <c r="P164" s="321"/>
      <c r="Q164" s="321"/>
      <c r="R164" s="321"/>
      <c r="S164" s="321"/>
      <c r="T164" s="321"/>
      <c r="U164" s="321"/>
      <c r="V164" s="321"/>
      <c r="X164" s="572"/>
      <c r="Y164" s="572"/>
      <c r="Z164" s="572"/>
      <c r="AA164" s="572"/>
      <c r="AB164" s="572"/>
      <c r="AC164" s="572"/>
      <c r="AD164" s="572"/>
      <c r="AE164" s="572"/>
      <c r="AF164" s="572"/>
      <c r="AG164" s="572"/>
      <c r="AH164" s="572"/>
    </row>
    <row r="165" spans="1:34">
      <c r="A165" s="321"/>
      <c r="B165" s="321"/>
      <c r="C165" s="1601"/>
      <c r="D165" s="474"/>
      <c r="E165" s="476" t="s">
        <v>47</v>
      </c>
      <c r="F165" s="1169">
        <f>SUM(H165,J165,L165)</f>
        <v>0</v>
      </c>
      <c r="G165" s="1170">
        <f>SUM(I165,K165,M165)</f>
        <v>0</v>
      </c>
      <c r="H165" s="1169">
        <f t="shared" ref="H165:H172" si="4">COUNTIFS(I$1:I$127, E165,J$1:J$127, "Positif",G$1:G$127, 40)</f>
        <v>0</v>
      </c>
      <c r="I165" s="1170">
        <f t="shared" ref="I165:I172" si="5">COUNTIFS(I$1:I$127,E165,J$1:J$127,"Negatif",G$1:G$127,40)+COUNTIFS(I$1:I$127,E165,J$1:J$127,"Négatif",G$1:G$127,40)</f>
        <v>0</v>
      </c>
      <c r="J165" s="1169">
        <f t="shared" ref="J165:J172" si="6">COUNTIFS(I$1:I$127, E165,J$1:J$127, "Positif",G$1:G$127, 65)</f>
        <v>0</v>
      </c>
      <c r="K165" s="1170">
        <f t="shared" ref="K165:K172" si="7">COUNTIFS(I$1:I$127,E165,J$1:J$127,"Negatif",G$1:G$127,65)+COUNTIFS(I$1:I$127,E165,J$1:J$127,"Négatif",G$1:G$127,65)</f>
        <v>0</v>
      </c>
      <c r="L165" s="1169">
        <f t="shared" ref="L165:L172" si="8">COUNTIFS(I$1:I$127, E165,J$1:J$127, "Positif",G$1:G$127,64)</f>
        <v>0</v>
      </c>
      <c r="M165" s="1171">
        <f t="shared" ref="M165:M172" si="9">COUNTIFS(I$1:I$127,E165,J$1:J$127,"Negatif",G$1:G$127,64)+COUNTIFS(I$1:I$127,E165,J$1:J$127,"Négatif",G$1:G$127,64)</f>
        <v>0</v>
      </c>
      <c r="N165" s="475"/>
      <c r="O165" s="321"/>
      <c r="P165" s="321"/>
      <c r="Q165" s="321"/>
      <c r="R165" s="321"/>
      <c r="S165" s="321"/>
      <c r="T165" s="321"/>
      <c r="U165" s="321"/>
      <c r="V165" s="321"/>
      <c r="X165" s="572"/>
      <c r="Y165" s="572"/>
      <c r="Z165" s="572"/>
      <c r="AA165" s="572"/>
      <c r="AB165" s="572"/>
      <c r="AC165" s="572"/>
      <c r="AD165" s="572"/>
      <c r="AE165" s="572"/>
      <c r="AF165" s="572"/>
      <c r="AG165" s="572"/>
      <c r="AH165" s="572"/>
    </row>
    <row r="166" spans="1:34">
      <c r="A166" s="321"/>
      <c r="B166" s="321"/>
      <c r="C166" s="1601"/>
      <c r="D166" s="474"/>
      <c r="E166" s="476" t="s">
        <v>48</v>
      </c>
      <c r="F166" s="1169">
        <f t="shared" ref="F166:G172" si="10">SUM(H166,J166,L166)</f>
        <v>0</v>
      </c>
      <c r="G166" s="1170">
        <f t="shared" si="10"/>
        <v>0</v>
      </c>
      <c r="H166" s="1169">
        <f t="shared" si="4"/>
        <v>0</v>
      </c>
      <c r="I166" s="1170">
        <f t="shared" si="5"/>
        <v>0</v>
      </c>
      <c r="J166" s="1169">
        <f t="shared" si="6"/>
        <v>0</v>
      </c>
      <c r="K166" s="1170">
        <f t="shared" si="7"/>
        <v>0</v>
      </c>
      <c r="L166" s="1169">
        <f t="shared" si="8"/>
        <v>0</v>
      </c>
      <c r="M166" s="1171">
        <f t="shared" si="9"/>
        <v>0</v>
      </c>
      <c r="N166" s="475"/>
      <c r="O166" s="321"/>
      <c r="P166" s="321"/>
      <c r="Q166" s="321"/>
      <c r="R166" s="321"/>
      <c r="S166" s="321"/>
      <c r="T166" s="321"/>
      <c r="U166" s="321"/>
      <c r="V166" s="321"/>
      <c r="X166" s="572"/>
      <c r="Y166" s="572"/>
      <c r="Z166" s="572"/>
      <c r="AA166" s="572"/>
      <c r="AB166" s="572"/>
      <c r="AC166" s="572"/>
      <c r="AD166" s="572"/>
      <c r="AE166" s="572"/>
      <c r="AF166" s="572"/>
      <c r="AG166" s="572"/>
      <c r="AH166" s="572"/>
    </row>
    <row r="167" spans="1:34">
      <c r="A167" s="321"/>
      <c r="B167" s="321"/>
      <c r="C167" s="1601"/>
      <c r="D167" s="474"/>
      <c r="E167" s="476" t="s">
        <v>49</v>
      </c>
      <c r="F167" s="1169">
        <f t="shared" si="10"/>
        <v>0</v>
      </c>
      <c r="G167" s="1170">
        <f t="shared" si="10"/>
        <v>0</v>
      </c>
      <c r="H167" s="1169">
        <f t="shared" si="4"/>
        <v>0</v>
      </c>
      <c r="I167" s="1170">
        <f t="shared" si="5"/>
        <v>0</v>
      </c>
      <c r="J167" s="1169">
        <f t="shared" si="6"/>
        <v>0</v>
      </c>
      <c r="K167" s="1170">
        <f t="shared" si="7"/>
        <v>0</v>
      </c>
      <c r="L167" s="1169">
        <f t="shared" si="8"/>
        <v>0</v>
      </c>
      <c r="M167" s="1171">
        <f t="shared" si="9"/>
        <v>0</v>
      </c>
      <c r="N167" s="475"/>
      <c r="O167" s="321"/>
      <c r="P167" s="321"/>
      <c r="Q167" s="321"/>
      <c r="R167" s="321"/>
      <c r="S167" s="321"/>
      <c r="T167" s="321"/>
      <c r="U167" s="321"/>
      <c r="V167" s="321"/>
      <c r="X167" s="572"/>
      <c r="Y167" s="572"/>
      <c r="Z167" s="572"/>
      <c r="AA167" s="572"/>
      <c r="AB167" s="572"/>
      <c r="AC167" s="572"/>
      <c r="AD167" s="572"/>
      <c r="AE167" s="572"/>
      <c r="AF167" s="572"/>
      <c r="AG167" s="572"/>
      <c r="AH167" s="572"/>
    </row>
    <row r="168" spans="1:34">
      <c r="A168" s="321"/>
      <c r="B168" s="321"/>
      <c r="C168" s="1601"/>
      <c r="D168" s="474"/>
      <c r="E168" s="476" t="s">
        <v>50</v>
      </c>
      <c r="F168" s="1169">
        <f t="shared" si="10"/>
        <v>10</v>
      </c>
      <c r="G168" s="1170">
        <f t="shared" si="10"/>
        <v>0</v>
      </c>
      <c r="H168" s="1169">
        <f t="shared" si="4"/>
        <v>2</v>
      </c>
      <c r="I168" s="1170">
        <f t="shared" si="5"/>
        <v>0</v>
      </c>
      <c r="J168" s="1169">
        <f t="shared" si="6"/>
        <v>7</v>
      </c>
      <c r="K168" s="1170">
        <f t="shared" si="7"/>
        <v>0</v>
      </c>
      <c r="L168" s="1169">
        <f t="shared" si="8"/>
        <v>1</v>
      </c>
      <c r="M168" s="1171">
        <f t="shared" si="9"/>
        <v>0</v>
      </c>
      <c r="N168" s="475"/>
      <c r="O168" s="321"/>
      <c r="P168" s="321"/>
      <c r="Q168" s="321"/>
      <c r="R168" s="321"/>
      <c r="S168" s="321"/>
      <c r="T168" s="321"/>
      <c r="U168" s="321"/>
      <c r="V168" s="321"/>
      <c r="X168" s="572"/>
      <c r="Y168" s="572"/>
      <c r="Z168" s="572"/>
      <c r="AA168" s="572"/>
      <c r="AB168" s="572"/>
      <c r="AC168" s="572"/>
      <c r="AD168" s="572"/>
      <c r="AE168" s="572"/>
      <c r="AF168" s="572"/>
      <c r="AG168" s="572"/>
      <c r="AH168" s="572"/>
    </row>
    <row r="169" spans="1:34">
      <c r="A169" s="321"/>
      <c r="B169" s="360"/>
      <c r="C169" s="1601"/>
      <c r="D169" s="474"/>
      <c r="E169" s="476" t="s">
        <v>51</v>
      </c>
      <c r="F169" s="1169">
        <f t="shared" si="10"/>
        <v>82</v>
      </c>
      <c r="G169" s="1170">
        <f t="shared" si="10"/>
        <v>1</v>
      </c>
      <c r="H169" s="1169">
        <f t="shared" si="4"/>
        <v>20</v>
      </c>
      <c r="I169" s="1170">
        <f t="shared" si="5"/>
        <v>0</v>
      </c>
      <c r="J169" s="1169">
        <f t="shared" si="6"/>
        <v>30</v>
      </c>
      <c r="K169" s="1170">
        <f t="shared" si="7"/>
        <v>0</v>
      </c>
      <c r="L169" s="1169">
        <f t="shared" si="8"/>
        <v>32</v>
      </c>
      <c r="M169" s="1171">
        <f t="shared" si="9"/>
        <v>1</v>
      </c>
      <c r="N169" s="475"/>
      <c r="O169" s="321"/>
      <c r="P169" s="321"/>
      <c r="Q169" s="321"/>
      <c r="R169" s="321"/>
      <c r="S169" s="321"/>
      <c r="T169" s="321"/>
      <c r="U169" s="321"/>
      <c r="V169" s="321"/>
      <c r="X169" s="572"/>
      <c r="Y169" s="572"/>
      <c r="Z169" s="572"/>
      <c r="AA169" s="572"/>
      <c r="AB169" s="572"/>
      <c r="AC169" s="572"/>
      <c r="AD169" s="572"/>
      <c r="AE169" s="572"/>
      <c r="AF169" s="572"/>
      <c r="AG169" s="572"/>
      <c r="AH169" s="572"/>
    </row>
    <row r="170" spans="1:34">
      <c r="A170" s="321"/>
      <c r="B170" s="360"/>
      <c r="C170" s="1601"/>
      <c r="D170" s="474"/>
      <c r="E170" s="476" t="s">
        <v>52</v>
      </c>
      <c r="F170" s="1169">
        <f t="shared" si="10"/>
        <v>2</v>
      </c>
      <c r="G170" s="1170">
        <f t="shared" si="10"/>
        <v>0</v>
      </c>
      <c r="H170" s="1169">
        <f t="shared" si="4"/>
        <v>1</v>
      </c>
      <c r="I170" s="1170">
        <f t="shared" si="5"/>
        <v>0</v>
      </c>
      <c r="J170" s="1169">
        <f t="shared" si="6"/>
        <v>1</v>
      </c>
      <c r="K170" s="1170">
        <f t="shared" si="7"/>
        <v>0</v>
      </c>
      <c r="L170" s="1169">
        <f t="shared" si="8"/>
        <v>0</v>
      </c>
      <c r="M170" s="1171">
        <f t="shared" si="9"/>
        <v>0</v>
      </c>
      <c r="N170" s="475"/>
      <c r="O170" s="321"/>
      <c r="P170" s="321"/>
      <c r="Q170" s="321"/>
      <c r="R170" s="321"/>
      <c r="S170" s="321"/>
      <c r="T170" s="321"/>
      <c r="U170" s="321"/>
      <c r="V170" s="321"/>
      <c r="X170" s="572"/>
      <c r="Y170" s="572"/>
      <c r="Z170" s="572"/>
      <c r="AA170" s="572"/>
      <c r="AB170" s="572"/>
      <c r="AC170" s="572"/>
      <c r="AD170" s="572"/>
      <c r="AE170" s="572"/>
      <c r="AF170" s="572"/>
      <c r="AG170" s="572"/>
      <c r="AH170" s="572"/>
    </row>
    <row r="171" spans="1:34">
      <c r="A171" s="321"/>
      <c r="B171" s="360"/>
      <c r="C171" s="1601"/>
      <c r="D171" s="474"/>
      <c r="E171" s="476" t="s">
        <v>53</v>
      </c>
      <c r="F171" s="1169">
        <f t="shared" si="10"/>
        <v>0</v>
      </c>
      <c r="G171" s="1170">
        <f t="shared" si="10"/>
        <v>0</v>
      </c>
      <c r="H171" s="1169">
        <f t="shared" si="4"/>
        <v>0</v>
      </c>
      <c r="I171" s="1170">
        <f t="shared" si="5"/>
        <v>0</v>
      </c>
      <c r="J171" s="1169">
        <f t="shared" si="6"/>
        <v>0</v>
      </c>
      <c r="K171" s="1170">
        <f t="shared" si="7"/>
        <v>0</v>
      </c>
      <c r="L171" s="1169">
        <f t="shared" si="8"/>
        <v>0</v>
      </c>
      <c r="M171" s="1171">
        <f t="shared" si="9"/>
        <v>0</v>
      </c>
      <c r="N171" s="475"/>
      <c r="O171" s="321"/>
      <c r="P171" s="321"/>
      <c r="Q171" s="321"/>
      <c r="R171" s="321"/>
      <c r="S171" s="321"/>
      <c r="T171" s="321"/>
      <c r="U171" s="321"/>
      <c r="V171" s="321"/>
      <c r="X171" s="572"/>
      <c r="Y171" s="572"/>
      <c r="Z171" s="572"/>
      <c r="AA171" s="572"/>
      <c r="AB171" s="572"/>
      <c r="AC171" s="572"/>
      <c r="AD171" s="572"/>
      <c r="AE171" s="572"/>
      <c r="AF171" s="572"/>
      <c r="AG171" s="572"/>
      <c r="AH171" s="572"/>
    </row>
    <row r="172" spans="1:34" ht="16.5" thickBot="1">
      <c r="A172" s="321"/>
      <c r="B172" s="360"/>
      <c r="C172" s="1601"/>
      <c r="D172" s="474"/>
      <c r="E172" s="477" t="s">
        <v>54</v>
      </c>
      <c r="F172" s="1172">
        <f t="shared" si="10"/>
        <v>4</v>
      </c>
      <c r="G172" s="1173">
        <f>SUM(I172,K172,M172)</f>
        <v>0</v>
      </c>
      <c r="H172" s="1172">
        <f t="shared" si="4"/>
        <v>3</v>
      </c>
      <c r="I172" s="1173">
        <f t="shared" si="5"/>
        <v>0</v>
      </c>
      <c r="J172" s="1172">
        <f t="shared" si="6"/>
        <v>0</v>
      </c>
      <c r="K172" s="1173">
        <f t="shared" si="7"/>
        <v>0</v>
      </c>
      <c r="L172" s="1172">
        <f t="shared" si="8"/>
        <v>1</v>
      </c>
      <c r="M172" s="1174">
        <f t="shared" si="9"/>
        <v>0</v>
      </c>
      <c r="N172" s="475"/>
      <c r="O172" s="321"/>
      <c r="P172" s="321"/>
      <c r="Q172" s="321"/>
      <c r="R172" s="321"/>
      <c r="S172" s="321"/>
      <c r="T172" s="321"/>
      <c r="U172" s="321"/>
      <c r="V172" s="321"/>
      <c r="X172" s="572"/>
      <c r="Y172" s="572"/>
      <c r="Z172" s="572"/>
      <c r="AA172" s="572"/>
      <c r="AB172" s="572"/>
      <c r="AC172" s="572"/>
      <c r="AD172" s="572"/>
      <c r="AE172" s="572"/>
      <c r="AF172" s="572"/>
      <c r="AG172" s="572"/>
      <c r="AH172" s="572"/>
    </row>
    <row r="173" spans="1:34">
      <c r="A173" s="321"/>
      <c r="B173" s="360"/>
      <c r="C173" s="1601"/>
      <c r="D173" s="474"/>
      <c r="E173" s="478"/>
      <c r="F173" s="479"/>
      <c r="G173" s="479"/>
      <c r="H173" s="479"/>
      <c r="I173" s="479"/>
      <c r="J173" s="480"/>
      <c r="K173" s="480"/>
      <c r="L173" s="480"/>
      <c r="M173" s="480"/>
      <c r="N173" s="475"/>
      <c r="O173" s="321"/>
      <c r="P173" s="321"/>
      <c r="Q173" s="321"/>
      <c r="R173" s="321"/>
      <c r="S173" s="321"/>
      <c r="T173" s="321"/>
      <c r="U173" s="321"/>
      <c r="V173" s="321"/>
      <c r="X173" s="572"/>
      <c r="Y173" s="572"/>
      <c r="Z173" s="572"/>
      <c r="AA173" s="572"/>
      <c r="AB173" s="572"/>
      <c r="AC173" s="572"/>
      <c r="AD173" s="572"/>
      <c r="AE173" s="572"/>
      <c r="AF173" s="572"/>
      <c r="AG173" s="572"/>
      <c r="AH173" s="572"/>
    </row>
    <row r="174" spans="1:34" ht="16.5" thickBot="1">
      <c r="A174" s="321"/>
      <c r="B174" s="360"/>
      <c r="C174" s="1602"/>
      <c r="D174" s="481"/>
      <c r="E174" s="482"/>
      <c r="F174" s="482"/>
      <c r="G174" s="482"/>
      <c r="H174" s="482"/>
      <c r="I174" s="482"/>
      <c r="J174" s="482"/>
      <c r="K174" s="482"/>
      <c r="L174" s="482"/>
      <c r="M174" s="482"/>
      <c r="N174" s="483"/>
      <c r="O174" s="321"/>
      <c r="P174" s="321"/>
      <c r="Q174" s="321"/>
      <c r="R174" s="321"/>
      <c r="S174" s="321"/>
      <c r="T174" s="321"/>
      <c r="U174" s="321"/>
      <c r="V174" s="321"/>
      <c r="X174" s="572"/>
      <c r="Y174" s="572"/>
      <c r="Z174" s="572"/>
      <c r="AA174" s="572"/>
      <c r="AB174" s="572"/>
      <c r="AC174" s="572"/>
      <c r="AD174" s="572"/>
      <c r="AE174" s="572"/>
      <c r="AF174" s="572"/>
      <c r="AG174" s="572"/>
      <c r="AH174" s="572"/>
    </row>
    <row r="175" spans="1:34">
      <c r="A175" s="321"/>
      <c r="B175" s="321"/>
      <c r="C175" s="322"/>
      <c r="D175" s="323"/>
      <c r="E175" s="324"/>
      <c r="F175" s="321"/>
      <c r="G175" s="325"/>
      <c r="H175" s="321"/>
      <c r="I175" s="321"/>
      <c r="J175" s="322"/>
      <c r="K175" s="321"/>
      <c r="L175" s="360"/>
      <c r="M175" s="392"/>
      <c r="N175" s="321"/>
      <c r="O175" s="321"/>
      <c r="P175" s="321"/>
      <c r="Q175" s="321"/>
      <c r="R175" s="321"/>
      <c r="S175" s="321"/>
      <c r="T175" s="321"/>
      <c r="U175" s="321"/>
      <c r="V175" s="321"/>
      <c r="X175" s="572"/>
      <c r="Y175" s="572"/>
      <c r="Z175" s="572"/>
      <c r="AA175" s="572"/>
      <c r="AB175" s="572"/>
      <c r="AC175" s="572"/>
      <c r="AD175" s="572"/>
      <c r="AE175" s="572"/>
      <c r="AF175" s="572"/>
      <c r="AG175" s="572"/>
      <c r="AH175" s="572"/>
    </row>
    <row r="176" spans="1:34">
      <c r="A176" s="321"/>
      <c r="B176" s="321"/>
      <c r="C176" s="322"/>
      <c r="D176" s="323"/>
      <c r="E176" s="324"/>
      <c r="F176" s="321"/>
      <c r="G176" s="325"/>
      <c r="H176" s="321"/>
      <c r="I176" s="321"/>
      <c r="J176" s="322"/>
      <c r="K176" s="321"/>
      <c r="L176" s="360"/>
      <c r="M176" s="392"/>
      <c r="N176" s="321"/>
      <c r="O176" s="321"/>
      <c r="P176" s="321"/>
      <c r="Q176" s="321"/>
      <c r="R176" s="321"/>
      <c r="S176" s="321"/>
      <c r="T176" s="321"/>
      <c r="U176" s="321"/>
      <c r="V176" s="321"/>
      <c r="X176" s="572"/>
      <c r="Y176" s="572"/>
      <c r="Z176" s="572"/>
      <c r="AA176" s="572"/>
      <c r="AB176" s="572"/>
      <c r="AC176" s="572"/>
      <c r="AD176" s="572"/>
      <c r="AE176" s="572"/>
      <c r="AF176" s="572"/>
      <c r="AG176" s="572"/>
      <c r="AH176" s="572"/>
    </row>
    <row r="177" spans="1:34">
      <c r="A177" s="321"/>
      <c r="B177" s="321"/>
      <c r="C177" s="322"/>
      <c r="D177" s="323"/>
      <c r="E177" s="324"/>
      <c r="F177" s="321"/>
      <c r="G177" s="325"/>
      <c r="H177" s="321"/>
      <c r="I177" s="321"/>
      <c r="J177" s="322"/>
      <c r="K177" s="321"/>
      <c r="L177" s="360"/>
      <c r="M177" s="392"/>
      <c r="N177" s="321"/>
      <c r="O177" s="321"/>
      <c r="P177" s="321"/>
      <c r="Q177" s="321"/>
      <c r="R177" s="321"/>
      <c r="S177" s="321"/>
      <c r="T177" s="321"/>
      <c r="U177" s="321"/>
      <c r="V177" s="321"/>
      <c r="X177" s="572"/>
      <c r="Y177" s="572"/>
      <c r="Z177" s="572"/>
      <c r="AA177" s="572"/>
      <c r="AB177" s="572"/>
      <c r="AC177" s="572"/>
      <c r="AD177" s="572"/>
      <c r="AE177" s="572"/>
      <c r="AF177" s="572"/>
      <c r="AG177" s="572"/>
      <c r="AH177" s="572"/>
    </row>
    <row r="178" spans="1:34">
      <c r="A178" s="321"/>
      <c r="B178" s="321"/>
      <c r="C178" s="322"/>
      <c r="D178" s="323"/>
      <c r="E178" s="324"/>
      <c r="F178" s="321"/>
      <c r="G178" s="325"/>
      <c r="H178" s="321"/>
      <c r="I178" s="321"/>
      <c r="J178" s="322"/>
      <c r="K178" s="321"/>
      <c r="L178" s="360"/>
      <c r="M178" s="392"/>
      <c r="N178" s="321"/>
      <c r="O178" s="321"/>
      <c r="P178" s="321"/>
      <c r="Q178" s="321"/>
      <c r="R178" s="321"/>
      <c r="S178" s="321"/>
      <c r="T178" s="321"/>
      <c r="U178" s="321"/>
      <c r="V178" s="321"/>
      <c r="X178" s="572"/>
      <c r="Y178" s="572"/>
      <c r="Z178" s="572"/>
      <c r="AA178" s="572"/>
      <c r="AB178" s="572"/>
      <c r="AC178" s="572"/>
      <c r="AD178" s="572"/>
      <c r="AE178" s="572"/>
      <c r="AF178" s="572"/>
      <c r="AG178" s="572"/>
      <c r="AH178" s="572"/>
    </row>
    <row r="179" spans="1:34">
      <c r="A179" s="321"/>
      <c r="B179" s="321"/>
      <c r="C179" s="322"/>
      <c r="D179" s="323"/>
      <c r="E179" s="324"/>
      <c r="F179" s="321"/>
      <c r="G179" s="325"/>
      <c r="H179" s="321"/>
      <c r="I179" s="321"/>
      <c r="J179" s="322"/>
      <c r="K179" s="321"/>
      <c r="L179" s="360"/>
      <c r="M179" s="392"/>
      <c r="N179" s="321"/>
      <c r="O179" s="321"/>
      <c r="P179" s="321"/>
      <c r="Q179" s="321"/>
      <c r="R179" s="321"/>
      <c r="S179" s="321"/>
      <c r="T179" s="321"/>
      <c r="U179" s="321"/>
      <c r="V179" s="321"/>
      <c r="X179" s="572"/>
      <c r="Y179" s="572"/>
      <c r="Z179" s="572"/>
      <c r="AA179" s="572"/>
      <c r="AB179" s="572"/>
      <c r="AC179" s="572"/>
      <c r="AD179" s="572"/>
      <c r="AE179" s="572"/>
      <c r="AF179" s="572"/>
      <c r="AG179" s="572"/>
      <c r="AH179" s="572"/>
    </row>
    <row r="180" spans="1:34">
      <c r="A180" s="321"/>
      <c r="B180" s="321"/>
      <c r="C180" s="322"/>
      <c r="D180" s="323"/>
      <c r="E180" s="324"/>
      <c r="F180" s="321"/>
      <c r="G180" s="325"/>
      <c r="H180" s="321"/>
      <c r="I180" s="321"/>
      <c r="J180" s="322"/>
      <c r="K180" s="321"/>
      <c r="L180" s="360"/>
      <c r="M180" s="392"/>
      <c r="N180" s="321"/>
      <c r="O180" s="321"/>
      <c r="P180" s="321"/>
      <c r="Q180" s="321"/>
      <c r="R180" s="321"/>
      <c r="S180" s="321"/>
      <c r="T180" s="321"/>
      <c r="U180" s="321"/>
      <c r="V180" s="321"/>
      <c r="X180" s="572"/>
      <c r="Y180" s="572"/>
      <c r="Z180" s="572"/>
      <c r="AA180" s="572"/>
      <c r="AB180" s="572"/>
      <c r="AC180" s="572"/>
      <c r="AD180" s="572"/>
      <c r="AE180" s="572"/>
      <c r="AF180" s="572"/>
      <c r="AG180" s="572"/>
      <c r="AH180" s="572"/>
    </row>
    <row r="181" spans="1:34">
      <c r="A181" s="321"/>
      <c r="B181" s="321"/>
      <c r="C181" s="322"/>
      <c r="D181" s="323"/>
      <c r="E181" s="324"/>
      <c r="F181" s="321"/>
      <c r="G181" s="325"/>
      <c r="H181" s="321"/>
      <c r="I181" s="321"/>
      <c r="J181" s="322"/>
      <c r="K181" s="321"/>
      <c r="L181" s="360"/>
      <c r="M181" s="392"/>
      <c r="N181" s="321"/>
      <c r="O181" s="321"/>
      <c r="P181" s="321"/>
      <c r="Q181" s="321"/>
      <c r="R181" s="321"/>
      <c r="S181" s="321"/>
      <c r="T181" s="321"/>
      <c r="U181" s="321"/>
      <c r="V181" s="321"/>
      <c r="X181" s="572"/>
      <c r="Y181" s="572"/>
      <c r="Z181" s="572"/>
      <c r="AA181" s="572"/>
      <c r="AB181" s="572"/>
      <c r="AC181" s="572"/>
      <c r="AD181" s="572"/>
      <c r="AE181" s="572"/>
      <c r="AF181" s="572"/>
      <c r="AG181" s="572"/>
      <c r="AH181" s="572"/>
    </row>
    <row r="182" spans="1:34">
      <c r="A182" s="321"/>
      <c r="B182" s="321"/>
      <c r="C182" s="322"/>
      <c r="D182" s="323"/>
      <c r="E182" s="324"/>
      <c r="F182" s="321"/>
      <c r="G182" s="325"/>
      <c r="H182" s="321"/>
      <c r="I182" s="321"/>
      <c r="J182" s="322"/>
      <c r="K182" s="321"/>
      <c r="L182" s="360"/>
      <c r="M182" s="392"/>
      <c r="N182" s="321"/>
      <c r="O182" s="321"/>
      <c r="P182" s="321"/>
      <c r="Q182" s="321"/>
      <c r="R182" s="321"/>
      <c r="S182" s="321"/>
      <c r="T182" s="321"/>
      <c r="U182" s="321"/>
      <c r="V182" s="321"/>
      <c r="X182" s="572"/>
      <c r="Y182" s="572"/>
      <c r="Z182" s="572"/>
      <c r="AA182" s="572"/>
      <c r="AB182" s="572"/>
      <c r="AC182" s="572"/>
      <c r="AD182" s="572"/>
      <c r="AE182" s="572"/>
      <c r="AF182" s="572"/>
      <c r="AG182" s="572"/>
      <c r="AH182" s="572"/>
    </row>
    <row r="183" spans="1:34">
      <c r="A183" s="321"/>
      <c r="B183" s="321"/>
      <c r="C183" s="322"/>
      <c r="D183" s="323"/>
      <c r="E183" s="324"/>
      <c r="F183" s="321"/>
      <c r="G183" s="325"/>
      <c r="H183" s="321"/>
      <c r="I183" s="321"/>
      <c r="J183" s="322"/>
      <c r="K183" s="321"/>
      <c r="L183" s="360"/>
      <c r="M183" s="392"/>
      <c r="N183" s="321"/>
      <c r="O183" s="321"/>
      <c r="P183" s="321"/>
      <c r="Q183" s="321"/>
      <c r="R183" s="321"/>
      <c r="S183" s="321"/>
      <c r="T183" s="321"/>
      <c r="U183" s="321"/>
      <c r="V183" s="321"/>
      <c r="X183" s="572"/>
      <c r="Y183" s="572"/>
      <c r="Z183" s="572"/>
      <c r="AA183" s="572"/>
      <c r="AB183" s="572"/>
      <c r="AC183" s="572"/>
      <c r="AD183" s="572"/>
      <c r="AE183" s="572"/>
      <c r="AF183" s="572"/>
      <c r="AG183" s="572"/>
      <c r="AH183" s="572"/>
    </row>
    <row r="184" spans="1:34">
      <c r="A184" s="321"/>
      <c r="B184" s="321"/>
      <c r="C184" s="322"/>
      <c r="D184" s="323"/>
      <c r="E184" s="324"/>
      <c r="F184" s="321"/>
      <c r="G184" s="325"/>
      <c r="H184" s="321"/>
      <c r="I184" s="321"/>
      <c r="J184" s="322"/>
      <c r="K184" s="321"/>
      <c r="L184" s="360"/>
      <c r="M184" s="392"/>
      <c r="N184" s="321"/>
      <c r="O184" s="321"/>
      <c r="P184" s="321"/>
      <c r="Q184" s="321"/>
      <c r="R184" s="321"/>
      <c r="S184" s="321"/>
      <c r="T184" s="321"/>
      <c r="U184" s="321"/>
      <c r="V184" s="321"/>
      <c r="X184" s="572"/>
      <c r="Y184" s="572"/>
      <c r="Z184" s="572"/>
      <c r="AA184" s="572"/>
      <c r="AB184" s="572"/>
      <c r="AC184" s="572"/>
      <c r="AD184" s="572"/>
      <c r="AE184" s="572"/>
      <c r="AF184" s="572"/>
      <c r="AG184" s="572"/>
      <c r="AH184" s="572"/>
    </row>
    <row r="185" spans="1:34">
      <c r="A185" s="321"/>
      <c r="B185" s="321"/>
      <c r="C185" s="322"/>
      <c r="D185" s="323"/>
      <c r="E185" s="324"/>
      <c r="F185" s="321"/>
      <c r="G185" s="325"/>
      <c r="H185" s="321"/>
      <c r="I185" s="321"/>
      <c r="J185" s="322"/>
      <c r="K185" s="321"/>
      <c r="L185" s="360"/>
      <c r="M185" s="392"/>
      <c r="N185" s="321"/>
      <c r="O185" s="321"/>
      <c r="P185" s="321"/>
      <c r="Q185" s="321"/>
      <c r="R185" s="321"/>
      <c r="S185" s="321"/>
      <c r="T185" s="321"/>
      <c r="U185" s="321"/>
      <c r="V185" s="321"/>
      <c r="X185" s="572"/>
      <c r="Y185" s="572"/>
      <c r="Z185" s="572"/>
      <c r="AA185" s="572"/>
      <c r="AB185" s="572"/>
      <c r="AC185" s="572"/>
      <c r="AD185" s="572"/>
      <c r="AE185" s="572"/>
      <c r="AF185" s="572"/>
      <c r="AG185" s="572"/>
      <c r="AH185" s="572"/>
    </row>
    <row r="186" spans="1:34">
      <c r="A186" s="321"/>
      <c r="B186" s="321"/>
      <c r="C186" s="322"/>
      <c r="D186" s="323"/>
      <c r="E186" s="324"/>
      <c r="F186" s="321"/>
      <c r="G186" s="325"/>
      <c r="H186" s="321"/>
      <c r="I186" s="321"/>
      <c r="J186" s="322"/>
      <c r="K186" s="321"/>
      <c r="L186" s="360"/>
      <c r="M186" s="392"/>
      <c r="N186" s="321"/>
      <c r="O186" s="321"/>
      <c r="P186" s="321"/>
      <c r="Q186" s="321"/>
      <c r="R186" s="321"/>
      <c r="S186" s="321"/>
      <c r="T186" s="321"/>
      <c r="U186" s="321"/>
      <c r="V186" s="321"/>
      <c r="X186" s="572"/>
      <c r="Y186" s="572"/>
      <c r="Z186" s="572"/>
      <c r="AA186" s="572"/>
      <c r="AB186" s="572"/>
      <c r="AC186" s="572"/>
      <c r="AD186" s="572"/>
      <c r="AE186" s="572"/>
      <c r="AF186" s="572"/>
      <c r="AG186" s="572"/>
      <c r="AH186" s="572"/>
    </row>
    <row r="187" spans="1:34">
      <c r="A187" s="321"/>
      <c r="B187" s="321"/>
      <c r="C187" s="322"/>
      <c r="D187" s="323"/>
      <c r="E187" s="324"/>
      <c r="F187" s="321"/>
      <c r="G187" s="325"/>
      <c r="H187" s="321"/>
      <c r="I187" s="321"/>
      <c r="J187" s="322"/>
      <c r="K187" s="321"/>
      <c r="L187" s="360"/>
      <c r="M187" s="392"/>
      <c r="N187" s="321"/>
      <c r="O187" s="321"/>
      <c r="P187" s="321"/>
      <c r="Q187" s="321"/>
      <c r="R187" s="321"/>
      <c r="S187" s="321"/>
      <c r="T187" s="321"/>
      <c r="U187" s="321"/>
      <c r="V187" s="321"/>
      <c r="X187" s="572"/>
      <c r="Y187" s="572"/>
      <c r="Z187" s="572"/>
      <c r="AA187" s="572"/>
      <c r="AB187" s="572"/>
      <c r="AC187" s="572"/>
      <c r="AD187" s="572"/>
      <c r="AE187" s="572"/>
      <c r="AF187" s="572"/>
      <c r="AG187" s="572"/>
      <c r="AH187" s="572"/>
    </row>
    <row r="188" spans="1:34">
      <c r="A188" s="321"/>
      <c r="B188" s="321"/>
      <c r="C188" s="322"/>
      <c r="D188" s="323"/>
      <c r="E188" s="324"/>
      <c r="F188" s="321"/>
      <c r="G188" s="325"/>
      <c r="H188" s="321"/>
      <c r="I188" s="321"/>
      <c r="J188" s="322"/>
      <c r="K188" s="321"/>
      <c r="L188" s="360"/>
      <c r="M188" s="392"/>
      <c r="N188" s="321"/>
      <c r="O188" s="321"/>
      <c r="P188" s="321"/>
      <c r="Q188" s="321"/>
      <c r="R188" s="321"/>
      <c r="S188" s="321"/>
      <c r="T188" s="321"/>
      <c r="U188" s="321"/>
      <c r="V188" s="321"/>
      <c r="X188" s="572"/>
      <c r="Y188" s="572"/>
      <c r="Z188" s="572"/>
      <c r="AA188" s="572"/>
      <c r="AB188" s="572"/>
      <c r="AC188" s="572"/>
      <c r="AD188" s="572"/>
      <c r="AE188" s="572"/>
      <c r="AF188" s="572"/>
      <c r="AG188" s="572"/>
      <c r="AH188" s="572"/>
    </row>
    <row r="189" spans="1:34">
      <c r="A189" s="321"/>
      <c r="B189" s="321"/>
      <c r="C189" s="322"/>
      <c r="D189" s="323"/>
      <c r="E189" s="324"/>
      <c r="F189" s="321"/>
      <c r="G189" s="325"/>
      <c r="H189" s="321"/>
      <c r="I189" s="321"/>
      <c r="J189" s="322"/>
      <c r="K189" s="321"/>
      <c r="L189" s="360"/>
      <c r="M189" s="392"/>
      <c r="N189" s="321"/>
      <c r="O189" s="321"/>
      <c r="P189" s="321"/>
      <c r="Q189" s="321"/>
      <c r="R189" s="321"/>
      <c r="S189" s="321"/>
      <c r="T189" s="321"/>
      <c r="U189" s="321"/>
      <c r="V189" s="321"/>
      <c r="X189" s="572"/>
      <c r="Y189" s="572"/>
      <c r="Z189" s="572"/>
      <c r="AA189" s="572"/>
      <c r="AB189" s="572"/>
      <c r="AC189" s="572"/>
      <c r="AD189" s="572"/>
      <c r="AE189" s="572"/>
      <c r="AF189" s="572"/>
      <c r="AG189" s="572"/>
      <c r="AH189" s="572"/>
    </row>
    <row r="190" spans="1:34">
      <c r="A190" s="321"/>
      <c r="B190" s="321"/>
      <c r="C190" s="322"/>
      <c r="D190" s="323"/>
      <c r="E190" s="324"/>
      <c r="F190" s="321"/>
      <c r="G190" s="325"/>
      <c r="H190" s="321"/>
      <c r="I190" s="321"/>
      <c r="J190" s="322"/>
      <c r="K190" s="321"/>
      <c r="L190" s="360"/>
      <c r="M190" s="392"/>
      <c r="N190" s="321"/>
      <c r="O190" s="321"/>
      <c r="P190" s="321"/>
      <c r="Q190" s="321"/>
      <c r="R190" s="321"/>
      <c r="S190" s="321"/>
      <c r="T190" s="321"/>
      <c r="U190" s="321"/>
      <c r="V190" s="321"/>
      <c r="X190" s="572"/>
      <c r="Y190" s="572"/>
      <c r="Z190" s="572"/>
      <c r="AA190" s="572"/>
      <c r="AB190" s="572"/>
      <c r="AC190" s="572"/>
      <c r="AD190" s="572"/>
      <c r="AE190" s="572"/>
      <c r="AF190" s="572"/>
      <c r="AG190" s="572"/>
      <c r="AH190" s="572"/>
    </row>
    <row r="191" spans="1:34">
      <c r="A191" s="321"/>
      <c r="B191" s="321"/>
      <c r="X191" s="572"/>
      <c r="Y191" s="572"/>
      <c r="Z191" s="572"/>
      <c r="AA191" s="572"/>
      <c r="AB191" s="572"/>
      <c r="AC191" s="572"/>
      <c r="AD191" s="572"/>
      <c r="AE191" s="572"/>
      <c r="AF191" s="572"/>
      <c r="AG191" s="572"/>
      <c r="AH191" s="572"/>
    </row>
    <row r="192" spans="1:34">
      <c r="A192" s="321"/>
      <c r="B192" s="321"/>
      <c r="X192" s="572"/>
      <c r="Y192" s="572"/>
      <c r="Z192" s="572"/>
      <c r="AA192" s="572"/>
      <c r="AB192" s="572"/>
      <c r="AC192" s="572"/>
      <c r="AD192" s="572"/>
      <c r="AE192" s="572"/>
      <c r="AF192" s="572"/>
      <c r="AG192" s="572"/>
      <c r="AH192" s="572"/>
    </row>
    <row r="193" spans="1:34">
      <c r="A193" s="321"/>
      <c r="B193" s="321"/>
      <c r="X193" s="572"/>
      <c r="Y193" s="572"/>
      <c r="Z193" s="572"/>
      <c r="AA193" s="572"/>
      <c r="AB193" s="572"/>
      <c r="AC193" s="572"/>
      <c r="AD193" s="572"/>
      <c r="AE193" s="572"/>
      <c r="AF193" s="572"/>
      <c r="AG193" s="572"/>
      <c r="AH193" s="572"/>
    </row>
    <row r="194" spans="1:34">
      <c r="A194" s="321"/>
      <c r="B194" s="321"/>
      <c r="X194" s="572"/>
      <c r="Y194" s="572"/>
      <c r="Z194" s="572"/>
      <c r="AA194" s="572"/>
      <c r="AB194" s="572"/>
      <c r="AC194" s="572"/>
      <c r="AD194" s="572"/>
      <c r="AE194" s="572"/>
      <c r="AF194" s="572"/>
      <c r="AG194" s="572"/>
      <c r="AH194" s="572"/>
    </row>
    <row r="195" spans="1:34">
      <c r="A195" s="321"/>
      <c r="B195" s="321"/>
      <c r="X195" s="572"/>
      <c r="Y195" s="572"/>
      <c r="Z195" s="572"/>
      <c r="AA195" s="572"/>
      <c r="AB195" s="572"/>
      <c r="AC195" s="572"/>
      <c r="AD195" s="572"/>
      <c r="AE195" s="572"/>
      <c r="AF195" s="572"/>
      <c r="AG195" s="572"/>
      <c r="AH195" s="572"/>
    </row>
    <row r="196" spans="1:34">
      <c r="A196" s="321"/>
      <c r="B196" s="321"/>
      <c r="X196" s="572"/>
      <c r="Y196" s="572"/>
      <c r="Z196" s="572"/>
      <c r="AA196" s="572"/>
      <c r="AB196" s="572"/>
      <c r="AC196" s="572"/>
      <c r="AD196" s="572"/>
      <c r="AE196" s="572"/>
      <c r="AF196" s="572"/>
      <c r="AG196" s="572"/>
      <c r="AH196" s="572"/>
    </row>
    <row r="197" spans="1:34">
      <c r="A197" s="321"/>
      <c r="B197" s="321"/>
      <c r="X197" s="572"/>
      <c r="Y197" s="572"/>
      <c r="Z197" s="572"/>
      <c r="AA197" s="572"/>
      <c r="AB197" s="572"/>
      <c r="AC197" s="572"/>
      <c r="AD197" s="572"/>
      <c r="AE197" s="572"/>
      <c r="AF197" s="572"/>
      <c r="AG197" s="572"/>
      <c r="AH197" s="572"/>
    </row>
    <row r="198" spans="1:34">
      <c r="A198" s="321"/>
      <c r="B198" s="321"/>
      <c r="X198" s="572"/>
      <c r="Y198" s="572"/>
      <c r="Z198" s="572"/>
      <c r="AA198" s="572"/>
      <c r="AB198" s="572"/>
      <c r="AC198" s="572"/>
      <c r="AD198" s="572"/>
      <c r="AE198" s="572"/>
      <c r="AF198" s="572"/>
      <c r="AG198" s="572"/>
      <c r="AH198" s="572"/>
    </row>
    <row r="199" spans="1:34">
      <c r="A199" s="321"/>
      <c r="B199" s="321"/>
      <c r="X199" s="572"/>
      <c r="Y199" s="572"/>
      <c r="Z199" s="572"/>
      <c r="AA199" s="572"/>
      <c r="AB199" s="572"/>
      <c r="AC199" s="572"/>
      <c r="AD199" s="572"/>
      <c r="AE199" s="572"/>
      <c r="AF199" s="572"/>
      <c r="AG199" s="572"/>
      <c r="AH199" s="572"/>
    </row>
    <row r="200" spans="1:34">
      <c r="A200" s="321"/>
      <c r="B200" s="321"/>
      <c r="X200" s="572"/>
      <c r="Y200" s="572"/>
      <c r="Z200" s="572"/>
      <c r="AA200" s="572"/>
      <c r="AB200" s="572"/>
      <c r="AC200" s="572"/>
      <c r="AD200" s="572"/>
      <c r="AE200" s="572"/>
      <c r="AF200" s="572"/>
      <c r="AG200" s="572"/>
      <c r="AH200" s="572"/>
    </row>
    <row r="201" spans="1:34">
      <c r="A201" s="321"/>
      <c r="B201" s="321"/>
      <c r="X201" s="572"/>
      <c r="Y201" s="572"/>
      <c r="Z201" s="572"/>
      <c r="AA201" s="572"/>
      <c r="AB201" s="572"/>
      <c r="AC201" s="572"/>
      <c r="AD201" s="572"/>
      <c r="AE201" s="572"/>
      <c r="AF201" s="572"/>
      <c r="AG201" s="572"/>
      <c r="AH201" s="572"/>
    </row>
    <row r="202" spans="1:34">
      <c r="A202" s="321"/>
      <c r="B202" s="321"/>
      <c r="X202" s="572"/>
      <c r="Y202" s="572"/>
      <c r="Z202" s="572"/>
      <c r="AA202" s="572"/>
      <c r="AB202" s="572"/>
      <c r="AC202" s="572"/>
      <c r="AD202" s="572"/>
      <c r="AE202" s="572"/>
      <c r="AF202" s="572"/>
      <c r="AG202" s="572"/>
      <c r="AH202" s="572"/>
    </row>
    <row r="203" spans="1:34">
      <c r="A203" s="321"/>
      <c r="B203" s="321"/>
    </row>
    <row r="204" spans="1:34">
      <c r="A204" s="321"/>
      <c r="B204" s="321"/>
    </row>
    <row r="205" spans="1:34">
      <c r="A205" s="321"/>
      <c r="B205" s="321"/>
    </row>
    <row r="206" spans="1:34">
      <c r="A206" s="321"/>
      <c r="B206" s="321"/>
    </row>
    <row r="207" spans="1:34">
      <c r="A207" s="321"/>
      <c r="B207" s="321"/>
    </row>
    <row r="208" spans="1:34">
      <c r="A208" s="321"/>
      <c r="B208" s="321"/>
    </row>
    <row r="209" spans="1:2">
      <c r="A209" s="321"/>
      <c r="B209" s="321"/>
    </row>
    <row r="210" spans="1:2">
      <c r="A210" s="321"/>
      <c r="B210" s="321"/>
    </row>
    <row r="211" spans="1:2">
      <c r="A211" s="321"/>
      <c r="B211" s="321"/>
    </row>
    <row r="212" spans="1:2">
      <c r="A212" s="321"/>
      <c r="B212" s="321"/>
    </row>
  </sheetData>
  <sheetProtection formatCells="0" insertHyperlinks="0"/>
  <autoFilter ref="C10:J109" xr:uid="{00000000-0009-0000-0000-000006000000}">
    <sortState xmlns:xlrd2="http://schemas.microsoft.com/office/spreadsheetml/2017/richdata2" ref="C11:J112">
      <sortCondition ref="C10:C106"/>
    </sortState>
  </autoFilter>
  <mergeCells count="19">
    <mergeCell ref="B2:L4"/>
    <mergeCell ref="C128:C135"/>
    <mergeCell ref="C8:K9"/>
    <mergeCell ref="M8:T9"/>
    <mergeCell ref="S11:S13"/>
    <mergeCell ref="S14:S16"/>
    <mergeCell ref="S31:S33"/>
    <mergeCell ref="C161:C174"/>
    <mergeCell ref="E162:M163"/>
    <mergeCell ref="F164:G164"/>
    <mergeCell ref="H164:I164"/>
    <mergeCell ref="J164:K164"/>
    <mergeCell ref="L164:M164"/>
    <mergeCell ref="C137:C144"/>
    <mergeCell ref="E138:F140"/>
    <mergeCell ref="H138:I139"/>
    <mergeCell ref="C127:M127"/>
    <mergeCell ref="C146:C158"/>
    <mergeCell ref="E147:I147"/>
  </mergeCells>
  <conditionalFormatting sqref="K128">
    <cfRule type="cellIs" dxfId="485" priority="2324" operator="equal">
      <formula>"Positif"</formula>
    </cfRule>
    <cfRule type="cellIs" dxfId="484" priority="2325" operator="equal">
      <formula>"Negatif"</formula>
    </cfRule>
  </conditionalFormatting>
  <conditionalFormatting sqref="J100">
    <cfRule type="cellIs" dxfId="483" priority="2" operator="equal">
      <formula>"Positif"</formula>
    </cfRule>
    <cfRule type="cellIs" dxfId="482" priority="3" operator="equal">
      <formula>"Negatif"</formula>
    </cfRule>
  </conditionalFormatting>
  <conditionalFormatting sqref="J100">
    <cfRule type="cellIs" dxfId="481" priority="1" operator="equal">
      <formula>"négatif"</formula>
    </cfRule>
  </conditionalFormatting>
  <conditionalFormatting sqref="J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0" priority="5" operator="equal">
      <formula>"Negatif"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9" priority="8" operator="equal">
      <formula>"Negatif"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J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8" priority="11" operator="equal">
      <formula>"Negatif"</formula>
    </cfRule>
    <cfRule type="colorScale" priority="12">
      <colorScale>
        <cfvo type="min"/>
        <cfvo type="max"/>
        <color rgb="FFFF7128"/>
        <color rgb="FFFFEF9C"/>
      </colorScale>
    </cfRule>
  </conditionalFormatting>
  <dataValidations count="3">
    <dataValidation type="list" allowBlank="1" showInputMessage="1" showErrorMessage="1" sqref="I11:I17 I19:I70 I72:I102 I104:I108" xr:uid="{00000000-0002-0000-0600-000000000000}">
      <formula1>$E$149:$E$156</formula1>
    </dataValidation>
    <dataValidation type="list" allowBlank="1" showInputMessage="1" showErrorMessage="1" sqref="I18 I71" xr:uid="{00000000-0002-0000-0600-000001000000}">
      <formula1>$E$150:$E$157</formula1>
    </dataValidation>
    <dataValidation type="list" allowBlank="1" showInputMessage="1" showErrorMessage="1" sqref="I103" xr:uid="{00000000-0002-0000-0600-000002000000}">
      <formula1>$E$144:$E$151</formula1>
    </dataValidation>
  </dataValidations>
  <hyperlinks>
    <hyperlink ref="S11:S13" r:id="rId1" display="Lien" xr:uid="{00000000-0004-0000-0600-000000000000}"/>
    <hyperlink ref="S14:S16" r:id="rId2" display="Lien" xr:uid="{00000000-0004-0000-0600-000001000000}"/>
    <hyperlink ref="S17:S19" r:id="rId3" display="Lien" xr:uid="{00000000-0004-0000-0600-000002000000}"/>
    <hyperlink ref="S17" r:id="rId4" xr:uid="{00000000-0004-0000-0600-000003000000}"/>
    <hyperlink ref="S21:S23" r:id="rId5" display="Lien" xr:uid="{00000000-0004-0000-0600-000004000000}"/>
    <hyperlink ref="S31:S33" r:id="rId6" display="Lien" xr:uid="{00000000-0004-0000-0600-000005000000}"/>
    <hyperlink ref="S36:S38" r:id="rId7" display="Lien" xr:uid="{00000000-0004-0000-0600-000006000000}"/>
    <hyperlink ref="K11" r:id="rId8" xr:uid="{00000000-0004-0000-0600-000007000000}"/>
    <hyperlink ref="K12" r:id="rId9" xr:uid="{00000000-0004-0000-0600-000008000000}"/>
    <hyperlink ref="K13" r:id="rId10" xr:uid="{00000000-0004-0000-0600-000009000000}"/>
    <hyperlink ref="K14" r:id="rId11" xr:uid="{00000000-0004-0000-0600-00000A000000}"/>
    <hyperlink ref="K15" r:id="rId12" xr:uid="{00000000-0004-0000-0600-00000B000000}"/>
    <hyperlink ref="K17" r:id="rId13" xr:uid="{00000000-0004-0000-0600-00000C000000}"/>
    <hyperlink ref="K32" r:id="rId14" xr:uid="{00000000-0004-0000-0600-00000D000000}"/>
    <hyperlink ref="K34" r:id="rId15" xr:uid="{00000000-0004-0000-0600-00000E000000}"/>
    <hyperlink ref="K35" r:id="rId16" xr:uid="{00000000-0004-0000-0600-00000F000000}"/>
    <hyperlink ref="K37" r:id="rId17" xr:uid="{00000000-0004-0000-0600-000010000000}"/>
    <hyperlink ref="K38" r:id="rId18" xr:uid="{00000000-0004-0000-0600-000011000000}"/>
    <hyperlink ref="K39" r:id="rId19" xr:uid="{00000000-0004-0000-0600-000012000000}"/>
    <hyperlink ref="K40" r:id="rId20" xr:uid="{00000000-0004-0000-0600-000013000000}"/>
    <hyperlink ref="K42" r:id="rId21" xr:uid="{00000000-0004-0000-0600-000014000000}"/>
    <hyperlink ref="K43" r:id="rId22" xr:uid="{00000000-0004-0000-0600-000015000000}"/>
    <hyperlink ref="K44" r:id="rId23" xr:uid="{00000000-0004-0000-0600-000016000000}"/>
    <hyperlink ref="K45" r:id="rId24" xr:uid="{00000000-0004-0000-0600-000017000000}"/>
    <hyperlink ref="K47" r:id="rId25" xr:uid="{00000000-0004-0000-0600-000018000000}"/>
    <hyperlink ref="K48" r:id="rId26" xr:uid="{00000000-0004-0000-0600-000019000000}"/>
    <hyperlink ref="K49" r:id="rId27" xr:uid="{00000000-0004-0000-0600-00001A000000}"/>
    <hyperlink ref="K50" r:id="rId28" xr:uid="{00000000-0004-0000-0600-00001B000000}"/>
    <hyperlink ref="K53" r:id="rId29" xr:uid="{00000000-0004-0000-0600-00001C000000}"/>
    <hyperlink ref="K69" r:id="rId30" xr:uid="{00000000-0004-0000-0600-00001D000000}"/>
    <hyperlink ref="K70" r:id="rId31" xr:uid="{00000000-0004-0000-0600-00001E000000}"/>
    <hyperlink ref="K71" r:id="rId32" xr:uid="{00000000-0004-0000-0600-00001F000000}"/>
    <hyperlink ref="K72" r:id="rId33" xr:uid="{00000000-0004-0000-0600-000020000000}"/>
    <hyperlink ref="K54" r:id="rId34" xr:uid="{00000000-0004-0000-0600-000021000000}"/>
    <hyperlink ref="K22" r:id="rId35" xr:uid="{00000000-0004-0000-0600-000022000000}"/>
    <hyperlink ref="K74" r:id="rId36" xr:uid="{00000000-0004-0000-0600-000023000000}"/>
    <hyperlink ref="K56" r:id="rId37" xr:uid="{00000000-0004-0000-0600-000024000000}"/>
    <hyperlink ref="K24" r:id="rId38" xr:uid="{00000000-0004-0000-0600-000025000000}"/>
    <hyperlink ref="K25" r:id="rId39" xr:uid="{00000000-0004-0000-0600-000026000000}"/>
    <hyperlink ref="K26" r:id="rId40" xr:uid="{00000000-0004-0000-0600-000027000000}"/>
    <hyperlink ref="K79" r:id="rId41" xr:uid="{00000000-0004-0000-0600-000028000000}"/>
    <hyperlink ref="K81" r:id="rId42" xr:uid="{00000000-0004-0000-0600-000029000000}"/>
    <hyperlink ref="K82" r:id="rId43" xr:uid="{00000000-0004-0000-0600-00002A000000}"/>
    <hyperlink ref="K83" r:id="rId44" xr:uid="{00000000-0004-0000-0600-00002B000000}"/>
    <hyperlink ref="K84" r:id="rId45" xr:uid="{00000000-0004-0000-0600-00002C000000}"/>
    <hyperlink ref="K85" r:id="rId46" xr:uid="{00000000-0004-0000-0600-00002D000000}"/>
    <hyperlink ref="K75" r:id="rId47" xr:uid="{00000000-0004-0000-0600-00002E000000}"/>
    <hyperlink ref="K76" r:id="rId48" xr:uid="{00000000-0004-0000-0600-00002F000000}"/>
    <hyperlink ref="K57" r:id="rId49" xr:uid="{00000000-0004-0000-0600-000030000000}"/>
    <hyperlink ref="K58" r:id="rId50" xr:uid="{00000000-0004-0000-0600-000031000000}"/>
    <hyperlink ref="K27" r:id="rId51" xr:uid="{00000000-0004-0000-0600-000032000000}"/>
    <hyperlink ref="K60" r:id="rId52" xr:uid="{00000000-0004-0000-0600-000033000000}"/>
    <hyperlink ref="K61" r:id="rId53" xr:uid="{00000000-0004-0000-0600-000034000000}"/>
    <hyperlink ref="K88" r:id="rId54" xr:uid="{00000000-0004-0000-0600-000035000000}"/>
    <hyperlink ref="K28" r:id="rId55" xr:uid="{00000000-0004-0000-0600-000036000000}"/>
    <hyperlink ref="K90" r:id="rId56" xr:uid="{00000000-0004-0000-0600-000037000000}"/>
    <hyperlink ref="K78" r:id="rId57" xr:uid="{00000000-0004-0000-0600-000038000000}"/>
    <hyperlink ref="K62" r:id="rId58" xr:uid="{00000000-0004-0000-0600-000039000000}"/>
    <hyperlink ref="K63" r:id="rId59" xr:uid="{00000000-0004-0000-0600-00003A000000}"/>
    <hyperlink ref="K95" r:id="rId60" xr:uid="{00000000-0004-0000-0600-00003B000000}"/>
    <hyperlink ref="K96" r:id="rId61" xr:uid="{00000000-0004-0000-0600-00003C000000}"/>
    <hyperlink ref="K97" r:id="rId62" xr:uid="{00000000-0004-0000-0600-00003D000000}"/>
    <hyperlink ref="K98" r:id="rId63" xr:uid="{00000000-0004-0000-0600-00003E000000}"/>
    <hyperlink ref="K99" r:id="rId64" xr:uid="{00000000-0004-0000-0600-00003F000000}"/>
    <hyperlink ref="K91" r:id="rId65" xr:uid="{00000000-0004-0000-0600-000040000000}"/>
    <hyperlink ref="K94" r:id="rId66" xr:uid="{00000000-0004-0000-0600-000041000000}"/>
    <hyperlink ref="K92" r:id="rId67" xr:uid="{00000000-0004-0000-0600-000042000000}"/>
    <hyperlink ref="K87" r:id="rId68" xr:uid="{00000000-0004-0000-0600-000043000000}"/>
    <hyperlink ref="K89" r:id="rId69" xr:uid="{00000000-0004-0000-0600-000044000000}"/>
    <hyperlink ref="K105" r:id="rId70" xr:uid="{00000000-0004-0000-0600-000045000000}"/>
    <hyperlink ref="K108" r:id="rId71" xr:uid="{00000000-0004-0000-0600-000046000000}"/>
    <hyperlink ref="K103" r:id="rId72" xr:uid="{00000000-0004-0000-0600-000047000000}"/>
    <hyperlink ref="K101" r:id="rId73" xr:uid="{00000000-0004-0000-0600-000048000000}"/>
    <hyperlink ref="K29" r:id="rId74" display="\\Ntkd0\co\ZE0SF000\ENEDIS_COMMUNICATION_PYRENEES_LANDES\Relations presses\Mediascope - kantarmedia\Articles presse\2020\MARS\02- 03 -2020 - SO Landes - Une action pour proteger les cigognes.png" xr:uid="{00000000-0004-0000-0600-000049000000}"/>
    <hyperlink ref="K46" r:id="rId75" xr:uid="{00000000-0004-0000-0600-00004A000000}"/>
    <hyperlink ref="K51" r:id="rId76" xr:uid="{00000000-0004-0000-0600-00004B000000}"/>
    <hyperlink ref="K55" r:id="rId77" display="\\Ntkd0\co\ZE0SF000\ENEDIS_COMMUNICATION_PYRENEES_LANDES\Relations presses\Mediascope - kantarmedia\Articles presse\2020\MARS\04-03-2020 - AFP - Tempete Myriam.PNG" xr:uid="{00000000-0004-0000-0600-00004C000000}"/>
    <hyperlink ref="K59" r:id="rId78" display="\\Ntkd0\co\ZE0SF000\ENEDIS_COMMUNICATION_PYRENEES_LANDES\Relations presses\Mediascope - kantarmedia\Articles presse\2020\MARS\03-03-2020 - SO PB - Le béarn balayé , le PB epargné.pdf" xr:uid="{00000000-0004-0000-0600-00004D000000}"/>
    <hyperlink ref="K65" r:id="rId79" xr:uid="{00000000-0004-0000-0600-00004E000000}"/>
    <hyperlink ref="K86" r:id="rId80" xr:uid="{00000000-0004-0000-0600-00004F000000}"/>
    <hyperlink ref="K23" r:id="rId81" xr:uid="{00000000-0004-0000-0600-000050000000}"/>
    <hyperlink ref="K73" r:id="rId82" xr:uid="{00000000-0004-0000-0600-000051000000}"/>
    <hyperlink ref="K21" r:id="rId83" xr:uid="{00000000-0004-0000-0600-000052000000}"/>
    <hyperlink ref="K109" r:id="rId84" xr:uid="{00000000-0004-0000-0600-000053000000}"/>
    <hyperlink ref="K68" r:id="rId85" display="\\Ntkd0\co\ZE0SF000\ENEDIS_COMMUNICATION_PYRENEES_LANDES\Relations presses\Mediascope - kantarmedia\Articles presse\2020\MARS\04-03-2020 - RTL - Tempête Myriam.pdf" xr:uid="{00000000-0004-0000-0600-000054000000}"/>
    <hyperlink ref="K106" r:id="rId86" xr:uid="{00000000-0004-0000-0600-000055000000}"/>
    <hyperlink ref="K107" r:id="rId87" xr:uid="{00000000-0004-0000-0600-000056000000}"/>
  </hyperlinks>
  <pageMargins left="0.70866141732283472" right="0.70866141732283472" top="0.74803149606299213" bottom="0.74803149606299213" header="0.31496062992125984" footer="0.31496062992125984"/>
  <pageSetup paperSize="9" scale="22" fitToHeight="0" orientation="landscape" r:id="rId88"/>
  <legacyDrawing r:id="rId8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A1:AH171"/>
  <sheetViews>
    <sheetView topLeftCell="K10" zoomScale="70" zoomScaleNormal="70" workbookViewId="0">
      <selection activeCell="O16" sqref="O16"/>
    </sheetView>
  </sheetViews>
  <sheetFormatPr defaultColWidth="11" defaultRowHeight="15.75"/>
  <cols>
    <col min="1" max="1" width="4.25" style="446" customWidth="1"/>
    <col min="2" max="2" width="3.125" style="405" customWidth="1"/>
    <col min="3" max="3" width="7.75" style="548" customWidth="1"/>
    <col min="4" max="4" width="7.25" style="549" customWidth="1"/>
    <col min="5" max="5" width="85.625" style="550" customWidth="1"/>
    <col min="6" max="6" width="7.5" style="405" customWidth="1"/>
    <col min="7" max="7" width="7" style="551" customWidth="1"/>
    <col min="8" max="8" width="32.5" style="405" customWidth="1"/>
    <col min="9" max="9" width="19.5" style="405" customWidth="1"/>
    <col min="10" max="10" width="11" style="548" customWidth="1"/>
    <col min="11" max="11" width="8.75" style="405" customWidth="1"/>
    <col min="12" max="12" width="12.75" style="451" customWidth="1"/>
    <col min="13" max="13" width="17.25" style="547" customWidth="1"/>
    <col min="14" max="14" width="7.75" style="405" customWidth="1"/>
    <col min="15" max="15" width="119.75" style="405" customWidth="1"/>
    <col min="16" max="16" width="8.75" style="405" customWidth="1"/>
    <col min="17" max="17" width="7.75" style="405" customWidth="1"/>
    <col min="18" max="18" width="10.75" style="405" customWidth="1"/>
    <col min="19" max="19" width="7.5" style="405" customWidth="1"/>
    <col min="20" max="20" width="16.75" style="405" customWidth="1"/>
    <col min="21" max="22" width="11" style="405"/>
    <col min="23" max="23" width="11" style="446"/>
    <col min="24" max="24" width="37.125" style="405" customWidth="1"/>
    <col min="25" max="25" width="9.75" style="405" customWidth="1"/>
    <col min="26" max="26" width="24.125" style="405" customWidth="1"/>
    <col min="27" max="27" width="13" style="405" customWidth="1"/>
    <col min="28" max="28" width="16.125" style="405" customWidth="1"/>
    <col min="29" max="29" width="14.625" style="405" customWidth="1"/>
    <col min="30" max="30" width="15.75" style="405" customWidth="1"/>
    <col min="31" max="16384" width="11" style="405"/>
  </cols>
  <sheetData>
    <row r="1" spans="1:32" ht="24.75" customHeight="1" thickBot="1">
      <c r="A1" s="321"/>
      <c r="B1" s="321"/>
      <c r="C1" s="322"/>
      <c r="D1" s="323"/>
      <c r="E1" s="324"/>
      <c r="F1" s="321"/>
      <c r="G1" s="325"/>
      <c r="H1" s="321"/>
      <c r="I1" s="321"/>
      <c r="J1" s="322"/>
      <c r="K1" s="326"/>
      <c r="L1" s="327"/>
      <c r="M1" s="328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446"/>
      <c r="Z1" s="446"/>
      <c r="AA1" s="446"/>
      <c r="AB1" s="446"/>
      <c r="AC1" s="446"/>
      <c r="AD1" s="446"/>
      <c r="AE1" s="446"/>
      <c r="AF1" s="446"/>
    </row>
    <row r="2" spans="1:32" ht="15.75" customHeight="1">
      <c r="A2" s="321"/>
      <c r="B2" s="1557" t="s">
        <v>361</v>
      </c>
      <c r="C2" s="1558"/>
      <c r="D2" s="1558"/>
      <c r="E2" s="1558"/>
      <c r="F2" s="1558"/>
      <c r="G2" s="1558"/>
      <c r="H2" s="1558"/>
      <c r="I2" s="1558"/>
      <c r="J2" s="1558"/>
      <c r="K2" s="1558"/>
      <c r="L2" s="1559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446"/>
      <c r="Z2" s="446"/>
      <c r="AA2" s="446"/>
      <c r="AB2" s="446"/>
      <c r="AC2" s="446"/>
      <c r="AD2" s="446"/>
      <c r="AE2" s="446"/>
      <c r="AF2" s="446"/>
    </row>
    <row r="3" spans="1:32" ht="15.75" customHeight="1">
      <c r="A3" s="321"/>
      <c r="B3" s="1560"/>
      <c r="C3" s="1561"/>
      <c r="D3" s="1561"/>
      <c r="E3" s="1561"/>
      <c r="F3" s="1561"/>
      <c r="G3" s="1561"/>
      <c r="H3" s="1561"/>
      <c r="I3" s="1561"/>
      <c r="J3" s="1561"/>
      <c r="K3" s="1561"/>
      <c r="L3" s="1562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446"/>
      <c r="Z3" s="446"/>
      <c r="AA3" s="446"/>
      <c r="AB3" s="446"/>
      <c r="AC3" s="446"/>
      <c r="AD3" s="446"/>
      <c r="AE3" s="446"/>
      <c r="AF3" s="446"/>
    </row>
    <row r="4" spans="1:32" ht="15.75" customHeight="1" thickBot="1">
      <c r="A4" s="321"/>
      <c r="B4" s="1563"/>
      <c r="C4" s="1564"/>
      <c r="D4" s="1564"/>
      <c r="E4" s="1564"/>
      <c r="F4" s="1564"/>
      <c r="G4" s="1564"/>
      <c r="H4" s="1564"/>
      <c r="I4" s="1564"/>
      <c r="J4" s="1564"/>
      <c r="K4" s="1564"/>
      <c r="L4" s="1565"/>
      <c r="M4" s="321"/>
      <c r="N4" s="321"/>
      <c r="O4" s="321"/>
      <c r="P4" s="321"/>
      <c r="Q4" s="321"/>
      <c r="R4" s="321"/>
      <c r="S4" s="321"/>
      <c r="T4" s="321"/>
      <c r="U4" s="321"/>
      <c r="V4" s="321"/>
      <c r="W4" s="321"/>
      <c r="X4" s="321"/>
      <c r="Y4" s="446"/>
      <c r="Z4" s="446"/>
      <c r="AA4" s="446"/>
      <c r="AB4" s="446"/>
      <c r="AC4" s="446"/>
      <c r="AD4" s="446"/>
      <c r="AE4" s="446"/>
      <c r="AF4" s="446"/>
    </row>
    <row r="5" spans="1:32" ht="15.75" customHeight="1">
      <c r="A5" s="321"/>
      <c r="B5" s="326"/>
      <c r="C5" s="330"/>
      <c r="D5" s="331"/>
      <c r="E5" s="330"/>
      <c r="F5" s="330"/>
      <c r="G5" s="330"/>
      <c r="H5" s="330"/>
      <c r="I5" s="330"/>
      <c r="J5" s="330"/>
      <c r="K5" s="332"/>
      <c r="L5" s="332"/>
      <c r="M5" s="326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446"/>
      <c r="Z5" s="446"/>
      <c r="AA5" s="446"/>
      <c r="AB5" s="446"/>
      <c r="AC5" s="446"/>
      <c r="AD5" s="446"/>
      <c r="AE5" s="446"/>
      <c r="AF5" s="446"/>
    </row>
    <row r="6" spans="1:32" ht="15.75" customHeight="1" thickBot="1">
      <c r="A6" s="321"/>
      <c r="B6" s="326"/>
      <c r="C6" s="330"/>
      <c r="D6" s="331"/>
      <c r="E6" s="330"/>
      <c r="F6" s="330"/>
      <c r="G6" s="330"/>
      <c r="H6" s="330"/>
      <c r="I6" s="330"/>
      <c r="J6" s="330"/>
      <c r="K6" s="332"/>
      <c r="L6" s="332"/>
      <c r="M6" s="326"/>
      <c r="N6" s="321"/>
      <c r="O6" s="321"/>
      <c r="P6" s="321"/>
      <c r="Q6" s="321"/>
      <c r="R6" s="321"/>
      <c r="S6" s="321"/>
      <c r="T6" s="321"/>
      <c r="U6" s="321"/>
      <c r="V6" s="321"/>
      <c r="W6" s="321"/>
      <c r="X6" s="321"/>
      <c r="Y6" s="446"/>
      <c r="Z6" s="446"/>
      <c r="AA6" s="446"/>
      <c r="AB6" s="446"/>
      <c r="AC6" s="446"/>
      <c r="AD6" s="446"/>
      <c r="AE6" s="446"/>
      <c r="AF6" s="446"/>
    </row>
    <row r="7" spans="1:32" ht="21" customHeight="1" thickBot="1">
      <c r="A7" s="321"/>
      <c r="B7" s="333"/>
      <c r="C7" s="334"/>
      <c r="D7" s="335"/>
      <c r="E7" s="334"/>
      <c r="F7" s="334"/>
      <c r="G7" s="334"/>
      <c r="H7" s="334"/>
      <c r="I7" s="334"/>
      <c r="J7" s="334"/>
      <c r="K7" s="336"/>
      <c r="L7" s="336"/>
      <c r="M7" s="337"/>
      <c r="N7" s="337"/>
      <c r="O7" s="337"/>
      <c r="P7" s="337"/>
      <c r="Q7" s="337"/>
      <c r="R7" s="337"/>
      <c r="S7" s="337"/>
      <c r="T7" s="337"/>
      <c r="U7" s="338"/>
      <c r="V7" s="321"/>
      <c r="W7" s="321"/>
      <c r="X7" s="321"/>
      <c r="Y7" s="446"/>
      <c r="Z7" s="446"/>
      <c r="AA7" s="446"/>
      <c r="AB7" s="446"/>
      <c r="AC7" s="446"/>
      <c r="AD7" s="446"/>
      <c r="AE7" s="446"/>
      <c r="AF7" s="446"/>
    </row>
    <row r="8" spans="1:32" ht="15.75" customHeight="1">
      <c r="A8" s="321"/>
      <c r="B8" s="339"/>
      <c r="C8" s="1620" t="s">
        <v>64</v>
      </c>
      <c r="D8" s="1621"/>
      <c r="E8" s="1621"/>
      <c r="F8" s="1621"/>
      <c r="G8" s="1621"/>
      <c r="H8" s="1621"/>
      <c r="I8" s="1621"/>
      <c r="J8" s="1621"/>
      <c r="K8" s="1622"/>
      <c r="L8" s="340"/>
      <c r="M8" s="1648" t="s">
        <v>65</v>
      </c>
      <c r="N8" s="1649"/>
      <c r="O8" s="1649"/>
      <c r="P8" s="1649"/>
      <c r="Q8" s="1649"/>
      <c r="R8" s="1649"/>
      <c r="S8" s="1649"/>
      <c r="T8" s="1650"/>
      <c r="U8" s="341"/>
      <c r="V8" s="321"/>
      <c r="W8" s="321"/>
      <c r="X8" s="321"/>
      <c r="Y8" s="446"/>
      <c r="Z8" s="446"/>
      <c r="AA8" s="446"/>
      <c r="AB8" s="446"/>
      <c r="AC8" s="446"/>
      <c r="AD8" s="446"/>
      <c r="AE8" s="446"/>
      <c r="AF8" s="446"/>
    </row>
    <row r="9" spans="1:32" ht="15.75" customHeight="1">
      <c r="A9" s="321"/>
      <c r="B9" s="339"/>
      <c r="C9" s="1623"/>
      <c r="D9" s="1624"/>
      <c r="E9" s="1624"/>
      <c r="F9" s="1624"/>
      <c r="G9" s="1624"/>
      <c r="H9" s="1624"/>
      <c r="I9" s="1624"/>
      <c r="J9" s="1624"/>
      <c r="K9" s="1625"/>
      <c r="L9" s="340"/>
      <c r="M9" s="1651"/>
      <c r="N9" s="1652"/>
      <c r="O9" s="1652"/>
      <c r="P9" s="1652"/>
      <c r="Q9" s="1652"/>
      <c r="R9" s="1652"/>
      <c r="S9" s="1652"/>
      <c r="T9" s="1653"/>
      <c r="U9" s="341"/>
      <c r="V9" s="321"/>
      <c r="W9" s="321"/>
      <c r="X9" s="321"/>
      <c r="Y9" s="446"/>
      <c r="Z9" s="446"/>
      <c r="AA9" s="446"/>
      <c r="AB9" s="446"/>
      <c r="AC9" s="446"/>
      <c r="AD9" s="446"/>
      <c r="AE9" s="446"/>
      <c r="AF9" s="446"/>
    </row>
    <row r="10" spans="1:32" ht="30" customHeight="1">
      <c r="A10" s="321"/>
      <c r="B10" s="339"/>
      <c r="C10" s="797" t="s">
        <v>66</v>
      </c>
      <c r="D10" s="798" t="s">
        <v>67</v>
      </c>
      <c r="E10" s="799" t="s">
        <v>68</v>
      </c>
      <c r="F10" s="801" t="s">
        <v>69</v>
      </c>
      <c r="G10" s="801" t="s">
        <v>70</v>
      </c>
      <c r="H10" s="801" t="s">
        <v>71</v>
      </c>
      <c r="I10" s="801" t="s">
        <v>72</v>
      </c>
      <c r="J10" s="802" t="s">
        <v>73</v>
      </c>
      <c r="K10" s="840" t="s">
        <v>74</v>
      </c>
      <c r="L10" s="346"/>
      <c r="M10" s="735" t="s">
        <v>75</v>
      </c>
      <c r="N10" s="348" t="s">
        <v>76</v>
      </c>
      <c r="O10" s="349" t="s">
        <v>77</v>
      </c>
      <c r="P10" s="349" t="s">
        <v>69</v>
      </c>
      <c r="Q10" s="349" t="s">
        <v>70</v>
      </c>
      <c r="R10" s="349" t="s">
        <v>72</v>
      </c>
      <c r="S10" s="349" t="s">
        <v>74</v>
      </c>
      <c r="T10" s="350" t="s">
        <v>64</v>
      </c>
      <c r="U10" s="341"/>
      <c r="V10" s="321"/>
      <c r="W10" s="321"/>
      <c r="X10" s="321"/>
      <c r="Y10" s="446"/>
      <c r="Z10" s="446"/>
      <c r="AA10" s="446"/>
      <c r="AB10" s="446"/>
      <c r="AC10" s="446"/>
      <c r="AD10" s="446"/>
      <c r="AE10" s="446"/>
      <c r="AF10" s="446"/>
    </row>
    <row r="11" spans="1:32" s="448" customFormat="1" ht="16.5" customHeight="1">
      <c r="A11" s="351"/>
      <c r="B11" s="352"/>
      <c r="C11" s="1226">
        <v>43923</v>
      </c>
      <c r="D11" s="1059">
        <v>29</v>
      </c>
      <c r="E11" s="1069" t="s">
        <v>362</v>
      </c>
      <c r="F11" s="1137" t="s">
        <v>8</v>
      </c>
      <c r="G11" s="1133">
        <v>65</v>
      </c>
      <c r="H11" s="1062" t="s">
        <v>91</v>
      </c>
      <c r="I11" s="1062" t="s">
        <v>50</v>
      </c>
      <c r="J11" s="1134" t="s">
        <v>80</v>
      </c>
      <c r="K11" s="804" t="s">
        <v>81</v>
      </c>
      <c r="L11" s="353"/>
      <c r="M11" s="1227"/>
      <c r="N11" s="1228"/>
      <c r="O11" s="1229"/>
      <c r="P11" s="1230"/>
      <c r="Q11" s="1230"/>
      <c r="R11" s="1231"/>
      <c r="S11" s="1654" t="s">
        <v>81</v>
      </c>
      <c r="T11" s="1136"/>
      <c r="U11" s="356"/>
      <c r="V11" s="351"/>
      <c r="W11" s="351"/>
      <c r="X11" s="351"/>
      <c r="Y11" s="538"/>
      <c r="Z11" s="538"/>
      <c r="AA11" s="538"/>
      <c r="AB11" s="538"/>
      <c r="AC11" s="538"/>
      <c r="AD11" s="538"/>
      <c r="AE11" s="538"/>
      <c r="AF11" s="538"/>
    </row>
    <row r="12" spans="1:32" s="448" customFormat="1" ht="16.5" customHeight="1">
      <c r="A12" s="351"/>
      <c r="B12" s="352"/>
      <c r="C12" s="1226">
        <v>43923</v>
      </c>
      <c r="D12" s="1059">
        <v>29</v>
      </c>
      <c r="E12" s="1069" t="s">
        <v>362</v>
      </c>
      <c r="F12" s="1133" t="s">
        <v>9</v>
      </c>
      <c r="G12" s="1133">
        <v>65</v>
      </c>
      <c r="H12" s="1062" t="s">
        <v>91</v>
      </c>
      <c r="I12" s="1062" t="s">
        <v>50</v>
      </c>
      <c r="J12" s="1134" t="s">
        <v>80</v>
      </c>
      <c r="K12" s="804" t="s">
        <v>363</v>
      </c>
      <c r="L12" s="353"/>
      <c r="M12" s="1227">
        <v>43922</v>
      </c>
      <c r="N12" s="1228">
        <v>33</v>
      </c>
      <c r="O12" s="1229" t="s">
        <v>364</v>
      </c>
      <c r="P12" s="1230" t="s">
        <v>94</v>
      </c>
      <c r="Q12" s="1230">
        <v>64</v>
      </c>
      <c r="R12" s="1231" t="s">
        <v>365</v>
      </c>
      <c r="S12" s="1654"/>
      <c r="T12" s="1136">
        <f>COUNTIF(D:D,N12)+COUNTIF(Mai!D:D,N12)</f>
        <v>3</v>
      </c>
      <c r="U12" s="356"/>
      <c r="V12" s="351"/>
      <c r="W12" s="351"/>
      <c r="X12" s="351"/>
      <c r="Y12" s="538"/>
      <c r="Z12" s="538"/>
      <c r="AA12" s="538"/>
      <c r="AB12" s="538"/>
      <c r="AC12" s="538"/>
      <c r="AD12" s="538"/>
      <c r="AE12" s="538"/>
      <c r="AF12" s="538"/>
    </row>
    <row r="13" spans="1:32" s="448" customFormat="1" ht="16.5" customHeight="1">
      <c r="A13" s="351"/>
      <c r="B13" s="352"/>
      <c r="C13" s="1058">
        <v>43923</v>
      </c>
      <c r="D13" s="1059">
        <v>29</v>
      </c>
      <c r="E13" s="1071" t="s">
        <v>358</v>
      </c>
      <c r="F13" s="1137" t="s">
        <v>9</v>
      </c>
      <c r="G13" s="1133">
        <v>65</v>
      </c>
      <c r="H13" s="1062" t="s">
        <v>167</v>
      </c>
      <c r="I13" s="1062" t="s">
        <v>50</v>
      </c>
      <c r="J13" s="1134" t="s">
        <v>80</v>
      </c>
      <c r="K13" s="804" t="s">
        <v>363</v>
      </c>
      <c r="L13" s="353"/>
      <c r="M13" s="1227">
        <v>43922</v>
      </c>
      <c r="N13" s="1228">
        <v>34</v>
      </c>
      <c r="O13" s="1229" t="s">
        <v>364</v>
      </c>
      <c r="P13" s="1230" t="s">
        <v>94</v>
      </c>
      <c r="Q13" s="1230">
        <v>40</v>
      </c>
      <c r="R13" s="1231" t="s">
        <v>365</v>
      </c>
      <c r="S13" s="1654"/>
      <c r="T13" s="1136">
        <f>COUNTIF(D:D,N13)+COUNTIF(Mai!D:D,N13)</f>
        <v>2</v>
      </c>
      <c r="U13" s="356"/>
      <c r="V13" s="351"/>
      <c r="W13" s="351"/>
      <c r="X13" s="351"/>
      <c r="Y13" s="538"/>
      <c r="Z13" s="538"/>
      <c r="AA13" s="538"/>
      <c r="AB13" s="538"/>
      <c r="AC13" s="538"/>
      <c r="AD13" s="538"/>
      <c r="AE13" s="538"/>
      <c r="AF13" s="538"/>
    </row>
    <row r="14" spans="1:32" s="448" customFormat="1" ht="18" customHeight="1">
      <c r="A14" s="351"/>
      <c r="B14" s="352"/>
      <c r="C14" s="1058">
        <v>43924</v>
      </c>
      <c r="D14" s="1059">
        <v>34</v>
      </c>
      <c r="E14" s="1070" t="s">
        <v>366</v>
      </c>
      <c r="F14" s="1137" t="s">
        <v>9</v>
      </c>
      <c r="G14" s="1133">
        <v>40</v>
      </c>
      <c r="H14" s="1062" t="s">
        <v>367</v>
      </c>
      <c r="I14" s="1062" t="s">
        <v>48</v>
      </c>
      <c r="J14" s="1134" t="s">
        <v>80</v>
      </c>
      <c r="K14" s="839" t="s">
        <v>96</v>
      </c>
      <c r="L14" s="353"/>
      <c r="M14" s="1064">
        <v>43927</v>
      </c>
      <c r="N14" s="1065">
        <v>35</v>
      </c>
      <c r="O14" s="1066" t="s">
        <v>368</v>
      </c>
      <c r="P14" s="1067" t="s">
        <v>94</v>
      </c>
      <c r="Q14" s="1067">
        <v>40</v>
      </c>
      <c r="R14" s="1008" t="s">
        <v>365</v>
      </c>
      <c r="S14" s="1035" t="s">
        <v>81</v>
      </c>
      <c r="T14" s="1136">
        <f>COUNTIF(D:D,N14)+COUNTIF(Mai!D:D,N14)</f>
        <v>2</v>
      </c>
      <c r="U14" s="356"/>
      <c r="V14" s="351"/>
      <c r="W14" s="351"/>
      <c r="X14" s="351"/>
      <c r="Y14" s="538"/>
      <c r="Z14" s="538"/>
      <c r="AA14" s="538"/>
      <c r="AB14" s="538"/>
      <c r="AC14" s="538"/>
      <c r="AD14" s="538"/>
      <c r="AE14" s="538"/>
      <c r="AF14" s="538"/>
    </row>
    <row r="15" spans="1:32" s="448" customFormat="1" ht="24.75" customHeight="1">
      <c r="A15" s="351"/>
      <c r="B15" s="352"/>
      <c r="C15" s="1226">
        <v>43925</v>
      </c>
      <c r="D15" s="1059">
        <v>29</v>
      </c>
      <c r="E15" s="1078" t="s">
        <v>369</v>
      </c>
      <c r="F15" s="1137" t="s">
        <v>9</v>
      </c>
      <c r="G15" s="1133">
        <v>65</v>
      </c>
      <c r="H15" s="1062" t="s">
        <v>370</v>
      </c>
      <c r="I15" s="1062" t="s">
        <v>50</v>
      </c>
      <c r="J15" s="1134" t="s">
        <v>80</v>
      </c>
      <c r="K15" s="804" t="s">
        <v>96</v>
      </c>
      <c r="L15" s="358"/>
      <c r="M15" s="1064">
        <v>43931</v>
      </c>
      <c r="N15" s="1065">
        <v>36</v>
      </c>
      <c r="O15" s="1066" t="s">
        <v>371</v>
      </c>
      <c r="P15" s="1067" t="s">
        <v>83</v>
      </c>
      <c r="Q15" s="1067">
        <v>65</v>
      </c>
      <c r="R15" s="1008" t="s">
        <v>365</v>
      </c>
      <c r="S15" s="1655" t="s">
        <v>83</v>
      </c>
      <c r="T15" s="1136">
        <f>COUNTIF(D:D,N15)+COUNTIF(Mai!D:D,N15)</f>
        <v>3</v>
      </c>
      <c r="U15" s="341"/>
      <c r="V15" s="351"/>
      <c r="W15" s="351"/>
      <c r="X15" s="351"/>
      <c r="Y15" s="538"/>
      <c r="Z15" s="538"/>
      <c r="AA15" s="538"/>
      <c r="AB15" s="538"/>
      <c r="AC15" s="538"/>
      <c r="AD15" s="538"/>
      <c r="AE15" s="538"/>
      <c r="AF15" s="538"/>
    </row>
    <row r="16" spans="1:32" ht="30" customHeight="1">
      <c r="A16" s="321"/>
      <c r="B16" s="339"/>
      <c r="C16" s="1081">
        <v>43925</v>
      </c>
      <c r="D16" s="1059">
        <v>37</v>
      </c>
      <c r="E16" s="1078" t="s">
        <v>372</v>
      </c>
      <c r="F16" s="1137" t="s">
        <v>9</v>
      </c>
      <c r="G16" s="1144">
        <v>64</v>
      </c>
      <c r="H16" s="1078" t="s">
        <v>176</v>
      </c>
      <c r="I16" s="1062" t="s">
        <v>50</v>
      </c>
      <c r="J16" s="1134" t="s">
        <v>80</v>
      </c>
      <c r="K16" s="804" t="s">
        <v>96</v>
      </c>
      <c r="L16" s="359"/>
      <c r="M16" s="1064">
        <v>43931</v>
      </c>
      <c r="N16" s="1065">
        <v>37</v>
      </c>
      <c r="O16" s="1066" t="s">
        <v>371</v>
      </c>
      <c r="P16" s="1067" t="s">
        <v>83</v>
      </c>
      <c r="Q16" s="1067">
        <v>64</v>
      </c>
      <c r="R16" s="1008" t="s">
        <v>365</v>
      </c>
      <c r="S16" s="1655"/>
      <c r="T16" s="1136">
        <f>COUNTIF(D:D,N16)+COUNTIF(Mai!D:D,N16)</f>
        <v>4</v>
      </c>
      <c r="U16" s="341"/>
      <c r="V16" s="321"/>
      <c r="W16" s="321"/>
      <c r="X16" s="321"/>
      <c r="Y16" s="446"/>
      <c r="Z16" s="446"/>
      <c r="AA16" s="446"/>
      <c r="AB16" s="446"/>
      <c r="AC16" s="446"/>
      <c r="AD16" s="446"/>
      <c r="AE16" s="446"/>
      <c r="AF16" s="446"/>
    </row>
    <row r="17" spans="1:32" s="451" customFormat="1" ht="27.75" customHeight="1">
      <c r="A17" s="360"/>
      <c r="B17" s="361"/>
      <c r="C17" s="1058">
        <v>43927</v>
      </c>
      <c r="D17" s="1059"/>
      <c r="E17" s="1072" t="s">
        <v>373</v>
      </c>
      <c r="F17" s="1137" t="s">
        <v>8</v>
      </c>
      <c r="G17" s="1133">
        <v>64</v>
      </c>
      <c r="H17" s="1062" t="s">
        <v>353</v>
      </c>
      <c r="I17" s="1062" t="s">
        <v>53</v>
      </c>
      <c r="J17" s="1134" t="s">
        <v>80</v>
      </c>
      <c r="K17" s="804" t="s">
        <v>81</v>
      </c>
      <c r="L17" s="358"/>
      <c r="M17" s="1064">
        <v>43931</v>
      </c>
      <c r="N17" s="1065">
        <v>38</v>
      </c>
      <c r="O17" s="1066" t="s">
        <v>371</v>
      </c>
      <c r="P17" s="1067" t="s">
        <v>83</v>
      </c>
      <c r="Q17" s="1067">
        <v>40</v>
      </c>
      <c r="R17" s="1008" t="s">
        <v>365</v>
      </c>
      <c r="S17" s="1655"/>
      <c r="T17" s="1136">
        <f>COUNTIF(D:D,N17)+COUNTIF(Mai!D:D,N17)</f>
        <v>2</v>
      </c>
      <c r="U17" s="341"/>
      <c r="V17" s="360"/>
      <c r="W17" s="360"/>
      <c r="X17" s="360"/>
      <c r="Y17" s="488"/>
      <c r="Z17" s="488"/>
      <c r="AA17" s="488"/>
      <c r="AB17" s="488"/>
      <c r="AC17" s="488"/>
      <c r="AD17" s="488"/>
      <c r="AE17" s="488"/>
      <c r="AF17" s="488"/>
    </row>
    <row r="18" spans="1:32" s="451" customFormat="1">
      <c r="A18" s="360"/>
      <c r="B18" s="361"/>
      <c r="C18" s="1058">
        <v>43930</v>
      </c>
      <c r="D18" s="1059">
        <v>29</v>
      </c>
      <c r="E18" s="1143" t="s">
        <v>374</v>
      </c>
      <c r="F18" s="1137" t="s">
        <v>8</v>
      </c>
      <c r="G18" s="1133">
        <v>65</v>
      </c>
      <c r="H18" s="1062" t="s">
        <v>167</v>
      </c>
      <c r="I18" s="1062" t="s">
        <v>50</v>
      </c>
      <c r="J18" s="1134" t="s">
        <v>80</v>
      </c>
      <c r="K18" s="804" t="s">
        <v>81</v>
      </c>
      <c r="L18" s="358"/>
      <c r="M18" s="1064">
        <v>43937</v>
      </c>
      <c r="N18" s="1065">
        <v>39</v>
      </c>
      <c r="O18" s="1066" t="s">
        <v>375</v>
      </c>
      <c r="P18" s="1067" t="s">
        <v>83</v>
      </c>
      <c r="Q18" s="1232">
        <v>65</v>
      </c>
      <c r="R18" s="1179" t="s">
        <v>376</v>
      </c>
      <c r="S18" s="1655" t="s">
        <v>81</v>
      </c>
      <c r="T18" s="1136">
        <f>COUNTIF(D:D,N18)+COUNTIF(Mai!D:D,N18)</f>
        <v>0</v>
      </c>
      <c r="U18" s="341"/>
      <c r="V18" s="360"/>
      <c r="W18" s="360"/>
      <c r="X18" s="360"/>
      <c r="Y18" s="488"/>
      <c r="Z18" s="488"/>
      <c r="AA18" s="488"/>
      <c r="AB18" s="488"/>
      <c r="AC18" s="488"/>
      <c r="AD18" s="488"/>
      <c r="AE18" s="488"/>
      <c r="AF18" s="488"/>
    </row>
    <row r="19" spans="1:32" s="451" customFormat="1">
      <c r="A19" s="360"/>
      <c r="B19" s="361"/>
      <c r="C19" s="1058">
        <v>43930</v>
      </c>
      <c r="D19" s="1059">
        <v>37</v>
      </c>
      <c r="E19" s="1071" t="s">
        <v>377</v>
      </c>
      <c r="F19" s="1133" t="s">
        <v>10</v>
      </c>
      <c r="G19" s="1133">
        <v>64</v>
      </c>
      <c r="H19" s="1062" t="s">
        <v>378</v>
      </c>
      <c r="I19" s="1062" t="s">
        <v>51</v>
      </c>
      <c r="J19" s="1134" t="s">
        <v>80</v>
      </c>
      <c r="K19" s="839" t="s">
        <v>96</v>
      </c>
      <c r="L19" s="358"/>
      <c r="M19" s="1064">
        <v>43937</v>
      </c>
      <c r="N19" s="1067">
        <v>40</v>
      </c>
      <c r="O19" s="1066" t="s">
        <v>375</v>
      </c>
      <c r="P19" s="1067" t="s">
        <v>83</v>
      </c>
      <c r="Q19" s="1067">
        <v>64</v>
      </c>
      <c r="R19" s="1179" t="s">
        <v>376</v>
      </c>
      <c r="S19" s="1655"/>
      <c r="T19" s="1136">
        <f>COUNTIF(D:D,N19)+COUNTIF(Mai!D:D,N19)</f>
        <v>1</v>
      </c>
      <c r="U19" s="341"/>
      <c r="V19" s="360"/>
      <c r="W19" s="360"/>
      <c r="X19" s="360"/>
      <c r="Y19" s="488"/>
      <c r="Z19" s="488"/>
      <c r="AA19" s="488"/>
      <c r="AB19" s="488"/>
      <c r="AC19" s="488"/>
      <c r="AD19" s="488"/>
      <c r="AE19" s="488"/>
      <c r="AF19" s="488"/>
    </row>
    <row r="20" spans="1:32" s="457" customFormat="1">
      <c r="A20" s="363"/>
      <c r="B20" s="364"/>
      <c r="C20" s="1058">
        <v>43930</v>
      </c>
      <c r="D20" s="1059">
        <v>37</v>
      </c>
      <c r="E20" s="1071" t="s">
        <v>379</v>
      </c>
      <c r="F20" s="1137" t="s">
        <v>10</v>
      </c>
      <c r="G20" s="1133">
        <v>64</v>
      </c>
      <c r="H20" s="1062" t="s">
        <v>380</v>
      </c>
      <c r="I20" s="1062" t="s">
        <v>51</v>
      </c>
      <c r="J20" s="1134" t="s">
        <v>80</v>
      </c>
      <c r="K20" s="839" t="s">
        <v>96</v>
      </c>
      <c r="L20" s="353"/>
      <c r="M20" s="1064">
        <v>43937</v>
      </c>
      <c r="N20" s="1233">
        <v>41</v>
      </c>
      <c r="O20" s="1066" t="s">
        <v>375</v>
      </c>
      <c r="P20" s="1067" t="s">
        <v>83</v>
      </c>
      <c r="Q20" s="1232">
        <v>40</v>
      </c>
      <c r="R20" s="1008" t="s">
        <v>376</v>
      </c>
      <c r="S20" s="1655"/>
      <c r="T20" s="1136">
        <f>COUNTIF(D:D,N20)+COUNTIF(Mai!D:D,N20)</f>
        <v>2</v>
      </c>
      <c r="U20" s="341"/>
      <c r="V20" s="363"/>
      <c r="W20" s="363"/>
      <c r="X20" s="363"/>
      <c r="Y20" s="539"/>
      <c r="Z20" s="539"/>
      <c r="AA20" s="539"/>
      <c r="AB20" s="539"/>
      <c r="AC20" s="539"/>
      <c r="AD20" s="539"/>
      <c r="AE20" s="539"/>
      <c r="AF20" s="539"/>
    </row>
    <row r="21" spans="1:32" s="451" customFormat="1">
      <c r="A21" s="360"/>
      <c r="B21" s="361"/>
      <c r="C21" s="1226">
        <v>43931</v>
      </c>
      <c r="D21" s="1059">
        <v>37</v>
      </c>
      <c r="E21" s="862" t="s">
        <v>381</v>
      </c>
      <c r="F21" s="1137" t="s">
        <v>10</v>
      </c>
      <c r="G21" s="1133">
        <v>64</v>
      </c>
      <c r="H21" s="1078" t="s">
        <v>378</v>
      </c>
      <c r="I21" s="1062" t="s">
        <v>51</v>
      </c>
      <c r="J21" s="1134" t="s">
        <v>80</v>
      </c>
      <c r="K21" s="839" t="s">
        <v>96</v>
      </c>
      <c r="L21" s="353"/>
      <c r="M21" s="1064">
        <v>43944</v>
      </c>
      <c r="N21" s="1233">
        <v>42</v>
      </c>
      <c r="O21" s="728" t="s">
        <v>382</v>
      </c>
      <c r="P21" s="1067" t="s">
        <v>83</v>
      </c>
      <c r="Q21" s="1232">
        <v>65</v>
      </c>
      <c r="R21" s="1008" t="s">
        <v>376</v>
      </c>
      <c r="S21" s="1655" t="s">
        <v>81</v>
      </c>
      <c r="T21" s="1136">
        <f>COUNTIF(D:D,N21)+COUNTIF(Mai!D:D,N21)</f>
        <v>4</v>
      </c>
      <c r="U21" s="341"/>
      <c r="V21" s="360"/>
      <c r="W21" s="360"/>
      <c r="X21" s="360"/>
      <c r="Y21" s="488"/>
      <c r="Z21" s="488"/>
      <c r="AA21" s="488"/>
      <c r="AB21" s="488"/>
      <c r="AC21" s="488"/>
      <c r="AD21" s="488"/>
      <c r="AE21" s="488"/>
      <c r="AF21" s="488"/>
    </row>
    <row r="22" spans="1:32">
      <c r="A22" s="321"/>
      <c r="B22" s="339"/>
      <c r="C22" s="1081">
        <v>43931</v>
      </c>
      <c r="D22" s="1059">
        <v>36</v>
      </c>
      <c r="E22" s="1072" t="s">
        <v>383</v>
      </c>
      <c r="F22" s="1137" t="s">
        <v>9</v>
      </c>
      <c r="G22" s="1133">
        <v>65</v>
      </c>
      <c r="H22" s="1078" t="s">
        <v>167</v>
      </c>
      <c r="I22" s="1062" t="s">
        <v>47</v>
      </c>
      <c r="J22" s="1134" t="s">
        <v>80</v>
      </c>
      <c r="K22" s="804" t="s">
        <v>96</v>
      </c>
      <c r="L22" s="353"/>
      <c r="M22" s="1064">
        <v>43944</v>
      </c>
      <c r="N22" s="1233">
        <v>43</v>
      </c>
      <c r="O22" s="728" t="s">
        <v>382</v>
      </c>
      <c r="P22" s="1067" t="s">
        <v>83</v>
      </c>
      <c r="Q22" s="1232">
        <v>64</v>
      </c>
      <c r="R22" s="1008" t="s">
        <v>376</v>
      </c>
      <c r="S22" s="1655"/>
      <c r="T22" s="1136">
        <f>COUNTIF(D:D,N22)+COUNTIF(Mai!D:D,N22)</f>
        <v>2</v>
      </c>
      <c r="U22" s="341"/>
      <c r="V22" s="321"/>
      <c r="W22" s="321"/>
      <c r="X22" s="321"/>
      <c r="Y22" s="446"/>
      <c r="Z22" s="446"/>
      <c r="AA22" s="446"/>
      <c r="AB22" s="446"/>
      <c r="AC22" s="446"/>
      <c r="AD22" s="446"/>
      <c r="AE22" s="446"/>
      <c r="AF22" s="446"/>
    </row>
    <row r="23" spans="1:32" s="451" customFormat="1">
      <c r="A23" s="360"/>
      <c r="B23" s="361"/>
      <c r="C23" s="1058">
        <v>43931</v>
      </c>
      <c r="D23" s="1059">
        <v>36</v>
      </c>
      <c r="E23" s="1143" t="s">
        <v>383</v>
      </c>
      <c r="F23" s="1137" t="s">
        <v>8</v>
      </c>
      <c r="G23" s="1133">
        <v>65</v>
      </c>
      <c r="H23" s="1071" t="s">
        <v>167</v>
      </c>
      <c r="I23" s="1062" t="s">
        <v>47</v>
      </c>
      <c r="J23" s="1134" t="s">
        <v>80</v>
      </c>
      <c r="K23" s="804" t="s">
        <v>81</v>
      </c>
      <c r="L23" s="358"/>
      <c r="M23" s="1064">
        <v>43944</v>
      </c>
      <c r="N23" s="1233">
        <v>44</v>
      </c>
      <c r="O23" s="728" t="s">
        <v>382</v>
      </c>
      <c r="P23" s="1067" t="s">
        <v>83</v>
      </c>
      <c r="Q23" s="1232">
        <v>40</v>
      </c>
      <c r="R23" s="1008" t="s">
        <v>376</v>
      </c>
      <c r="S23" s="1655"/>
      <c r="T23" s="1136">
        <f>COUNTIF(D:D,N23)+COUNTIF(Mai!D:D,N23)</f>
        <v>1</v>
      </c>
      <c r="U23" s="341"/>
      <c r="V23" s="360"/>
      <c r="W23" s="360"/>
      <c r="X23" s="360"/>
      <c r="Y23" s="488"/>
      <c r="Z23" s="488"/>
      <c r="AA23" s="488"/>
      <c r="AB23" s="488"/>
      <c r="AC23" s="488"/>
      <c r="AD23" s="488"/>
      <c r="AE23" s="488"/>
      <c r="AF23" s="488"/>
    </row>
    <row r="24" spans="1:32" s="451" customFormat="1">
      <c r="A24" s="360"/>
      <c r="B24" s="361"/>
      <c r="C24" s="1058">
        <v>43932</v>
      </c>
      <c r="D24" s="1059">
        <v>36</v>
      </c>
      <c r="E24" s="1143" t="s">
        <v>384</v>
      </c>
      <c r="F24" s="1137" t="s">
        <v>9</v>
      </c>
      <c r="G24" s="1133">
        <v>65</v>
      </c>
      <c r="H24" s="1143" t="s">
        <v>243</v>
      </c>
      <c r="I24" s="1062" t="s">
        <v>50</v>
      </c>
      <c r="J24" s="1134" t="s">
        <v>80</v>
      </c>
      <c r="K24" s="804" t="s">
        <v>96</v>
      </c>
      <c r="L24" s="370"/>
      <c r="M24" s="1064">
        <v>43951</v>
      </c>
      <c r="N24" s="1233">
        <v>45</v>
      </c>
      <c r="O24" s="728" t="s">
        <v>385</v>
      </c>
      <c r="P24" s="1067" t="s">
        <v>83</v>
      </c>
      <c r="Q24" s="1232">
        <v>40</v>
      </c>
      <c r="R24" s="1008" t="s">
        <v>376</v>
      </c>
      <c r="S24" s="1035" t="s">
        <v>81</v>
      </c>
      <c r="T24" s="1136">
        <f>COUNTIF(D:D,N24)+COUNTIF(Mai!D:D,N24)</f>
        <v>0</v>
      </c>
      <c r="U24" s="341"/>
      <c r="V24" s="360"/>
      <c r="W24" s="360"/>
      <c r="X24" s="360"/>
      <c r="Y24" s="488"/>
      <c r="Z24" s="488"/>
      <c r="AA24" s="488"/>
      <c r="AB24" s="488"/>
      <c r="AC24" s="488"/>
      <c r="AD24" s="488"/>
      <c r="AE24" s="488"/>
      <c r="AF24" s="488"/>
    </row>
    <row r="25" spans="1:32" ht="16.5" thickBot="1">
      <c r="A25" s="321"/>
      <c r="B25" s="339"/>
      <c r="C25" s="1226">
        <v>43934</v>
      </c>
      <c r="D25" s="1059">
        <v>35</v>
      </c>
      <c r="E25" s="862" t="s">
        <v>386</v>
      </c>
      <c r="F25" s="1137" t="s">
        <v>9</v>
      </c>
      <c r="G25" s="1133">
        <v>40</v>
      </c>
      <c r="H25" s="1078" t="s">
        <v>118</v>
      </c>
      <c r="I25" s="1062" t="s">
        <v>50</v>
      </c>
      <c r="J25" s="1134" t="s">
        <v>80</v>
      </c>
      <c r="K25" s="804" t="s">
        <v>96</v>
      </c>
      <c r="L25" s="370"/>
      <c r="M25" s="1073">
        <v>43949</v>
      </c>
      <c r="N25" s="1074">
        <v>46</v>
      </c>
      <c r="O25" s="1075" t="s">
        <v>387</v>
      </c>
      <c r="P25" s="1234" t="s">
        <v>94</v>
      </c>
      <c r="Q25" s="1235">
        <v>40</v>
      </c>
      <c r="R25" s="1208" t="s">
        <v>48</v>
      </c>
      <c r="S25" s="857"/>
      <c r="T25" s="1140">
        <f>COUNTIF(D:D,N25)+COUNTIF(Mai!D:D,N25)</f>
        <v>2</v>
      </c>
      <c r="U25" s="341"/>
      <c r="V25" s="321"/>
      <c r="W25" s="321"/>
      <c r="X25" s="321"/>
      <c r="Y25" s="446"/>
      <c r="Z25" s="446"/>
      <c r="AA25" s="446"/>
      <c r="AB25" s="446"/>
      <c r="AC25" s="446"/>
      <c r="AD25" s="446"/>
      <c r="AE25" s="446"/>
      <c r="AF25" s="446"/>
    </row>
    <row r="26" spans="1:32" ht="16.5" thickBot="1">
      <c r="A26" s="321"/>
      <c r="B26" s="339"/>
      <c r="C26" s="1058">
        <v>43934</v>
      </c>
      <c r="D26" s="1059">
        <v>35</v>
      </c>
      <c r="E26" s="862" t="s">
        <v>386</v>
      </c>
      <c r="F26" s="1137" t="s">
        <v>8</v>
      </c>
      <c r="G26" s="1133">
        <v>40</v>
      </c>
      <c r="H26" s="1060" t="s">
        <v>85</v>
      </c>
      <c r="I26" s="1062" t="s">
        <v>50</v>
      </c>
      <c r="J26" s="1134" t="s">
        <v>80</v>
      </c>
      <c r="K26" s="804" t="s">
        <v>81</v>
      </c>
      <c r="L26" s="370"/>
      <c r="M26" s="1073"/>
      <c r="N26" s="1074"/>
      <c r="O26" s="1075"/>
      <c r="P26" s="1234"/>
      <c r="Q26" s="1235"/>
      <c r="R26" s="1208"/>
      <c r="S26" s="857"/>
      <c r="T26" s="1140"/>
      <c r="U26" s="341"/>
      <c r="V26" s="321"/>
      <c r="W26" s="321"/>
      <c r="X26" s="321"/>
      <c r="Y26" s="446"/>
      <c r="Z26" s="446"/>
      <c r="AA26" s="446"/>
      <c r="AB26" s="446"/>
      <c r="AC26" s="446"/>
      <c r="AD26" s="446"/>
      <c r="AE26" s="446"/>
      <c r="AF26" s="446"/>
    </row>
    <row r="27" spans="1:32" ht="16.5" thickBot="1">
      <c r="A27" s="321"/>
      <c r="B27" s="339"/>
      <c r="C27" s="1081">
        <v>43935</v>
      </c>
      <c r="D27" s="1059">
        <v>40</v>
      </c>
      <c r="E27" s="1143" t="s">
        <v>388</v>
      </c>
      <c r="F27" s="1137" t="s">
        <v>8</v>
      </c>
      <c r="G27" s="1144">
        <v>64</v>
      </c>
      <c r="H27" s="1062" t="s">
        <v>109</v>
      </c>
      <c r="I27" s="1062" t="s">
        <v>50</v>
      </c>
      <c r="J27" s="1134" t="s">
        <v>80</v>
      </c>
      <c r="K27" s="804" t="s">
        <v>81</v>
      </c>
      <c r="L27" s="370"/>
      <c r="M27" s="1073">
        <v>43950</v>
      </c>
      <c r="N27" s="1074">
        <v>467</v>
      </c>
      <c r="O27" s="1075" t="s">
        <v>389</v>
      </c>
      <c r="P27" s="1234" t="s">
        <v>83</v>
      </c>
      <c r="Q27" s="1235">
        <v>65</v>
      </c>
      <c r="R27" s="1208" t="s">
        <v>50</v>
      </c>
      <c r="S27" s="857"/>
      <c r="T27" s="1140">
        <f>COUNTIF(D:D,N27)+COUNTIF(Mai!D:D,N27)</f>
        <v>1</v>
      </c>
      <c r="U27" s="475"/>
      <c r="V27" s="446"/>
      <c r="X27" s="446"/>
      <c r="Y27" s="446"/>
      <c r="Z27" s="446"/>
      <c r="AA27" s="446"/>
      <c r="AB27" s="446"/>
      <c r="AC27" s="446"/>
      <c r="AD27" s="446"/>
      <c r="AE27" s="446"/>
      <c r="AF27" s="446"/>
    </row>
    <row r="28" spans="1:32" ht="16.5" thickBot="1">
      <c r="A28" s="321"/>
      <c r="B28" s="339"/>
      <c r="C28" s="1081">
        <v>43936</v>
      </c>
      <c r="D28" s="1059">
        <v>33</v>
      </c>
      <c r="E28" s="1072" t="s">
        <v>390</v>
      </c>
      <c r="F28" s="1137" t="s">
        <v>9</v>
      </c>
      <c r="G28" s="1133">
        <v>64</v>
      </c>
      <c r="H28" s="1078" t="s">
        <v>118</v>
      </c>
      <c r="I28" s="1062" t="s">
        <v>50</v>
      </c>
      <c r="J28" s="1134" t="s">
        <v>80</v>
      </c>
      <c r="K28" s="804" t="s">
        <v>96</v>
      </c>
      <c r="L28" s="358"/>
      <c r="M28" s="1073"/>
      <c r="N28" s="1074"/>
      <c r="O28" s="1075"/>
      <c r="P28" s="1234"/>
      <c r="Q28" s="1235"/>
      <c r="R28" s="1208"/>
      <c r="S28" s="857"/>
      <c r="T28" s="1140"/>
      <c r="U28" s="475"/>
      <c r="V28" s="446"/>
      <c r="X28" s="446"/>
      <c r="Y28" s="446"/>
      <c r="Z28" s="446"/>
      <c r="AA28" s="446"/>
      <c r="AB28" s="446"/>
      <c r="AC28" s="446"/>
      <c r="AD28" s="446"/>
      <c r="AE28" s="446"/>
      <c r="AF28" s="446"/>
    </row>
    <row r="29" spans="1:32" s="451" customFormat="1" ht="23.25" customHeight="1">
      <c r="A29" s="360"/>
      <c r="B29" s="361"/>
      <c r="C29" s="1081">
        <v>43936</v>
      </c>
      <c r="D29" s="1059">
        <v>33</v>
      </c>
      <c r="E29" s="1072" t="s">
        <v>390</v>
      </c>
      <c r="F29" s="1137" t="s">
        <v>9</v>
      </c>
      <c r="G29" s="1133">
        <v>64</v>
      </c>
      <c r="H29" s="1078" t="s">
        <v>234</v>
      </c>
      <c r="I29" s="1062" t="s">
        <v>50</v>
      </c>
      <c r="J29" s="1134" t="s">
        <v>80</v>
      </c>
      <c r="K29" s="804" t="s">
        <v>96</v>
      </c>
      <c r="L29" s="370"/>
      <c r="M29" s="1152" t="s">
        <v>266</v>
      </c>
      <c r="N29" s="489"/>
      <c r="O29" s="542"/>
      <c r="P29" s="806"/>
      <c r="Q29" s="542"/>
      <c r="R29" s="542"/>
      <c r="S29" s="542"/>
      <c r="T29" s="542"/>
      <c r="U29" s="543"/>
      <c r="V29" s="488"/>
      <c r="W29" s="488"/>
      <c r="X29" s="488"/>
      <c r="Y29" s="488"/>
      <c r="Z29" s="488"/>
      <c r="AA29" s="488"/>
      <c r="AB29" s="488"/>
      <c r="AC29" s="488"/>
      <c r="AD29" s="488"/>
      <c r="AE29" s="488"/>
      <c r="AF29" s="488"/>
    </row>
    <row r="30" spans="1:32" s="451" customFormat="1" ht="21" customHeight="1">
      <c r="A30" s="360"/>
      <c r="B30" s="361"/>
      <c r="C30" s="1226">
        <v>43937</v>
      </c>
      <c r="D30" s="1059">
        <v>33</v>
      </c>
      <c r="E30" s="1072" t="s">
        <v>391</v>
      </c>
      <c r="F30" s="1137" t="s">
        <v>8</v>
      </c>
      <c r="G30" s="1133">
        <v>64</v>
      </c>
      <c r="H30" s="1062" t="s">
        <v>392</v>
      </c>
      <c r="I30" s="1062" t="s">
        <v>50</v>
      </c>
      <c r="J30" s="1134" t="s">
        <v>80</v>
      </c>
      <c r="K30" s="844"/>
      <c r="L30" s="370"/>
      <c r="M30" s="490" t="s">
        <v>128</v>
      </c>
      <c r="N30" s="450">
        <f>SUM(N31:N33)</f>
        <v>42</v>
      </c>
      <c r="O30" s="542"/>
      <c r="P30" s="806"/>
      <c r="Q30" s="542"/>
      <c r="R30" s="542"/>
      <c r="S30" s="542"/>
      <c r="T30" s="542"/>
      <c r="U30" s="543"/>
      <c r="V30" s="488"/>
      <c r="W30" s="488"/>
      <c r="X30" s="488"/>
      <c r="Y30" s="488"/>
      <c r="Z30" s="488"/>
      <c r="AA30" s="488"/>
      <c r="AB30" s="488"/>
      <c r="AC30" s="488"/>
      <c r="AD30" s="488"/>
      <c r="AE30" s="488"/>
      <c r="AF30" s="488"/>
    </row>
    <row r="31" spans="1:32" s="451" customFormat="1">
      <c r="A31" s="360"/>
      <c r="B31" s="361"/>
      <c r="C31" s="1058">
        <v>43938</v>
      </c>
      <c r="D31" s="1059">
        <v>34</v>
      </c>
      <c r="E31" s="1236" t="s">
        <v>393</v>
      </c>
      <c r="F31" s="1137" t="s">
        <v>9</v>
      </c>
      <c r="G31" s="1133">
        <v>40</v>
      </c>
      <c r="H31" s="1078" t="s">
        <v>394</v>
      </c>
      <c r="I31" s="1062" t="s">
        <v>51</v>
      </c>
      <c r="J31" s="1134" t="s">
        <v>80</v>
      </c>
      <c r="K31" s="844"/>
      <c r="L31" s="370"/>
      <c r="M31" s="491" t="s">
        <v>129</v>
      </c>
      <c r="N31" s="450">
        <f>COUNTIF(G$1:G194,40)</f>
        <v>16</v>
      </c>
      <c r="O31" s="542"/>
      <c r="P31" s="806"/>
      <c r="Q31" s="542"/>
      <c r="R31" s="542"/>
      <c r="S31" s="542"/>
      <c r="T31" s="542"/>
      <c r="U31" s="543"/>
      <c r="V31" s="488"/>
      <c r="W31" s="488"/>
      <c r="X31" s="488"/>
      <c r="Y31" s="488"/>
      <c r="Z31" s="488"/>
      <c r="AA31" s="488"/>
      <c r="AB31" s="488"/>
      <c r="AC31" s="488"/>
      <c r="AD31" s="488"/>
      <c r="AE31" s="488"/>
      <c r="AF31" s="488"/>
    </row>
    <row r="32" spans="1:32">
      <c r="A32" s="321"/>
      <c r="B32" s="339"/>
      <c r="C32" s="1226">
        <v>43943</v>
      </c>
      <c r="D32" s="1059"/>
      <c r="E32" s="1143" t="s">
        <v>395</v>
      </c>
      <c r="F32" s="1137" t="s">
        <v>8</v>
      </c>
      <c r="G32" s="1133">
        <v>64</v>
      </c>
      <c r="H32" s="1062" t="s">
        <v>396</v>
      </c>
      <c r="I32" s="1237"/>
      <c r="J32" s="1134" t="s">
        <v>80</v>
      </c>
      <c r="K32" s="804" t="s">
        <v>397</v>
      </c>
      <c r="L32" s="370"/>
      <c r="M32" s="491" t="s">
        <v>132</v>
      </c>
      <c r="N32" s="450">
        <f>COUNTIF(G$1:G194,65)</f>
        <v>13</v>
      </c>
      <c r="O32" s="480"/>
      <c r="P32" s="806"/>
      <c r="Q32" s="480"/>
      <c r="R32" s="480"/>
      <c r="S32" s="480"/>
      <c r="T32" s="480"/>
      <c r="U32" s="475"/>
      <c r="V32" s="446"/>
      <c r="X32" s="446"/>
      <c r="Y32" s="446"/>
      <c r="Z32" s="446"/>
      <c r="AA32" s="446"/>
      <c r="AB32" s="446"/>
      <c r="AC32" s="446"/>
      <c r="AD32" s="446"/>
      <c r="AE32" s="446"/>
      <c r="AF32" s="446"/>
    </row>
    <row r="33" spans="1:32" s="451" customFormat="1" ht="16.5" thickBot="1">
      <c r="A33" s="360"/>
      <c r="B33" s="361"/>
      <c r="C33" s="1081">
        <v>43944</v>
      </c>
      <c r="D33" s="1059">
        <v>42</v>
      </c>
      <c r="E33" s="1079" t="s">
        <v>398</v>
      </c>
      <c r="F33" s="1137" t="s">
        <v>9</v>
      </c>
      <c r="G33" s="1144">
        <v>65</v>
      </c>
      <c r="H33" s="1062" t="s">
        <v>167</v>
      </c>
      <c r="I33" s="1062" t="s">
        <v>47</v>
      </c>
      <c r="J33" s="1134" t="s">
        <v>80</v>
      </c>
      <c r="K33" s="804" t="s">
        <v>96</v>
      </c>
      <c r="L33" s="370"/>
      <c r="M33" s="492" t="s">
        <v>134</v>
      </c>
      <c r="N33" s="456">
        <f>COUNTIF(G$1:G194,64)</f>
        <v>13</v>
      </c>
      <c r="O33" s="542"/>
      <c r="P33" s="806"/>
      <c r="Q33" s="542"/>
      <c r="R33" s="542"/>
      <c r="S33" s="542"/>
      <c r="T33" s="542"/>
      <c r="U33" s="543"/>
      <c r="V33" s="488"/>
      <c r="W33" s="488"/>
      <c r="X33" s="488"/>
      <c r="Y33" s="488"/>
      <c r="Z33" s="488"/>
      <c r="AA33" s="488"/>
      <c r="AB33" s="488"/>
      <c r="AC33" s="488"/>
      <c r="AD33" s="488"/>
      <c r="AE33" s="488"/>
      <c r="AF33" s="488"/>
    </row>
    <row r="34" spans="1:32">
      <c r="A34" s="321"/>
      <c r="B34" s="339"/>
      <c r="C34" s="1226">
        <v>43944</v>
      </c>
      <c r="D34" s="1059">
        <v>42</v>
      </c>
      <c r="E34" s="1078" t="s">
        <v>398</v>
      </c>
      <c r="F34" s="1137" t="s">
        <v>9</v>
      </c>
      <c r="G34" s="1133">
        <v>65</v>
      </c>
      <c r="H34" s="1078" t="s">
        <v>243</v>
      </c>
      <c r="I34" s="1062" t="s">
        <v>47</v>
      </c>
      <c r="J34" s="1134" t="s">
        <v>80</v>
      </c>
      <c r="K34" s="804" t="s">
        <v>96</v>
      </c>
      <c r="L34" s="358"/>
      <c r="M34" s="544"/>
      <c r="N34" s="480"/>
      <c r="O34" s="480"/>
      <c r="P34" s="806"/>
      <c r="Q34" s="480"/>
      <c r="R34" s="480"/>
      <c r="S34" s="480"/>
      <c r="T34" s="480"/>
      <c r="U34" s="475"/>
      <c r="V34" s="446"/>
      <c r="X34" s="446"/>
      <c r="Y34" s="446"/>
      <c r="Z34" s="446"/>
      <c r="AA34" s="446"/>
      <c r="AB34" s="446"/>
      <c r="AC34" s="446"/>
      <c r="AD34" s="446"/>
      <c r="AE34" s="446"/>
      <c r="AF34" s="446"/>
    </row>
    <row r="35" spans="1:32" s="451" customFormat="1">
      <c r="A35" s="360"/>
      <c r="B35" s="361"/>
      <c r="C35" s="1226">
        <v>43944</v>
      </c>
      <c r="D35" s="1059">
        <v>42</v>
      </c>
      <c r="E35" s="1143" t="s">
        <v>399</v>
      </c>
      <c r="F35" s="1137" t="s">
        <v>8</v>
      </c>
      <c r="G35" s="1133">
        <v>65</v>
      </c>
      <c r="H35" s="1062" t="s">
        <v>167</v>
      </c>
      <c r="I35" s="1062" t="s">
        <v>47</v>
      </c>
      <c r="J35" s="1134" t="s">
        <v>80</v>
      </c>
      <c r="K35" s="804" t="s">
        <v>81</v>
      </c>
      <c r="L35" s="358"/>
      <c r="M35" s="544"/>
      <c r="N35" s="542"/>
      <c r="O35" s="542"/>
      <c r="P35" s="806"/>
      <c r="Q35" s="542"/>
      <c r="R35" s="542"/>
      <c r="S35" s="542"/>
      <c r="T35" s="542"/>
      <c r="U35" s="543"/>
      <c r="V35" s="488"/>
      <c r="W35" s="488"/>
      <c r="X35" s="488"/>
      <c r="Y35" s="488"/>
      <c r="Z35" s="488"/>
      <c r="AA35" s="488"/>
      <c r="AB35" s="488"/>
      <c r="AC35" s="488"/>
      <c r="AD35" s="488"/>
      <c r="AE35" s="488"/>
      <c r="AF35" s="488"/>
    </row>
    <row r="36" spans="1:32" s="451" customFormat="1">
      <c r="A36" s="360"/>
      <c r="B36" s="361"/>
      <c r="C36" s="1226">
        <v>43945</v>
      </c>
      <c r="D36" s="1059"/>
      <c r="E36" s="1069" t="s">
        <v>400</v>
      </c>
      <c r="F36" s="1137" t="s">
        <v>8</v>
      </c>
      <c r="G36" s="1133">
        <v>64</v>
      </c>
      <c r="H36" s="1062" t="s">
        <v>401</v>
      </c>
      <c r="I36" s="1062" t="s">
        <v>53</v>
      </c>
      <c r="J36" s="1142" t="s">
        <v>92</v>
      </c>
      <c r="K36" s="804" t="s">
        <v>81</v>
      </c>
      <c r="L36" s="358"/>
      <c r="M36" s="812"/>
      <c r="N36" s="542"/>
      <c r="O36" s="542"/>
      <c r="P36" s="806"/>
      <c r="Q36" s="542"/>
      <c r="R36" s="542"/>
      <c r="S36" s="542"/>
      <c r="T36" s="542"/>
      <c r="U36" s="543"/>
      <c r="V36" s="488"/>
      <c r="W36" s="488"/>
      <c r="X36" s="488"/>
      <c r="Y36" s="488"/>
      <c r="Z36" s="488"/>
      <c r="AA36" s="488"/>
      <c r="AB36" s="488"/>
      <c r="AC36" s="488"/>
      <c r="AD36" s="488"/>
      <c r="AE36" s="488"/>
      <c r="AF36" s="488"/>
    </row>
    <row r="37" spans="1:32" s="451" customFormat="1">
      <c r="A37" s="360"/>
      <c r="B37" s="361"/>
      <c r="C37" s="1081">
        <v>43946</v>
      </c>
      <c r="D37" s="1059"/>
      <c r="E37" s="1072" t="s">
        <v>402</v>
      </c>
      <c r="F37" s="1137" t="s">
        <v>8</v>
      </c>
      <c r="G37" s="1133">
        <v>40</v>
      </c>
      <c r="H37" s="1078" t="s">
        <v>392</v>
      </c>
      <c r="I37" s="1062" t="s">
        <v>51</v>
      </c>
      <c r="J37" s="1134" t="s">
        <v>80</v>
      </c>
      <c r="K37" s="863"/>
      <c r="L37" s="358"/>
      <c r="M37" s="544"/>
      <c r="N37" s="542"/>
      <c r="O37" s="542"/>
      <c r="P37" s="806"/>
      <c r="Q37" s="542"/>
      <c r="R37" s="542"/>
      <c r="S37" s="542"/>
      <c r="T37" s="542"/>
      <c r="U37" s="543"/>
      <c r="V37" s="488"/>
      <c r="W37" s="488"/>
      <c r="X37" s="488"/>
      <c r="Y37" s="488"/>
      <c r="Z37" s="488"/>
      <c r="AA37" s="488"/>
      <c r="AB37" s="488"/>
      <c r="AC37" s="488"/>
      <c r="AD37" s="488"/>
      <c r="AE37" s="488"/>
      <c r="AF37" s="488"/>
    </row>
    <row r="38" spans="1:32" s="451" customFormat="1" ht="16.5" customHeight="1">
      <c r="A38" s="360"/>
      <c r="B38" s="361"/>
      <c r="C38" s="1226">
        <v>43946</v>
      </c>
      <c r="D38" s="1059"/>
      <c r="E38" s="1072" t="s">
        <v>403</v>
      </c>
      <c r="F38" s="1137" t="s">
        <v>8</v>
      </c>
      <c r="G38" s="1133">
        <v>40</v>
      </c>
      <c r="H38" s="1062" t="s">
        <v>392</v>
      </c>
      <c r="I38" s="1062" t="s">
        <v>51</v>
      </c>
      <c r="J38" s="1134" t="s">
        <v>80</v>
      </c>
      <c r="K38" s="844"/>
      <c r="L38" s="358"/>
      <c r="M38" s="544"/>
      <c r="N38" s="542"/>
      <c r="O38" s="542"/>
      <c r="P38" s="806"/>
      <c r="Q38" s="542"/>
      <c r="R38" s="542"/>
      <c r="S38" s="542"/>
      <c r="T38" s="542"/>
      <c r="U38" s="543"/>
      <c r="V38" s="488"/>
      <c r="W38" s="488"/>
      <c r="X38" s="488"/>
      <c r="Y38" s="488"/>
      <c r="Z38" s="488"/>
      <c r="AA38" s="488"/>
      <c r="AB38" s="488"/>
      <c r="AC38" s="488"/>
      <c r="AD38" s="488"/>
      <c r="AE38" s="488"/>
      <c r="AF38" s="488"/>
    </row>
    <row r="39" spans="1:32" s="451" customFormat="1">
      <c r="A39" s="360"/>
      <c r="B39" s="361"/>
      <c r="C39" s="1058">
        <v>43946</v>
      </c>
      <c r="D39" s="1059">
        <v>46</v>
      </c>
      <c r="E39" s="1072" t="s">
        <v>404</v>
      </c>
      <c r="F39" s="1137" t="s">
        <v>9</v>
      </c>
      <c r="G39" s="1133">
        <v>40</v>
      </c>
      <c r="H39" s="1078" t="s">
        <v>405</v>
      </c>
      <c r="I39" s="1062" t="s">
        <v>48</v>
      </c>
      <c r="J39" s="1134" t="s">
        <v>80</v>
      </c>
      <c r="K39" s="844"/>
      <c r="L39" s="358"/>
      <c r="M39" s="544"/>
      <c r="N39" s="545"/>
      <c r="O39" s="542"/>
      <c r="P39" s="806"/>
      <c r="Q39" s="542"/>
      <c r="R39" s="542"/>
      <c r="S39" s="542"/>
      <c r="T39" s="542"/>
      <c r="U39" s="543"/>
      <c r="V39" s="488"/>
      <c r="W39" s="488"/>
      <c r="X39" s="488"/>
      <c r="Y39" s="488"/>
      <c r="Z39" s="488"/>
      <c r="AA39" s="488"/>
      <c r="AB39" s="488"/>
      <c r="AC39" s="488"/>
      <c r="AD39" s="488"/>
      <c r="AE39" s="488"/>
      <c r="AF39" s="488"/>
    </row>
    <row r="40" spans="1:32" s="451" customFormat="1">
      <c r="A40" s="360"/>
      <c r="B40" s="361"/>
      <c r="C40" s="1081">
        <v>43946</v>
      </c>
      <c r="D40" s="1059">
        <v>46</v>
      </c>
      <c r="E40" s="1072" t="s">
        <v>406</v>
      </c>
      <c r="F40" s="1137" t="s">
        <v>9</v>
      </c>
      <c r="G40" s="1133">
        <v>40</v>
      </c>
      <c r="H40" s="1062" t="s">
        <v>407</v>
      </c>
      <c r="I40" s="1062" t="s">
        <v>48</v>
      </c>
      <c r="J40" s="1134" t="s">
        <v>80</v>
      </c>
      <c r="K40" s="863"/>
      <c r="L40" s="370"/>
      <c r="M40" s="806"/>
      <c r="N40" s="545"/>
      <c r="O40" s="542"/>
      <c r="P40" s="806"/>
      <c r="Q40" s="542"/>
      <c r="R40" s="542"/>
      <c r="S40" s="542"/>
      <c r="T40" s="542"/>
      <c r="U40" s="543"/>
      <c r="V40" s="488"/>
      <c r="W40" s="488"/>
      <c r="X40" s="488"/>
      <c r="Y40" s="488"/>
      <c r="Z40" s="488"/>
      <c r="AA40" s="488"/>
      <c r="AB40" s="488"/>
      <c r="AC40" s="488"/>
      <c r="AD40" s="488"/>
      <c r="AE40" s="488"/>
      <c r="AF40" s="488"/>
    </row>
    <row r="41" spans="1:32">
      <c r="A41" s="321"/>
      <c r="B41" s="339"/>
      <c r="C41" s="1226">
        <v>43948</v>
      </c>
      <c r="D41" s="1059">
        <v>43</v>
      </c>
      <c r="E41" s="1143" t="s">
        <v>408</v>
      </c>
      <c r="F41" s="1137" t="s">
        <v>9</v>
      </c>
      <c r="G41" s="1133">
        <v>64</v>
      </c>
      <c r="H41" s="1078" t="s">
        <v>176</v>
      </c>
      <c r="I41" s="1062" t="s">
        <v>50</v>
      </c>
      <c r="J41" s="1134" t="s">
        <v>80</v>
      </c>
      <c r="K41" s="804" t="s">
        <v>81</v>
      </c>
      <c r="L41" s="370"/>
      <c r="M41" s="806"/>
      <c r="N41" s="480"/>
      <c r="O41" s="480"/>
      <c r="P41" s="806"/>
      <c r="Q41" s="480"/>
      <c r="R41" s="480"/>
      <c r="S41" s="480"/>
      <c r="T41" s="480"/>
      <c r="U41" s="475"/>
      <c r="V41" s="446"/>
      <c r="X41" s="446"/>
      <c r="Y41" s="446"/>
      <c r="Z41" s="446"/>
      <c r="AA41" s="446"/>
      <c r="AB41" s="446"/>
      <c r="AC41" s="446"/>
      <c r="AD41" s="446"/>
      <c r="AE41" s="446"/>
      <c r="AF41" s="446"/>
    </row>
    <row r="42" spans="1:32">
      <c r="A42" s="321"/>
      <c r="B42" s="339"/>
      <c r="C42" s="1081">
        <v>43948</v>
      </c>
      <c r="D42" s="1059"/>
      <c r="E42" s="1078" t="s">
        <v>409</v>
      </c>
      <c r="F42" s="1137" t="s">
        <v>9</v>
      </c>
      <c r="G42" s="1133">
        <v>40</v>
      </c>
      <c r="H42" s="1078" t="s">
        <v>118</v>
      </c>
      <c r="I42" s="1062" t="s">
        <v>51</v>
      </c>
      <c r="J42" s="1134" t="s">
        <v>80</v>
      </c>
      <c r="K42" s="804" t="s">
        <v>96</v>
      </c>
      <c r="L42" s="370"/>
      <c r="M42" s="806"/>
      <c r="N42" s="480"/>
      <c r="O42" s="480"/>
      <c r="P42" s="806"/>
      <c r="Q42" s="480"/>
      <c r="R42" s="480"/>
      <c r="S42" s="480"/>
      <c r="T42" s="480"/>
      <c r="U42" s="475"/>
      <c r="V42" s="446"/>
      <c r="X42" s="446"/>
      <c r="Y42" s="446"/>
      <c r="Z42" s="446"/>
      <c r="AA42" s="446"/>
      <c r="AB42" s="446"/>
      <c r="AC42" s="446"/>
      <c r="AD42" s="446"/>
      <c r="AE42" s="446"/>
      <c r="AF42" s="446"/>
    </row>
    <row r="43" spans="1:32">
      <c r="A43" s="321"/>
      <c r="B43" s="339"/>
      <c r="C43" s="1226">
        <v>43949</v>
      </c>
      <c r="D43" s="1059">
        <v>43</v>
      </c>
      <c r="E43" s="1143" t="s">
        <v>410</v>
      </c>
      <c r="F43" s="1137" t="s">
        <v>8</v>
      </c>
      <c r="G43" s="1133">
        <v>64</v>
      </c>
      <c r="H43" s="1078" t="s">
        <v>109</v>
      </c>
      <c r="I43" s="1062" t="s">
        <v>51</v>
      </c>
      <c r="J43" s="1134" t="s">
        <v>80</v>
      </c>
      <c r="K43" s="804" t="s">
        <v>81</v>
      </c>
      <c r="L43" s="370"/>
      <c r="M43" s="806"/>
      <c r="N43" s="480"/>
      <c r="O43" s="480"/>
      <c r="P43" s="806"/>
      <c r="Q43" s="480"/>
      <c r="R43" s="480"/>
      <c r="S43" s="480"/>
      <c r="T43" s="480"/>
      <c r="U43" s="475"/>
      <c r="V43" s="446"/>
      <c r="X43" s="446"/>
      <c r="Y43" s="446"/>
      <c r="Z43" s="446"/>
      <c r="AA43" s="446"/>
      <c r="AB43" s="446"/>
      <c r="AC43" s="446"/>
      <c r="AD43" s="446"/>
      <c r="AE43" s="446"/>
      <c r="AF43" s="446"/>
    </row>
    <row r="44" spans="1:32">
      <c r="A44" s="321"/>
      <c r="B44" s="339"/>
      <c r="C44" s="1226">
        <v>43949</v>
      </c>
      <c r="D44" s="1059">
        <v>468</v>
      </c>
      <c r="E44" s="1062" t="s">
        <v>411</v>
      </c>
      <c r="F44" s="1137" t="s">
        <v>9</v>
      </c>
      <c r="G44" s="1133">
        <v>40</v>
      </c>
      <c r="H44" s="1071" t="s">
        <v>412</v>
      </c>
      <c r="I44" s="1062" t="s">
        <v>49</v>
      </c>
      <c r="J44" s="1134" t="s">
        <v>80</v>
      </c>
      <c r="K44" s="844"/>
      <c r="L44" s="375"/>
      <c r="M44" s="806"/>
      <c r="N44" s="480"/>
      <c r="O44" s="480"/>
      <c r="P44" s="806"/>
      <c r="Q44" s="480"/>
      <c r="R44" s="480"/>
      <c r="S44" s="480"/>
      <c r="T44" s="480"/>
      <c r="U44" s="475"/>
      <c r="V44" s="446"/>
      <c r="X44" s="446"/>
      <c r="Y44" s="446"/>
      <c r="Z44" s="446"/>
      <c r="AA44" s="446"/>
      <c r="AB44" s="446"/>
      <c r="AC44" s="446"/>
      <c r="AD44" s="446"/>
      <c r="AE44" s="446"/>
      <c r="AF44" s="446"/>
    </row>
    <row r="45" spans="1:32" s="451" customFormat="1" ht="16.5" thickBot="1">
      <c r="A45" s="360"/>
      <c r="B45" s="361"/>
      <c r="C45" s="1238">
        <v>43950</v>
      </c>
      <c r="D45" s="1089">
        <v>467</v>
      </c>
      <c r="E45" s="1239" t="s">
        <v>413</v>
      </c>
      <c r="F45" s="1240" t="s">
        <v>9</v>
      </c>
      <c r="G45" s="1241">
        <v>65</v>
      </c>
      <c r="H45" s="1093" t="s">
        <v>414</v>
      </c>
      <c r="I45" s="1093" t="s">
        <v>50</v>
      </c>
      <c r="J45" s="1219" t="s">
        <v>80</v>
      </c>
      <c r="K45" s="805" t="s">
        <v>96</v>
      </c>
      <c r="L45" s="358"/>
      <c r="M45" s="806"/>
      <c r="N45" s="542"/>
      <c r="O45" s="542"/>
      <c r="P45" s="806"/>
      <c r="Q45" s="542"/>
      <c r="R45" s="542"/>
      <c r="S45" s="542"/>
      <c r="T45" s="542"/>
      <c r="U45" s="543"/>
      <c r="V45" s="488"/>
      <c r="W45" s="488"/>
      <c r="X45" s="488"/>
      <c r="Y45" s="488"/>
      <c r="Z45" s="488"/>
      <c r="AA45" s="488"/>
      <c r="AB45" s="488"/>
      <c r="AC45" s="488"/>
      <c r="AD45" s="488"/>
      <c r="AE45" s="488"/>
      <c r="AF45" s="488"/>
    </row>
    <row r="46" spans="1:32" s="451" customFormat="1" ht="16.5" thickBot="1">
      <c r="A46" s="360"/>
      <c r="B46" s="361"/>
      <c r="C46" s="1238">
        <v>43934</v>
      </c>
      <c r="D46" s="1089">
        <v>41</v>
      </c>
      <c r="E46" s="1239" t="s">
        <v>415</v>
      </c>
      <c r="F46" s="1240" t="s">
        <v>8</v>
      </c>
      <c r="G46" s="1241">
        <v>40</v>
      </c>
      <c r="H46" s="1093" t="s">
        <v>416</v>
      </c>
      <c r="I46" s="1093" t="s">
        <v>47</v>
      </c>
      <c r="J46" s="1219" t="s">
        <v>80</v>
      </c>
      <c r="K46" s="805"/>
      <c r="L46" s="370"/>
      <c r="M46" s="807"/>
      <c r="N46" s="542"/>
      <c r="O46" s="542"/>
      <c r="P46" s="806"/>
      <c r="Q46" s="542"/>
      <c r="R46" s="542"/>
      <c r="S46" s="542"/>
      <c r="T46" s="542"/>
      <c r="U46" s="543"/>
      <c r="V46" s="488"/>
      <c r="W46" s="488"/>
      <c r="X46" s="488"/>
      <c r="Y46" s="488"/>
      <c r="Z46" s="488"/>
      <c r="AA46" s="488"/>
      <c r="AB46" s="488"/>
      <c r="AC46" s="488"/>
      <c r="AD46" s="488"/>
      <c r="AE46" s="488"/>
      <c r="AF46" s="488"/>
    </row>
    <row r="47" spans="1:32" s="451" customFormat="1" ht="16.5" thickBot="1">
      <c r="A47" s="360"/>
      <c r="B47" s="361"/>
      <c r="C47" s="1238">
        <v>43936</v>
      </c>
      <c r="D47" s="1089">
        <v>38</v>
      </c>
      <c r="E47" s="1239" t="s">
        <v>391</v>
      </c>
      <c r="F47" s="1240" t="s">
        <v>9</v>
      </c>
      <c r="G47" s="1241">
        <v>40</v>
      </c>
      <c r="H47" s="1093" t="s">
        <v>417</v>
      </c>
      <c r="I47" s="1093" t="s">
        <v>50</v>
      </c>
      <c r="J47" s="1219" t="s">
        <v>356</v>
      </c>
      <c r="K47" s="805"/>
      <c r="L47" s="370"/>
      <c r="M47" s="806"/>
      <c r="N47" s="542"/>
      <c r="O47" s="542"/>
      <c r="P47" s="806"/>
      <c r="Q47" s="542"/>
      <c r="R47" s="542"/>
      <c r="S47" s="542"/>
      <c r="T47" s="542"/>
      <c r="U47" s="543"/>
      <c r="V47" s="488"/>
      <c r="W47" s="488"/>
      <c r="X47" s="488"/>
      <c r="Y47" s="488"/>
      <c r="Z47" s="488"/>
      <c r="AA47" s="488"/>
      <c r="AB47" s="488"/>
      <c r="AC47" s="488"/>
      <c r="AD47" s="488"/>
      <c r="AE47" s="488"/>
      <c r="AF47" s="488"/>
    </row>
    <row r="48" spans="1:32" s="451" customFormat="1" ht="16.5" thickBot="1">
      <c r="A48" s="360"/>
      <c r="B48" s="361"/>
      <c r="C48" s="1238">
        <v>43937</v>
      </c>
      <c r="D48" s="1089">
        <v>38</v>
      </c>
      <c r="E48" s="1239" t="s">
        <v>391</v>
      </c>
      <c r="F48" s="1240" t="s">
        <v>418</v>
      </c>
      <c r="G48" s="1241">
        <v>40</v>
      </c>
      <c r="H48" s="1093" t="s">
        <v>417</v>
      </c>
      <c r="I48" s="1093" t="s">
        <v>50</v>
      </c>
      <c r="J48" s="1219" t="s">
        <v>356</v>
      </c>
      <c r="K48" s="805"/>
      <c r="L48" s="370"/>
      <c r="M48" s="806"/>
      <c r="N48" s="542"/>
      <c r="O48" s="542"/>
      <c r="P48" s="806"/>
      <c r="Q48" s="542"/>
      <c r="R48" s="542"/>
      <c r="S48" s="542"/>
      <c r="T48" s="542"/>
      <c r="U48" s="543"/>
      <c r="V48" s="488"/>
      <c r="W48" s="488"/>
      <c r="X48" s="488"/>
      <c r="Y48" s="488"/>
      <c r="Z48" s="488"/>
      <c r="AA48" s="488"/>
      <c r="AB48" s="488"/>
      <c r="AC48" s="488"/>
      <c r="AD48" s="488"/>
      <c r="AE48" s="488"/>
      <c r="AF48" s="488"/>
    </row>
    <row r="49" spans="1:34" s="451" customFormat="1" ht="16.5" thickBot="1">
      <c r="A49" s="360"/>
      <c r="B49" s="361"/>
      <c r="C49" s="1081">
        <v>43946</v>
      </c>
      <c r="D49" s="1059"/>
      <c r="E49" s="1072" t="s">
        <v>402</v>
      </c>
      <c r="F49" s="1137" t="s">
        <v>419</v>
      </c>
      <c r="G49" s="1133">
        <v>40</v>
      </c>
      <c r="H49" s="1078" t="s">
        <v>392</v>
      </c>
      <c r="I49" s="1062" t="s">
        <v>51</v>
      </c>
      <c r="J49" s="1134" t="s">
        <v>80</v>
      </c>
      <c r="K49" s="805"/>
      <c r="L49" s="732"/>
      <c r="M49" s="806"/>
      <c r="N49" s="542"/>
      <c r="O49" s="542"/>
      <c r="P49" s="806"/>
      <c r="Q49" s="542"/>
      <c r="R49" s="542"/>
      <c r="S49" s="542"/>
      <c r="T49" s="542"/>
      <c r="U49" s="543"/>
      <c r="V49" s="488"/>
      <c r="W49" s="488"/>
      <c r="X49" s="488"/>
      <c r="Y49" s="488"/>
      <c r="Z49" s="488"/>
      <c r="AA49" s="488"/>
      <c r="AB49" s="488"/>
      <c r="AC49" s="488"/>
      <c r="AD49" s="488"/>
      <c r="AE49" s="488"/>
      <c r="AF49" s="488"/>
    </row>
    <row r="50" spans="1:34" s="451" customFormat="1">
      <c r="A50" s="360"/>
      <c r="B50" s="361"/>
      <c r="C50" s="1081">
        <v>43925</v>
      </c>
      <c r="D50" s="1059">
        <v>44</v>
      </c>
      <c r="E50" s="1078" t="s">
        <v>372</v>
      </c>
      <c r="F50" s="1137" t="s">
        <v>9</v>
      </c>
      <c r="G50" s="1144">
        <v>40</v>
      </c>
      <c r="H50" s="1078" t="s">
        <v>176</v>
      </c>
      <c r="I50" s="1062" t="s">
        <v>47</v>
      </c>
      <c r="J50" s="1134" t="s">
        <v>80</v>
      </c>
      <c r="K50" s="804" t="s">
        <v>96</v>
      </c>
      <c r="L50" s="370"/>
      <c r="M50" s="806"/>
      <c r="N50" s="542"/>
      <c r="O50" s="542"/>
      <c r="P50" s="806"/>
      <c r="Q50" s="542"/>
      <c r="R50" s="542"/>
      <c r="S50" s="542"/>
      <c r="T50" s="542"/>
      <c r="U50" s="543"/>
      <c r="V50" s="488"/>
      <c r="W50" s="488"/>
      <c r="X50" s="488"/>
      <c r="Y50" s="488"/>
      <c r="Z50" s="488"/>
      <c r="AA50" s="488"/>
      <c r="AB50" s="488"/>
      <c r="AC50" s="488"/>
      <c r="AD50" s="488"/>
      <c r="AE50" s="488"/>
      <c r="AF50" s="488"/>
    </row>
    <row r="51" spans="1:34" s="451" customFormat="1">
      <c r="A51" s="360"/>
      <c r="B51" s="361"/>
      <c r="C51" s="1226">
        <v>43948</v>
      </c>
      <c r="D51" s="1059">
        <v>41</v>
      </c>
      <c r="E51" s="1143" t="s">
        <v>408</v>
      </c>
      <c r="F51" s="1137" t="s">
        <v>9</v>
      </c>
      <c r="G51" s="1133">
        <v>40</v>
      </c>
      <c r="H51" s="1078" t="s">
        <v>176</v>
      </c>
      <c r="I51" s="1062" t="s">
        <v>47</v>
      </c>
      <c r="J51" s="1134" t="s">
        <v>80</v>
      </c>
      <c r="K51" s="804" t="s">
        <v>81</v>
      </c>
      <c r="L51" s="375"/>
      <c r="M51" s="806"/>
      <c r="N51" s="542"/>
      <c r="O51" s="542"/>
      <c r="P51" s="806"/>
      <c r="Q51" s="542"/>
      <c r="R51" s="542"/>
      <c r="S51" s="542"/>
      <c r="T51" s="542"/>
      <c r="U51" s="543"/>
      <c r="V51" s="458"/>
      <c r="W51" s="488"/>
      <c r="X51" s="488"/>
      <c r="Y51" s="488"/>
      <c r="Z51" s="488"/>
      <c r="AA51" s="488"/>
      <c r="AB51" s="488"/>
      <c r="AC51" s="488"/>
      <c r="AD51" s="488"/>
      <c r="AE51" s="488"/>
      <c r="AF51" s="488"/>
    </row>
    <row r="52" spans="1:34" s="451" customFormat="1">
      <c r="A52" s="360"/>
      <c r="B52" s="361"/>
      <c r="C52" s="1226">
        <v>43950</v>
      </c>
      <c r="D52" s="1059"/>
      <c r="E52" s="1143" t="s">
        <v>420</v>
      </c>
      <c r="F52" s="1137" t="s">
        <v>419</v>
      </c>
      <c r="G52" s="1133" t="s">
        <v>421</v>
      </c>
      <c r="H52" s="1078" t="s">
        <v>422</v>
      </c>
      <c r="I52" s="1062" t="s">
        <v>47</v>
      </c>
      <c r="J52" s="1134"/>
      <c r="K52" s="804"/>
      <c r="L52" s="358"/>
      <c r="M52" s="806"/>
      <c r="N52" s="542"/>
      <c r="O52" s="542"/>
      <c r="P52" s="806"/>
      <c r="Q52" s="542"/>
      <c r="R52" s="542"/>
      <c r="S52" s="542"/>
      <c r="T52" s="542"/>
      <c r="U52" s="543"/>
      <c r="V52" s="458"/>
      <c r="W52" s="458"/>
      <c r="X52" s="484"/>
      <c r="Y52" s="454"/>
      <c r="Z52" s="485"/>
      <c r="AA52" s="1096"/>
      <c r="AB52" s="1096"/>
      <c r="AC52" s="1096"/>
      <c r="AD52" s="1096"/>
      <c r="AE52" s="454"/>
      <c r="AF52" s="454"/>
      <c r="AG52" s="405"/>
      <c r="AH52" s="405"/>
    </row>
    <row r="53" spans="1:34" s="451" customFormat="1">
      <c r="A53" s="360"/>
      <c r="B53" s="361"/>
      <c r="C53" s="1226">
        <v>43948</v>
      </c>
      <c r="D53" s="1059">
        <v>42</v>
      </c>
      <c r="E53" s="1143" t="s">
        <v>408</v>
      </c>
      <c r="F53" s="1137" t="s">
        <v>9</v>
      </c>
      <c r="G53" s="1133">
        <v>65</v>
      </c>
      <c r="H53" s="1078" t="s">
        <v>176</v>
      </c>
      <c r="I53" s="1062" t="s">
        <v>47</v>
      </c>
      <c r="J53" s="1134" t="s">
        <v>80</v>
      </c>
      <c r="K53" s="804" t="s">
        <v>81</v>
      </c>
      <c r="L53" s="358"/>
      <c r="M53" s="806"/>
      <c r="N53" s="542"/>
      <c r="O53" s="542"/>
      <c r="P53" s="806"/>
      <c r="Q53" s="542"/>
      <c r="R53" s="542"/>
      <c r="S53" s="542"/>
      <c r="T53" s="542"/>
      <c r="U53" s="543"/>
      <c r="V53" s="458"/>
      <c r="W53" s="458"/>
      <c r="X53" s="484"/>
      <c r="Y53" s="454"/>
      <c r="Z53" s="485"/>
      <c r="AA53" s="1096"/>
      <c r="AB53" s="1096"/>
      <c r="AC53" s="1096"/>
      <c r="AD53" s="1096"/>
      <c r="AE53" s="454"/>
      <c r="AF53" s="454"/>
      <c r="AG53" s="405"/>
      <c r="AH53" s="405"/>
    </row>
    <row r="54" spans="1:34" s="451" customFormat="1">
      <c r="A54" s="360"/>
      <c r="B54" s="361"/>
      <c r="C54" s="377"/>
      <c r="D54" s="706"/>
      <c r="E54" s="705"/>
      <c r="F54" s="379"/>
      <c r="G54" s="373"/>
      <c r="H54" s="358"/>
      <c r="I54" s="346"/>
      <c r="J54" s="1095"/>
      <c r="K54" s="373"/>
      <c r="L54" s="358"/>
      <c r="M54" s="806"/>
      <c r="N54" s="480"/>
      <c r="O54" s="542"/>
      <c r="P54" s="806"/>
      <c r="Q54" s="542"/>
      <c r="R54" s="542"/>
      <c r="S54" s="542"/>
      <c r="T54" s="542"/>
      <c r="U54" s="543"/>
      <c r="V54" s="458"/>
      <c r="W54" s="458"/>
      <c r="X54" s="484"/>
      <c r="Y54" s="454"/>
      <c r="Z54" s="485"/>
      <c r="AA54" s="1096"/>
      <c r="AB54" s="1096"/>
      <c r="AC54" s="1096"/>
      <c r="AD54" s="1096"/>
      <c r="AE54" s="454"/>
      <c r="AF54" s="454"/>
      <c r="AG54" s="405"/>
      <c r="AH54" s="405"/>
    </row>
    <row r="55" spans="1:34" s="451" customFormat="1">
      <c r="A55" s="360"/>
      <c r="B55" s="361"/>
      <c r="C55" s="377"/>
      <c r="D55" s="706"/>
      <c r="E55" s="707"/>
      <c r="F55" s="379"/>
      <c r="G55" s="373"/>
      <c r="H55" s="358"/>
      <c r="I55" s="346"/>
      <c r="J55" s="1095"/>
      <c r="K55" s="373"/>
      <c r="L55" s="358"/>
      <c r="M55" s="806"/>
      <c r="N55" s="480"/>
      <c r="O55" s="542"/>
      <c r="P55" s="828"/>
      <c r="Q55" s="542"/>
      <c r="R55" s="542"/>
      <c r="S55" s="542"/>
      <c r="T55" s="542"/>
      <c r="U55" s="543"/>
      <c r="V55" s="458"/>
      <c r="W55" s="458"/>
      <c r="X55" s="484"/>
      <c r="Y55" s="454"/>
      <c r="Z55" s="485"/>
      <c r="AA55" s="1096"/>
      <c r="AB55" s="1096"/>
      <c r="AC55" s="1096"/>
      <c r="AD55" s="1096"/>
      <c r="AE55" s="454"/>
      <c r="AF55" s="454"/>
      <c r="AG55" s="405"/>
      <c r="AH55" s="405"/>
    </row>
    <row r="56" spans="1:34" s="451" customFormat="1">
      <c r="A56" s="360"/>
      <c r="B56" s="361"/>
      <c r="C56" s="377"/>
      <c r="D56" s="706"/>
      <c r="E56" s="707"/>
      <c r="F56" s="379"/>
      <c r="G56" s="373"/>
      <c r="H56" s="359"/>
      <c r="I56" s="346"/>
      <c r="J56" s="1095"/>
      <c r="K56" s="373"/>
      <c r="L56" s="358"/>
      <c r="M56" s="806"/>
      <c r="N56" s="480"/>
      <c r="O56" s="542"/>
      <c r="P56" s="806"/>
      <c r="Q56" s="542"/>
      <c r="R56" s="542"/>
      <c r="S56" s="542"/>
      <c r="T56" s="542"/>
      <c r="U56" s="543"/>
      <c r="V56" s="458"/>
      <c r="W56" s="458"/>
      <c r="X56" s="484"/>
      <c r="Y56" s="454"/>
      <c r="Z56" s="485"/>
      <c r="AA56" s="1096"/>
      <c r="AB56" s="1096"/>
      <c r="AC56" s="1096"/>
      <c r="AD56" s="1096"/>
      <c r="AE56" s="454"/>
      <c r="AF56" s="454"/>
      <c r="AG56" s="405"/>
      <c r="AH56" s="405"/>
    </row>
    <row r="57" spans="1:34" s="451" customFormat="1">
      <c r="A57" s="360"/>
      <c r="B57" s="361"/>
      <c r="C57" s="377"/>
      <c r="D57" s="706"/>
      <c r="E57" s="707"/>
      <c r="F57" s="379"/>
      <c r="G57" s="373"/>
      <c r="H57" s="359"/>
      <c r="I57" s="346"/>
      <c r="J57" s="1095"/>
      <c r="K57" s="373"/>
      <c r="L57" s="358"/>
      <c r="M57" s="806"/>
      <c r="N57" s="480"/>
      <c r="O57" s="542"/>
      <c r="P57" s="806"/>
      <c r="Q57" s="542"/>
      <c r="R57" s="542"/>
      <c r="S57" s="542"/>
      <c r="T57" s="542"/>
      <c r="U57" s="543"/>
      <c r="V57" s="458"/>
      <c r="W57" s="458"/>
      <c r="X57" s="484"/>
      <c r="Y57" s="454"/>
      <c r="Z57" s="486"/>
      <c r="AA57" s="487"/>
      <c r="AB57" s="487"/>
      <c r="AC57" s="454"/>
      <c r="AD57" s="454"/>
      <c r="AE57" s="454"/>
      <c r="AF57" s="454"/>
      <c r="AG57" s="405"/>
      <c r="AH57" s="405"/>
    </row>
    <row r="58" spans="1:34" s="451" customFormat="1">
      <c r="A58" s="360"/>
      <c r="B58" s="361"/>
      <c r="C58" s="377"/>
      <c r="D58" s="706"/>
      <c r="E58" s="359"/>
      <c r="F58" s="379"/>
      <c r="G58" s="373"/>
      <c r="H58" s="346"/>
      <c r="I58" s="346"/>
      <c r="J58" s="1095"/>
      <c r="K58" s="373"/>
      <c r="L58" s="353"/>
      <c r="M58" s="806"/>
      <c r="N58" s="480"/>
      <c r="O58" s="542"/>
      <c r="P58" s="828"/>
      <c r="Q58" s="542"/>
      <c r="R58" s="542"/>
      <c r="S58" s="542"/>
      <c r="T58" s="542"/>
      <c r="U58" s="543"/>
      <c r="V58" s="458"/>
      <c r="W58" s="458"/>
      <c r="X58" s="484"/>
      <c r="Y58" s="454"/>
      <c r="Z58" s="454"/>
      <c r="AA58" s="454"/>
      <c r="AB58" s="454"/>
      <c r="AC58" s="454"/>
      <c r="AD58" s="454"/>
      <c r="AE58" s="454"/>
      <c r="AF58" s="454"/>
      <c r="AG58" s="405"/>
      <c r="AH58" s="405"/>
    </row>
    <row r="59" spans="1:34" s="451" customFormat="1">
      <c r="A59" s="360"/>
      <c r="B59" s="361"/>
      <c r="C59" s="377"/>
      <c r="D59" s="706"/>
      <c r="E59" s="359"/>
      <c r="F59" s="379"/>
      <c r="G59" s="373"/>
      <c r="H59" s="380"/>
      <c r="I59" s="346"/>
      <c r="J59" s="1095"/>
      <c r="K59" s="373"/>
      <c r="L59" s="353"/>
      <c r="M59" s="806"/>
      <c r="N59" s="480"/>
      <c r="O59" s="542"/>
      <c r="P59" s="806"/>
      <c r="Q59" s="542"/>
      <c r="R59" s="542"/>
      <c r="S59" s="542"/>
      <c r="T59" s="542"/>
      <c r="U59" s="543"/>
      <c r="V59" s="488"/>
      <c r="W59" s="488"/>
      <c r="X59" s="488"/>
      <c r="Y59" s="458"/>
      <c r="Z59" s="458"/>
      <c r="AA59" s="458"/>
      <c r="AB59" s="458"/>
      <c r="AC59" s="458"/>
      <c r="AD59" s="458"/>
      <c r="AE59" s="458"/>
      <c r="AF59" s="458"/>
    </row>
    <row r="60" spans="1:34" s="451" customFormat="1">
      <c r="A60" s="360"/>
      <c r="B60" s="361"/>
      <c r="C60" s="377"/>
      <c r="D60" s="378"/>
      <c r="E60" s="359"/>
      <c r="F60" s="379"/>
      <c r="G60" s="373"/>
      <c r="H60" s="380"/>
      <c r="I60" s="353"/>
      <c r="J60" s="353"/>
      <c r="K60" s="346"/>
      <c r="L60" s="346"/>
      <c r="M60" s="806"/>
      <c r="N60" s="480"/>
      <c r="O60" s="542"/>
      <c r="P60" s="828"/>
      <c r="Q60" s="542"/>
      <c r="R60" s="542"/>
      <c r="S60" s="542"/>
      <c r="T60" s="542"/>
      <c r="U60" s="543"/>
      <c r="V60" s="488"/>
      <c r="W60" s="488"/>
      <c r="X60" s="488"/>
      <c r="Y60" s="488"/>
      <c r="Z60" s="488"/>
      <c r="AA60" s="488"/>
      <c r="AB60" s="488"/>
      <c r="AC60" s="488"/>
      <c r="AD60" s="488"/>
      <c r="AE60" s="488"/>
      <c r="AF60" s="488"/>
    </row>
    <row r="61" spans="1:34" s="451" customFormat="1" ht="16.5" thickBot="1">
      <c r="A61" s="360"/>
      <c r="B61" s="381"/>
      <c r="C61" s="382"/>
      <c r="D61" s="383"/>
      <c r="E61" s="384"/>
      <c r="F61" s="382"/>
      <c r="G61" s="385"/>
      <c r="H61" s="386"/>
      <c r="I61" s="376"/>
      <c r="J61" s="387"/>
      <c r="K61" s="388"/>
      <c r="L61" s="388"/>
      <c r="M61" s="813"/>
      <c r="N61" s="482"/>
      <c r="O61" s="814"/>
      <c r="P61" s="813"/>
      <c r="Q61" s="814"/>
      <c r="R61" s="814"/>
      <c r="S61" s="814"/>
      <c r="T61" s="814"/>
      <c r="U61" s="815"/>
      <c r="V61" s="488"/>
      <c r="W61" s="488"/>
      <c r="X61" s="488"/>
      <c r="Y61" s="488"/>
      <c r="Z61" s="488"/>
      <c r="AA61" s="488"/>
      <c r="AB61" s="488"/>
      <c r="AC61" s="488"/>
      <c r="AD61" s="488"/>
      <c r="AE61" s="488"/>
      <c r="AF61" s="488"/>
    </row>
    <row r="62" spans="1:34" s="451" customFormat="1">
      <c r="A62" s="327"/>
      <c r="B62" s="327"/>
      <c r="C62" s="327"/>
      <c r="D62" s="391"/>
      <c r="E62" s="360"/>
      <c r="F62" s="360"/>
      <c r="G62" s="360"/>
      <c r="H62" s="360"/>
      <c r="I62" s="360"/>
      <c r="J62" s="360"/>
      <c r="K62" s="327"/>
      <c r="L62" s="327"/>
      <c r="M62" s="808"/>
      <c r="N62" s="454"/>
      <c r="O62" s="458"/>
      <c r="P62" s="808"/>
      <c r="Q62" s="458"/>
      <c r="R62" s="458"/>
      <c r="S62" s="458"/>
      <c r="T62" s="458"/>
      <c r="U62" s="458"/>
      <c r="V62" s="488"/>
      <c r="W62" s="488"/>
      <c r="X62" s="488"/>
      <c r="Y62" s="488"/>
      <c r="Z62" s="488"/>
      <c r="AA62" s="488"/>
      <c r="AB62" s="488"/>
      <c r="AC62" s="488"/>
      <c r="AD62" s="488"/>
      <c r="AE62" s="488"/>
      <c r="AF62" s="488"/>
    </row>
    <row r="63" spans="1:34">
      <c r="A63" s="326"/>
      <c r="B63" s="326"/>
      <c r="C63" s="327"/>
      <c r="D63" s="391"/>
      <c r="E63" s="360"/>
      <c r="F63" s="360"/>
      <c r="G63" s="360"/>
      <c r="H63" s="360"/>
      <c r="I63" s="360"/>
      <c r="J63" s="360"/>
      <c r="K63" s="327"/>
      <c r="L63" s="327"/>
      <c r="M63" s="808"/>
      <c r="N63" s="454"/>
      <c r="O63" s="809"/>
      <c r="P63" s="808"/>
      <c r="Q63" s="454"/>
      <c r="R63" s="454"/>
      <c r="S63" s="454"/>
      <c r="T63" s="454"/>
      <c r="U63" s="454"/>
      <c r="V63" s="446"/>
      <c r="X63" s="446"/>
      <c r="Y63" s="446"/>
      <c r="Z63" s="446"/>
      <c r="AA63" s="446"/>
      <c r="AB63" s="446"/>
      <c r="AC63" s="446"/>
      <c r="AD63" s="446"/>
      <c r="AE63" s="446"/>
      <c r="AF63" s="446"/>
    </row>
    <row r="64" spans="1:34" s="451" customFormat="1" ht="15.75" customHeight="1">
      <c r="A64" s="327"/>
      <c r="B64" s="327"/>
      <c r="C64" s="327"/>
      <c r="D64" s="391"/>
      <c r="E64" s="360"/>
      <c r="F64" s="360"/>
      <c r="G64" s="360"/>
      <c r="H64" s="360"/>
      <c r="I64" s="360"/>
      <c r="J64" s="360"/>
      <c r="K64" s="327"/>
      <c r="L64" s="327"/>
      <c r="M64" s="808"/>
      <c r="N64" s="458"/>
      <c r="O64" s="458"/>
      <c r="P64" s="458"/>
      <c r="Q64" s="458"/>
      <c r="R64" s="458"/>
      <c r="S64" s="458"/>
      <c r="T64" s="458"/>
      <c r="U64" s="45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</row>
    <row r="65" spans="1:32" s="451" customFormat="1">
      <c r="A65" s="360"/>
      <c r="B65" s="360"/>
      <c r="C65" s="360"/>
      <c r="D65" s="391"/>
      <c r="E65" s="360"/>
      <c r="F65" s="360"/>
      <c r="G65" s="360"/>
      <c r="H65" s="360"/>
      <c r="I65" s="360"/>
      <c r="J65" s="360"/>
      <c r="K65" s="327"/>
      <c r="L65" s="327"/>
      <c r="M65" s="808"/>
      <c r="N65" s="458"/>
      <c r="O65" s="458"/>
      <c r="P65" s="458"/>
      <c r="Q65" s="458"/>
      <c r="R65" s="458"/>
      <c r="S65" s="458"/>
      <c r="T65" s="458"/>
      <c r="U65" s="458"/>
      <c r="V65" s="488"/>
      <c r="W65" s="488"/>
      <c r="X65" s="488"/>
      <c r="Y65" s="488"/>
      <c r="Z65" s="488"/>
      <c r="AA65" s="488"/>
      <c r="AB65" s="488"/>
      <c r="AC65" s="488"/>
      <c r="AD65" s="488"/>
      <c r="AE65" s="488"/>
      <c r="AF65" s="488"/>
    </row>
    <row r="66" spans="1:32" s="451" customFormat="1">
      <c r="A66" s="360"/>
      <c r="B66" s="360"/>
      <c r="C66" s="360"/>
      <c r="D66" s="391"/>
      <c r="E66" s="360"/>
      <c r="F66" s="360"/>
      <c r="G66" s="360"/>
      <c r="H66" s="360"/>
      <c r="I66" s="360"/>
      <c r="J66" s="360"/>
      <c r="K66" s="327"/>
      <c r="L66" s="327"/>
      <c r="M66" s="810"/>
      <c r="N66" s="458"/>
      <c r="O66" s="458"/>
      <c r="P66" s="458"/>
      <c r="Q66" s="458"/>
      <c r="R66" s="458"/>
      <c r="S66" s="458"/>
      <c r="T66" s="458"/>
      <c r="U66" s="458"/>
      <c r="V66" s="488"/>
      <c r="W66" s="488"/>
      <c r="X66" s="488"/>
      <c r="Y66" s="488"/>
      <c r="Z66" s="488"/>
      <c r="AA66" s="488"/>
      <c r="AB66" s="488"/>
      <c r="AC66" s="488"/>
      <c r="AD66" s="488"/>
      <c r="AE66" s="488"/>
      <c r="AF66" s="488"/>
    </row>
    <row r="67" spans="1:32" s="451" customFormat="1">
      <c r="A67" s="360"/>
      <c r="B67" s="360"/>
      <c r="C67" s="360"/>
      <c r="D67" s="391"/>
      <c r="E67" s="360"/>
      <c r="F67" s="360"/>
      <c r="G67" s="360"/>
      <c r="H67" s="360"/>
      <c r="I67" s="360"/>
      <c r="J67" s="360"/>
      <c r="K67" s="327"/>
      <c r="L67" s="327"/>
      <c r="M67" s="808"/>
      <c r="N67" s="458"/>
      <c r="O67" s="458"/>
      <c r="P67" s="458"/>
      <c r="Q67" s="458"/>
      <c r="R67" s="458"/>
      <c r="S67" s="458"/>
      <c r="T67" s="458"/>
      <c r="U67" s="45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</row>
    <row r="68" spans="1:32" s="451" customFormat="1">
      <c r="A68" s="360"/>
      <c r="B68" s="360"/>
      <c r="C68" s="360"/>
      <c r="D68" s="391"/>
      <c r="E68" s="360"/>
      <c r="F68" s="360"/>
      <c r="G68" s="360"/>
      <c r="H68" s="360"/>
      <c r="I68" s="360"/>
      <c r="J68" s="360"/>
      <c r="K68" s="360"/>
      <c r="L68" s="360"/>
      <c r="M68" s="810"/>
      <c r="N68" s="488"/>
      <c r="O68" s="488"/>
      <c r="P68" s="488"/>
      <c r="Q68" s="488"/>
      <c r="R68" s="488"/>
      <c r="S68" s="488"/>
      <c r="T68" s="488"/>
      <c r="U68" s="488"/>
      <c r="V68" s="488"/>
      <c r="W68" s="488"/>
      <c r="X68" s="488"/>
      <c r="Y68" s="488"/>
      <c r="Z68" s="488"/>
      <c r="AA68" s="488"/>
      <c r="AB68" s="488"/>
      <c r="AC68" s="488"/>
      <c r="AD68" s="488"/>
      <c r="AE68" s="488"/>
      <c r="AF68" s="488"/>
    </row>
    <row r="69" spans="1:32" s="451" customFormat="1">
      <c r="A69" s="360"/>
      <c r="B69" s="360"/>
      <c r="C69" s="360"/>
      <c r="D69" s="391"/>
      <c r="E69" s="360"/>
      <c r="F69" s="360"/>
      <c r="G69" s="360"/>
      <c r="H69" s="360"/>
      <c r="I69" s="360"/>
      <c r="J69" s="360"/>
      <c r="K69" s="360"/>
      <c r="L69" s="360"/>
      <c r="M69" s="808"/>
      <c r="N69" s="488"/>
      <c r="O69" s="488"/>
      <c r="P69" s="488"/>
      <c r="Q69" s="488"/>
      <c r="R69" s="488"/>
      <c r="S69" s="488"/>
      <c r="T69" s="488"/>
      <c r="U69" s="488"/>
      <c r="V69" s="488"/>
      <c r="W69" s="488"/>
      <c r="X69" s="488"/>
      <c r="Y69" s="488"/>
      <c r="Z69" s="488"/>
      <c r="AA69" s="488"/>
      <c r="AB69" s="488"/>
      <c r="AC69" s="488"/>
      <c r="AD69" s="488"/>
      <c r="AE69" s="488"/>
      <c r="AF69" s="488"/>
    </row>
    <row r="70" spans="1:32" s="451" customFormat="1">
      <c r="A70" s="360"/>
      <c r="B70" s="360"/>
      <c r="C70" s="360"/>
      <c r="D70" s="391"/>
      <c r="E70" s="360"/>
      <c r="F70" s="360"/>
      <c r="G70" s="360"/>
      <c r="H70" s="360"/>
      <c r="I70" s="360"/>
      <c r="J70" s="360"/>
      <c r="K70" s="360"/>
      <c r="L70" s="360"/>
      <c r="M70" s="80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</row>
    <row r="71" spans="1:32" s="451" customFormat="1">
      <c r="A71" s="360"/>
      <c r="B71" s="360"/>
      <c r="C71" s="360"/>
      <c r="D71" s="391"/>
      <c r="E71" s="360"/>
      <c r="F71" s="360"/>
      <c r="G71" s="360"/>
      <c r="H71" s="360"/>
      <c r="I71" s="360"/>
      <c r="J71" s="360"/>
      <c r="K71" s="360"/>
      <c r="L71" s="360"/>
      <c r="M71" s="810"/>
      <c r="N71" s="488"/>
      <c r="O71" s="488"/>
      <c r="P71" s="488"/>
      <c r="Q71" s="488"/>
      <c r="R71" s="488"/>
      <c r="S71" s="488"/>
      <c r="T71" s="488"/>
      <c r="U71" s="488"/>
      <c r="V71" s="488"/>
      <c r="W71" s="488"/>
      <c r="X71" s="488"/>
      <c r="Y71" s="488"/>
      <c r="Z71" s="488"/>
      <c r="AA71" s="488"/>
      <c r="AB71" s="488"/>
      <c r="AC71" s="488"/>
      <c r="AD71" s="488"/>
      <c r="AE71" s="488"/>
      <c r="AF71" s="488"/>
    </row>
    <row r="72" spans="1:32" s="451" customFormat="1">
      <c r="A72" s="360"/>
      <c r="B72" s="360"/>
      <c r="C72" s="368"/>
      <c r="D72" s="393"/>
      <c r="E72" s="324"/>
      <c r="F72" s="321"/>
      <c r="G72" s="325"/>
      <c r="H72" s="321"/>
      <c r="I72" s="351"/>
      <c r="J72" s="322"/>
      <c r="K72" s="360"/>
      <c r="L72" s="360"/>
      <c r="M72" s="810"/>
      <c r="N72" s="488"/>
      <c r="O72" s="488"/>
      <c r="P72" s="488"/>
      <c r="Q72" s="488"/>
      <c r="R72" s="488"/>
      <c r="S72" s="488"/>
      <c r="T72" s="488"/>
      <c r="U72" s="488"/>
      <c r="V72" s="488"/>
      <c r="W72" s="488"/>
      <c r="X72" s="488"/>
      <c r="Y72" s="488"/>
      <c r="Z72" s="488"/>
      <c r="AA72" s="488"/>
      <c r="AB72" s="488"/>
      <c r="AC72" s="488"/>
      <c r="AD72" s="488"/>
      <c r="AE72" s="488"/>
      <c r="AF72" s="488"/>
    </row>
    <row r="73" spans="1:32" s="451" customFormat="1">
      <c r="A73" s="360"/>
      <c r="B73" s="360"/>
      <c r="C73" s="322"/>
      <c r="D73" s="323"/>
      <c r="E73" s="360"/>
      <c r="F73" s="360"/>
      <c r="G73" s="360"/>
      <c r="H73" s="360"/>
      <c r="I73" s="360"/>
      <c r="J73" s="360"/>
      <c r="K73" s="360"/>
      <c r="L73" s="360"/>
      <c r="M73" s="810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</row>
    <row r="74" spans="1:32" s="451" customFormat="1">
      <c r="A74" s="360"/>
      <c r="B74" s="360"/>
      <c r="C74" s="322"/>
      <c r="D74" s="323"/>
      <c r="E74" s="360"/>
      <c r="F74" s="360"/>
      <c r="G74" s="360"/>
      <c r="H74" s="360"/>
      <c r="I74" s="360"/>
      <c r="J74" s="360"/>
      <c r="K74" s="360"/>
      <c r="L74" s="360"/>
      <c r="M74" s="810"/>
      <c r="N74" s="488"/>
      <c r="O74" s="488"/>
      <c r="P74" s="488"/>
      <c r="Q74" s="488"/>
      <c r="R74" s="488"/>
      <c r="S74" s="488"/>
      <c r="T74" s="488"/>
      <c r="U74" s="488"/>
      <c r="V74" s="488"/>
      <c r="W74" s="488"/>
      <c r="X74" s="488"/>
      <c r="Y74" s="488"/>
      <c r="Z74" s="488"/>
      <c r="AA74" s="488"/>
      <c r="AB74" s="488"/>
      <c r="AC74" s="488"/>
      <c r="AD74" s="488"/>
      <c r="AE74" s="488"/>
      <c r="AF74" s="488"/>
    </row>
    <row r="75" spans="1:32" s="451" customFormat="1">
      <c r="A75" s="360"/>
      <c r="B75" s="360"/>
      <c r="C75" s="322"/>
      <c r="D75" s="323"/>
      <c r="E75" s="360"/>
      <c r="F75" s="360"/>
      <c r="G75" s="360"/>
      <c r="H75" s="360"/>
      <c r="I75" s="360"/>
      <c r="J75" s="360"/>
      <c r="K75" s="360"/>
      <c r="L75" s="360"/>
      <c r="M75" s="808"/>
      <c r="N75" s="488"/>
      <c r="O75" s="488"/>
      <c r="P75" s="488"/>
      <c r="Q75" s="488"/>
      <c r="R75" s="488"/>
      <c r="S75" s="488"/>
      <c r="T75" s="488"/>
      <c r="U75" s="488"/>
      <c r="V75" s="488"/>
      <c r="W75" s="488"/>
      <c r="X75" s="488"/>
      <c r="Y75" s="488"/>
      <c r="Z75" s="488"/>
      <c r="AA75" s="488"/>
      <c r="AB75" s="488"/>
      <c r="AC75" s="488"/>
      <c r="AD75" s="488"/>
      <c r="AE75" s="488"/>
      <c r="AF75" s="488"/>
    </row>
    <row r="76" spans="1:32" s="451" customFormat="1">
      <c r="A76" s="360"/>
      <c r="B76" s="360"/>
      <c r="C76" s="322"/>
      <c r="D76" s="323"/>
      <c r="E76" s="360"/>
      <c r="F76" s="360"/>
      <c r="G76" s="360"/>
      <c r="H76" s="360"/>
      <c r="I76" s="360"/>
      <c r="J76" s="360"/>
      <c r="K76" s="360"/>
      <c r="L76" s="360"/>
      <c r="M76" s="808"/>
      <c r="N76" s="488"/>
      <c r="O76" s="488"/>
      <c r="P76" s="488"/>
      <c r="Q76" s="488"/>
      <c r="R76" s="488"/>
      <c r="S76" s="488"/>
      <c r="T76" s="488"/>
      <c r="U76" s="488"/>
      <c r="V76" s="488"/>
      <c r="W76" s="488"/>
      <c r="X76" s="488"/>
      <c r="Y76" s="488"/>
      <c r="Z76" s="488"/>
      <c r="AA76" s="488"/>
      <c r="AB76" s="488"/>
      <c r="AC76" s="488"/>
      <c r="AD76" s="488"/>
      <c r="AE76" s="488"/>
      <c r="AF76" s="488"/>
    </row>
    <row r="77" spans="1:32" s="451" customFormat="1">
      <c r="A77" s="327"/>
      <c r="B77" s="360"/>
      <c r="C77" s="322"/>
      <c r="D77" s="323"/>
      <c r="E77" s="360"/>
      <c r="F77" s="360"/>
      <c r="G77" s="360"/>
      <c r="H77" s="360"/>
      <c r="I77" s="360"/>
      <c r="J77" s="360"/>
      <c r="K77" s="360"/>
      <c r="L77" s="394"/>
      <c r="M77" s="485"/>
      <c r="N77" s="488"/>
      <c r="O77" s="488"/>
      <c r="P77" s="488"/>
      <c r="Q77" s="488"/>
      <c r="R77" s="488"/>
      <c r="S77" s="488"/>
      <c r="T77" s="488"/>
      <c r="U77" s="488"/>
      <c r="V77" s="488"/>
      <c r="W77" s="488"/>
      <c r="X77" s="488"/>
      <c r="Y77" s="488"/>
      <c r="Z77" s="488"/>
      <c r="AA77" s="488"/>
      <c r="AB77" s="488"/>
      <c r="AC77" s="488"/>
      <c r="AD77" s="488"/>
      <c r="AE77" s="488"/>
      <c r="AF77" s="488"/>
    </row>
    <row r="78" spans="1:32" s="451" customFormat="1">
      <c r="A78" s="327"/>
      <c r="B78" s="1097"/>
      <c r="C78" s="322"/>
      <c r="D78" s="323"/>
      <c r="E78" s="360"/>
      <c r="F78" s="360"/>
      <c r="G78" s="360"/>
      <c r="H78" s="360"/>
      <c r="I78" s="360"/>
      <c r="J78" s="360"/>
      <c r="K78" s="360"/>
      <c r="L78" s="360"/>
      <c r="M78" s="485"/>
      <c r="N78" s="488"/>
      <c r="O78" s="488"/>
      <c r="P78" s="488"/>
      <c r="Q78" s="488"/>
      <c r="R78" s="488"/>
      <c r="S78" s="488"/>
      <c r="T78" s="488"/>
      <c r="U78" s="488"/>
      <c r="V78" s="488"/>
      <c r="W78" s="488"/>
      <c r="X78" s="488"/>
      <c r="Y78" s="488"/>
      <c r="Z78" s="488"/>
      <c r="AA78" s="488"/>
      <c r="AB78" s="488"/>
      <c r="AC78" s="488"/>
      <c r="AD78" s="488"/>
      <c r="AE78" s="488"/>
      <c r="AF78" s="488"/>
    </row>
    <row r="79" spans="1:32" s="451" customFormat="1">
      <c r="A79" s="327"/>
      <c r="B79" s="1097"/>
      <c r="C79" s="322"/>
      <c r="D79" s="323"/>
      <c r="E79" s="360"/>
      <c r="F79" s="360"/>
      <c r="G79" s="360"/>
      <c r="H79" s="360"/>
      <c r="I79" s="360"/>
      <c r="J79" s="360"/>
      <c r="K79" s="360"/>
      <c r="L79" s="360"/>
      <c r="M79" s="485"/>
      <c r="N79" s="488"/>
      <c r="O79" s="488"/>
      <c r="P79" s="488"/>
      <c r="Q79" s="488"/>
      <c r="R79" s="488"/>
      <c r="S79" s="488"/>
      <c r="T79" s="488"/>
      <c r="U79" s="488"/>
      <c r="V79" s="488"/>
      <c r="W79" s="488"/>
      <c r="X79" s="488"/>
      <c r="Y79" s="488"/>
      <c r="Z79" s="488"/>
      <c r="AA79" s="488"/>
      <c r="AB79" s="488"/>
      <c r="AC79" s="488"/>
      <c r="AD79" s="488"/>
      <c r="AE79" s="488"/>
      <c r="AF79" s="488"/>
    </row>
    <row r="80" spans="1:32" s="451" customFormat="1">
      <c r="A80" s="327"/>
      <c r="B80" s="327"/>
      <c r="C80" s="322"/>
      <c r="D80" s="323"/>
      <c r="E80" s="360"/>
      <c r="F80" s="360"/>
      <c r="G80" s="360"/>
      <c r="H80" s="360"/>
      <c r="I80" s="360"/>
      <c r="J80" s="360"/>
      <c r="K80" s="360"/>
      <c r="L80" s="360"/>
      <c r="M80" s="485"/>
      <c r="N80" s="488"/>
      <c r="O80" s="488"/>
      <c r="P80" s="488"/>
      <c r="Q80" s="488"/>
      <c r="R80" s="488"/>
      <c r="S80" s="488"/>
      <c r="T80" s="488"/>
      <c r="U80" s="488"/>
      <c r="V80" s="488"/>
      <c r="W80" s="488"/>
      <c r="X80" s="488"/>
      <c r="Y80" s="488"/>
      <c r="Z80" s="488"/>
      <c r="AA80" s="488"/>
      <c r="AB80" s="488"/>
      <c r="AC80" s="488"/>
      <c r="AD80" s="488"/>
      <c r="AE80" s="488"/>
      <c r="AF80" s="488"/>
    </row>
    <row r="81" spans="1:32" s="495" customFormat="1">
      <c r="A81" s="395"/>
      <c r="B81" s="395"/>
      <c r="C81" s="322"/>
      <c r="D81" s="323"/>
      <c r="E81" s="324"/>
      <c r="F81" s="321"/>
      <c r="G81" s="325"/>
      <c r="H81" s="321"/>
      <c r="I81" s="321"/>
      <c r="J81" s="322"/>
      <c r="K81" s="321"/>
      <c r="L81" s="396"/>
      <c r="M81" s="811"/>
      <c r="N81" s="494"/>
      <c r="O81" s="494"/>
      <c r="P81" s="494"/>
      <c r="Q81" s="494"/>
      <c r="R81" s="494"/>
      <c r="S81" s="494"/>
      <c r="T81" s="494"/>
      <c r="U81" s="494"/>
      <c r="V81" s="494"/>
      <c r="W81" s="494"/>
      <c r="X81" s="494"/>
      <c r="Y81" s="494"/>
      <c r="Z81" s="494"/>
      <c r="AA81" s="494"/>
      <c r="AB81" s="494"/>
      <c r="AC81" s="494"/>
      <c r="AD81" s="494"/>
      <c r="AE81" s="494"/>
      <c r="AF81" s="494"/>
    </row>
    <row r="82" spans="1:32">
      <c r="A82" s="326"/>
      <c r="B82" s="326"/>
      <c r="C82" s="322"/>
      <c r="D82" s="323"/>
      <c r="E82" s="324"/>
      <c r="F82" s="321"/>
      <c r="G82" s="325"/>
      <c r="H82" s="321"/>
      <c r="I82" s="321"/>
      <c r="J82" s="322"/>
      <c r="K82" s="321"/>
      <c r="L82" s="360"/>
      <c r="M82" s="546"/>
      <c r="N82" s="446"/>
      <c r="O82" s="446"/>
      <c r="P82" s="446"/>
      <c r="Q82" s="446"/>
      <c r="R82" s="446"/>
      <c r="S82" s="446"/>
      <c r="T82" s="446"/>
      <c r="U82" s="446"/>
      <c r="V82" s="446"/>
      <c r="X82" s="446"/>
      <c r="Y82" s="446"/>
      <c r="Z82" s="446"/>
      <c r="AA82" s="446"/>
      <c r="AB82" s="446"/>
      <c r="AC82" s="446"/>
      <c r="AD82" s="446"/>
      <c r="AE82" s="446"/>
      <c r="AF82" s="446"/>
    </row>
    <row r="83" spans="1:32">
      <c r="A83" s="326"/>
      <c r="B83" s="326"/>
      <c r="C83" s="322"/>
      <c r="D83" s="323"/>
      <c r="E83" s="324"/>
      <c r="F83" s="321"/>
      <c r="G83" s="325"/>
      <c r="H83" s="321"/>
      <c r="I83" s="321"/>
      <c r="J83" s="322"/>
      <c r="K83" s="321"/>
      <c r="L83" s="360"/>
      <c r="M83" s="546"/>
      <c r="N83" s="446"/>
      <c r="O83" s="446"/>
      <c r="P83" s="446"/>
      <c r="Q83" s="446"/>
      <c r="R83" s="446"/>
      <c r="S83" s="446"/>
      <c r="T83" s="446"/>
      <c r="U83" s="446"/>
      <c r="V83" s="446"/>
      <c r="X83" s="446"/>
      <c r="Y83" s="446"/>
      <c r="Z83" s="446"/>
      <c r="AA83" s="446"/>
      <c r="AB83" s="446"/>
      <c r="AC83" s="446"/>
      <c r="AD83" s="446"/>
      <c r="AE83" s="446"/>
      <c r="AF83" s="446"/>
    </row>
    <row r="84" spans="1:32" ht="23.25" customHeight="1">
      <c r="A84" s="326"/>
      <c r="B84" s="326"/>
      <c r="C84" s="322"/>
      <c r="D84" s="323"/>
      <c r="E84" s="324"/>
      <c r="F84" s="321"/>
      <c r="G84" s="325"/>
      <c r="H84" s="321"/>
      <c r="I84" s="321"/>
      <c r="J84" s="322"/>
      <c r="K84" s="321"/>
      <c r="L84" s="360"/>
      <c r="M84" s="546"/>
      <c r="N84" s="446"/>
      <c r="O84" s="446"/>
      <c r="P84" s="446"/>
      <c r="Q84" s="446"/>
      <c r="R84" s="446"/>
      <c r="S84" s="446"/>
      <c r="T84" s="446"/>
      <c r="U84" s="446"/>
      <c r="V84" s="446"/>
      <c r="X84" s="446"/>
      <c r="Y84" s="446"/>
      <c r="Z84" s="446"/>
      <c r="AA84" s="446"/>
      <c r="AB84" s="446"/>
      <c r="AC84" s="446"/>
      <c r="AD84" s="446"/>
      <c r="AE84" s="446"/>
      <c r="AF84" s="446"/>
    </row>
    <row r="85" spans="1:32" ht="15.75" customHeight="1">
      <c r="A85" s="326"/>
      <c r="B85" s="321"/>
      <c r="C85" s="322"/>
      <c r="D85" s="323"/>
      <c r="E85" s="324"/>
      <c r="F85" s="321"/>
      <c r="G85" s="325"/>
      <c r="H85" s="321"/>
      <c r="I85" s="321"/>
      <c r="J85" s="322"/>
      <c r="K85" s="321"/>
      <c r="L85" s="360"/>
      <c r="M85" s="546"/>
      <c r="N85" s="446"/>
      <c r="O85" s="446"/>
      <c r="P85" s="446"/>
      <c r="Q85" s="546"/>
      <c r="R85" s="446"/>
      <c r="S85" s="446"/>
      <c r="T85" s="446"/>
      <c r="U85" s="446"/>
      <c r="V85" s="446"/>
      <c r="X85" s="446"/>
      <c r="Y85" s="446"/>
      <c r="Z85" s="446"/>
      <c r="AA85" s="446"/>
      <c r="AB85" s="446"/>
      <c r="AC85" s="446"/>
      <c r="AD85" s="446"/>
      <c r="AE85" s="446"/>
      <c r="AF85" s="446"/>
    </row>
    <row r="86" spans="1:32" ht="15.75" customHeight="1">
      <c r="A86" s="321"/>
      <c r="B86" s="321"/>
      <c r="C86" s="322"/>
      <c r="D86" s="323"/>
      <c r="E86" s="324"/>
      <c r="F86" s="321"/>
      <c r="G86" s="325"/>
      <c r="H86" s="321"/>
      <c r="I86" s="321"/>
      <c r="J86" s="322"/>
      <c r="K86" s="321"/>
      <c r="L86" s="360"/>
      <c r="M86" s="546"/>
      <c r="N86" s="446"/>
      <c r="O86" s="446"/>
      <c r="P86" s="446"/>
      <c r="Q86" s="546"/>
      <c r="R86" s="446"/>
      <c r="S86" s="446"/>
      <c r="T86" s="446"/>
      <c r="U86" s="446"/>
      <c r="V86" s="446"/>
      <c r="X86" s="446"/>
      <c r="Y86" s="446"/>
      <c r="Z86" s="446"/>
      <c r="AA86" s="446"/>
      <c r="AB86" s="446"/>
      <c r="AC86" s="446"/>
      <c r="AD86" s="446"/>
      <c r="AE86" s="446"/>
      <c r="AF86" s="446"/>
    </row>
    <row r="87" spans="1:32" ht="15.75" customHeight="1">
      <c r="A87" s="321"/>
      <c r="B87" s="321"/>
      <c r="C87" s="540"/>
      <c r="D87" s="541"/>
      <c r="E87" s="460"/>
      <c r="F87" s="446"/>
      <c r="G87" s="461"/>
      <c r="H87" s="446"/>
      <c r="I87" s="446"/>
      <c r="J87" s="540"/>
      <c r="K87" s="446"/>
      <c r="L87" s="360"/>
      <c r="M87" s="546"/>
      <c r="N87" s="446"/>
      <c r="O87" s="446"/>
      <c r="P87" s="446"/>
      <c r="Q87" s="546"/>
      <c r="R87" s="446"/>
      <c r="S87" s="446"/>
      <c r="T87" s="446"/>
      <c r="U87" s="446"/>
      <c r="V87" s="446"/>
      <c r="X87" s="446"/>
      <c r="Y87" s="446"/>
      <c r="Z87" s="446"/>
      <c r="AA87" s="446"/>
      <c r="AB87" s="446"/>
      <c r="AC87" s="446"/>
      <c r="AD87" s="446"/>
      <c r="AE87" s="446"/>
      <c r="AF87" s="446"/>
    </row>
    <row r="88" spans="1:32">
      <c r="A88" s="321"/>
      <c r="B88" s="321"/>
      <c r="C88" s="540"/>
      <c r="D88" s="541"/>
      <c r="E88" s="460"/>
      <c r="F88" s="446"/>
      <c r="G88" s="461"/>
      <c r="H88" s="446"/>
      <c r="I88" s="446"/>
      <c r="J88" s="540"/>
      <c r="K88" s="446"/>
      <c r="L88" s="360"/>
      <c r="M88" s="546"/>
      <c r="N88" s="446"/>
      <c r="O88" s="446"/>
      <c r="P88" s="446"/>
      <c r="Q88" s="546"/>
      <c r="R88" s="446"/>
      <c r="S88" s="446"/>
      <c r="T88" s="446"/>
      <c r="U88" s="446"/>
      <c r="V88" s="446"/>
      <c r="X88" s="446"/>
      <c r="Y88" s="446"/>
      <c r="Z88" s="446"/>
      <c r="AA88" s="446"/>
      <c r="AB88" s="446"/>
      <c r="AC88" s="446"/>
      <c r="AD88" s="446"/>
      <c r="AE88" s="446"/>
      <c r="AF88" s="446"/>
    </row>
    <row r="89" spans="1:32">
      <c r="A89" s="321"/>
      <c r="B89" s="321"/>
      <c r="C89" s="540"/>
      <c r="D89" s="541"/>
      <c r="E89" s="460"/>
      <c r="F89" s="446"/>
      <c r="G89" s="461"/>
      <c r="H89" s="446"/>
      <c r="I89" s="446"/>
      <c r="J89" s="540"/>
      <c r="K89" s="446"/>
      <c r="L89" s="360"/>
      <c r="M89" s="546"/>
      <c r="N89" s="446"/>
      <c r="O89" s="446"/>
      <c r="P89" s="446"/>
      <c r="Q89" s="546"/>
      <c r="R89" s="446"/>
      <c r="S89" s="446"/>
      <c r="T89" s="446"/>
      <c r="U89" s="446"/>
      <c r="V89" s="446"/>
      <c r="X89" s="446"/>
      <c r="Y89" s="446"/>
      <c r="Z89" s="446"/>
      <c r="AA89" s="446"/>
      <c r="AB89" s="446"/>
      <c r="AC89" s="446"/>
      <c r="AD89" s="446"/>
      <c r="AE89" s="446"/>
      <c r="AF89" s="446"/>
    </row>
    <row r="90" spans="1:32">
      <c r="A90" s="321"/>
      <c r="B90" s="321"/>
      <c r="C90" s="540"/>
      <c r="D90" s="541"/>
      <c r="E90" s="460"/>
      <c r="F90" s="446"/>
      <c r="G90" s="461"/>
      <c r="H90" s="446"/>
      <c r="I90" s="446"/>
      <c r="J90" s="540"/>
      <c r="K90" s="446"/>
      <c r="L90" s="360"/>
      <c r="M90" s="546"/>
      <c r="N90" s="446"/>
      <c r="O90" s="446"/>
      <c r="P90" s="446"/>
      <c r="Q90" s="546"/>
      <c r="R90" s="446"/>
      <c r="S90" s="446"/>
      <c r="T90" s="446"/>
      <c r="U90" s="446"/>
      <c r="V90" s="446"/>
      <c r="X90" s="446"/>
      <c r="Y90" s="446"/>
      <c r="Z90" s="446"/>
      <c r="AA90" s="446"/>
      <c r="AB90" s="446"/>
      <c r="AC90" s="446"/>
      <c r="AD90" s="446"/>
      <c r="AE90" s="446"/>
      <c r="AF90" s="446"/>
    </row>
    <row r="91" spans="1:32">
      <c r="A91" s="321"/>
      <c r="B91" s="321"/>
      <c r="C91" s="540"/>
      <c r="D91" s="541"/>
      <c r="E91" s="460"/>
      <c r="F91" s="446"/>
      <c r="G91" s="461"/>
      <c r="H91" s="446"/>
      <c r="I91" s="446"/>
      <c r="J91" s="540"/>
      <c r="K91" s="446"/>
      <c r="L91" s="360"/>
      <c r="M91" s="546"/>
      <c r="N91" s="446"/>
      <c r="O91" s="446"/>
      <c r="P91" s="446"/>
      <c r="Q91" s="546"/>
      <c r="R91" s="446"/>
      <c r="S91" s="446"/>
      <c r="T91" s="446"/>
      <c r="U91" s="446"/>
      <c r="V91" s="446"/>
      <c r="X91" s="446"/>
      <c r="Y91" s="446"/>
      <c r="Z91" s="446"/>
      <c r="AA91" s="446"/>
      <c r="AB91" s="446"/>
      <c r="AC91" s="446"/>
      <c r="AD91" s="446"/>
      <c r="AE91" s="446"/>
      <c r="AF91" s="446"/>
    </row>
    <row r="92" spans="1:32">
      <c r="B92" s="446"/>
      <c r="C92" s="540"/>
      <c r="D92" s="541"/>
      <c r="E92" s="460"/>
      <c r="F92" s="446"/>
      <c r="G92" s="461"/>
      <c r="H92" s="446"/>
      <c r="I92" s="446"/>
      <c r="J92" s="540"/>
      <c r="K92" s="446"/>
      <c r="L92" s="488"/>
      <c r="M92" s="546"/>
      <c r="N92" s="446"/>
      <c r="O92" s="446"/>
      <c r="P92" s="446"/>
      <c r="Q92" s="546"/>
      <c r="R92" s="446"/>
      <c r="S92" s="446"/>
      <c r="T92" s="446"/>
      <c r="U92" s="446"/>
      <c r="V92" s="446"/>
      <c r="X92" s="446"/>
      <c r="Y92" s="446"/>
      <c r="Z92" s="446"/>
      <c r="AA92" s="446"/>
      <c r="AB92" s="446"/>
      <c r="AC92" s="446"/>
      <c r="AD92" s="446"/>
      <c r="AE92" s="446"/>
      <c r="AF92" s="446"/>
    </row>
    <row r="93" spans="1:32">
      <c r="B93" s="446"/>
      <c r="C93" s="540"/>
      <c r="D93" s="541"/>
      <c r="E93" s="460"/>
      <c r="F93" s="446"/>
      <c r="G93" s="461"/>
      <c r="H93" s="446"/>
      <c r="I93" s="446"/>
      <c r="J93" s="540"/>
      <c r="K93" s="446"/>
      <c r="L93" s="488"/>
      <c r="M93" s="546"/>
      <c r="N93" s="446"/>
      <c r="O93" s="446"/>
      <c r="P93" s="446"/>
      <c r="Q93" s="546"/>
      <c r="R93" s="446"/>
      <c r="S93" s="446"/>
      <c r="T93" s="446"/>
      <c r="U93" s="446"/>
      <c r="V93" s="446"/>
      <c r="X93" s="446"/>
      <c r="Y93" s="446"/>
      <c r="Z93" s="446"/>
      <c r="AA93" s="446"/>
      <c r="AB93" s="446"/>
      <c r="AC93" s="446"/>
      <c r="AD93" s="446"/>
      <c r="AE93" s="446"/>
      <c r="AF93" s="446"/>
    </row>
    <row r="94" spans="1:32" ht="15.75" customHeight="1">
      <c r="B94" s="446"/>
      <c r="C94" s="546"/>
      <c r="D94" s="546"/>
      <c r="E94" s="546"/>
      <c r="F94" s="546"/>
      <c r="G94" s="546"/>
      <c r="H94" s="546"/>
      <c r="I94" s="546"/>
      <c r="J94" s="546"/>
      <c r="K94" s="546"/>
      <c r="L94" s="488"/>
      <c r="M94" s="546"/>
      <c r="N94" s="446"/>
      <c r="O94" s="446"/>
      <c r="P94" s="446"/>
      <c r="Q94" s="446"/>
      <c r="R94" s="446"/>
      <c r="S94" s="446"/>
      <c r="T94" s="446"/>
      <c r="U94" s="446"/>
      <c r="V94" s="446"/>
      <c r="X94" s="446"/>
      <c r="Y94" s="446"/>
      <c r="Z94" s="446"/>
      <c r="AA94" s="446"/>
      <c r="AB94" s="446"/>
      <c r="AC94" s="446"/>
      <c r="AD94" s="446"/>
      <c r="AE94" s="446"/>
      <c r="AF94" s="446"/>
    </row>
    <row r="95" spans="1:32">
      <c r="B95" s="446"/>
      <c r="C95" s="540"/>
      <c r="D95" s="541"/>
      <c r="E95" s="460"/>
      <c r="F95" s="446"/>
      <c r="G95" s="461"/>
      <c r="H95" s="446"/>
      <c r="I95" s="446"/>
      <c r="J95" s="540"/>
      <c r="K95" s="446"/>
      <c r="L95" s="488"/>
      <c r="M95" s="546"/>
      <c r="N95" s="446"/>
      <c r="O95" s="446"/>
      <c r="P95" s="446"/>
      <c r="Q95" s="446"/>
      <c r="R95" s="446"/>
      <c r="S95" s="446"/>
      <c r="T95" s="446"/>
      <c r="U95" s="446"/>
      <c r="V95" s="446"/>
      <c r="X95" s="446"/>
      <c r="Y95" s="446"/>
      <c r="Z95" s="446"/>
      <c r="AA95" s="446"/>
      <c r="AB95" s="446"/>
      <c r="AC95" s="446"/>
      <c r="AD95" s="446"/>
      <c r="AE95" s="446"/>
      <c r="AF95" s="446"/>
    </row>
    <row r="96" spans="1:32">
      <c r="B96" s="446"/>
      <c r="C96" s="540"/>
      <c r="D96" s="541"/>
      <c r="E96" s="460"/>
      <c r="F96" s="446"/>
      <c r="G96" s="461"/>
      <c r="H96" s="446"/>
      <c r="I96" s="446"/>
      <c r="J96" s="540"/>
      <c r="K96" s="446"/>
      <c r="L96" s="488"/>
      <c r="M96" s="546"/>
      <c r="N96" s="446"/>
      <c r="O96" s="446"/>
      <c r="P96" s="446"/>
      <c r="Q96" s="446"/>
      <c r="R96" s="446"/>
      <c r="S96" s="446"/>
      <c r="T96" s="446"/>
      <c r="U96" s="446"/>
      <c r="V96" s="446"/>
      <c r="X96" s="446"/>
      <c r="Y96" s="446"/>
      <c r="Z96" s="446"/>
      <c r="AA96" s="446"/>
      <c r="AB96" s="446"/>
      <c r="AC96" s="446"/>
      <c r="AD96" s="446"/>
      <c r="AE96" s="446"/>
      <c r="AF96" s="446"/>
    </row>
    <row r="97" spans="1:32">
      <c r="B97" s="446"/>
      <c r="C97" s="540"/>
      <c r="D97" s="541"/>
      <c r="E97" s="460"/>
      <c r="F97" s="446"/>
      <c r="G97" s="461"/>
      <c r="H97" s="446"/>
      <c r="I97" s="446"/>
      <c r="J97" s="540"/>
      <c r="K97" s="446"/>
      <c r="L97" s="488"/>
      <c r="M97" s="546"/>
      <c r="N97" s="446"/>
      <c r="O97" s="446"/>
      <c r="P97" s="446"/>
      <c r="Q97" s="446"/>
      <c r="R97" s="446"/>
      <c r="S97" s="446"/>
      <c r="T97" s="446"/>
      <c r="U97" s="446"/>
      <c r="V97" s="446"/>
      <c r="X97" s="446"/>
      <c r="Y97" s="446"/>
      <c r="Z97" s="446"/>
      <c r="AA97" s="446"/>
      <c r="AB97" s="446"/>
      <c r="AC97" s="446"/>
      <c r="AD97" s="446"/>
      <c r="AE97" s="446"/>
      <c r="AF97" s="446"/>
    </row>
    <row r="98" spans="1:32">
      <c r="B98" s="446"/>
      <c r="C98" s="540"/>
      <c r="D98" s="541"/>
      <c r="E98" s="460"/>
      <c r="F98" s="446"/>
      <c r="G98" s="461"/>
      <c r="H98" s="446"/>
      <c r="I98" s="446"/>
      <c r="J98" s="540"/>
      <c r="K98" s="446"/>
      <c r="L98" s="488"/>
      <c r="M98" s="546"/>
      <c r="N98" s="446"/>
      <c r="O98" s="446"/>
      <c r="P98" s="446"/>
      <c r="Q98" s="446"/>
      <c r="R98" s="446"/>
      <c r="S98" s="446"/>
      <c r="T98" s="446"/>
      <c r="U98" s="446"/>
      <c r="V98" s="446"/>
      <c r="X98" s="446"/>
      <c r="Y98" s="446"/>
      <c r="Z98" s="446"/>
      <c r="AA98" s="446"/>
      <c r="AB98" s="446"/>
      <c r="AC98" s="446"/>
      <c r="AD98" s="446"/>
      <c r="AE98" s="446"/>
      <c r="AF98" s="446"/>
    </row>
    <row r="99" spans="1:32" s="547" customFormat="1" ht="49.5" customHeight="1">
      <c r="A99" s="546"/>
      <c r="B99" s="546"/>
      <c r="C99" s="540"/>
      <c r="D99" s="541"/>
      <c r="E99" s="460"/>
      <c r="F99" s="446"/>
      <c r="G99" s="461"/>
      <c r="H99" s="446"/>
      <c r="I99" s="446"/>
      <c r="J99" s="540"/>
      <c r="K99" s="4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46"/>
      <c r="AB99" s="546"/>
      <c r="AC99" s="546"/>
      <c r="AD99" s="546"/>
      <c r="AE99" s="546"/>
      <c r="AF99" s="546"/>
    </row>
    <row r="100" spans="1:32" ht="16.5" customHeight="1">
      <c r="B100" s="446"/>
      <c r="C100" s="540"/>
      <c r="D100" s="541"/>
      <c r="E100" s="460"/>
      <c r="F100" s="446"/>
      <c r="G100" s="461"/>
      <c r="H100" s="446"/>
      <c r="I100" s="446"/>
      <c r="J100" s="540"/>
      <c r="K100" s="446"/>
      <c r="L100" s="488"/>
      <c r="M100" s="546"/>
      <c r="N100" s="446"/>
      <c r="O100" s="446"/>
      <c r="P100" s="446"/>
      <c r="Q100" s="446"/>
      <c r="R100" s="446"/>
      <c r="S100" s="446"/>
      <c r="T100" s="446"/>
      <c r="U100" s="446"/>
      <c r="V100" s="446"/>
      <c r="X100" s="446"/>
      <c r="Y100" s="446"/>
      <c r="Z100" s="446"/>
      <c r="AA100" s="446"/>
      <c r="AB100" s="446"/>
      <c r="AC100" s="446"/>
      <c r="AD100" s="446"/>
      <c r="AE100" s="446"/>
      <c r="AF100" s="446"/>
    </row>
    <row r="101" spans="1:32">
      <c r="B101" s="446"/>
      <c r="C101" s="540"/>
      <c r="D101" s="541"/>
      <c r="E101" s="460"/>
      <c r="F101" s="446"/>
      <c r="G101" s="461"/>
      <c r="H101" s="446"/>
      <c r="I101" s="446"/>
      <c r="J101" s="540"/>
      <c r="K101" s="446"/>
      <c r="L101" s="488"/>
      <c r="M101" s="546"/>
      <c r="N101" s="446"/>
      <c r="O101" s="446"/>
      <c r="P101" s="446"/>
      <c r="Q101" s="446"/>
      <c r="R101" s="446"/>
      <c r="S101" s="446"/>
      <c r="T101" s="446"/>
      <c r="U101" s="446"/>
      <c r="V101" s="446"/>
      <c r="X101" s="446"/>
      <c r="Y101" s="446"/>
      <c r="Z101" s="446"/>
      <c r="AA101" s="446"/>
      <c r="AB101" s="446"/>
      <c r="AC101" s="446"/>
      <c r="AD101" s="446"/>
      <c r="AE101" s="446"/>
      <c r="AF101" s="446"/>
    </row>
    <row r="102" spans="1:32">
      <c r="B102" s="446"/>
      <c r="C102" s="540"/>
      <c r="D102" s="541"/>
      <c r="E102" s="460"/>
      <c r="F102" s="446"/>
      <c r="G102" s="461"/>
      <c r="H102" s="446"/>
      <c r="I102" s="446"/>
      <c r="J102" s="540"/>
      <c r="K102" s="446"/>
      <c r="L102" s="488"/>
      <c r="M102" s="546"/>
      <c r="N102" s="446"/>
      <c r="O102" s="446"/>
      <c r="P102" s="446"/>
      <c r="Q102" s="459"/>
      <c r="R102" s="446"/>
      <c r="S102" s="446"/>
      <c r="T102" s="446"/>
      <c r="U102" s="446"/>
      <c r="V102" s="446"/>
      <c r="X102" s="446"/>
      <c r="Y102" s="446"/>
      <c r="Z102" s="446"/>
      <c r="AA102" s="446"/>
      <c r="AB102" s="446"/>
      <c r="AC102" s="446"/>
      <c r="AD102" s="446"/>
      <c r="AE102" s="446"/>
      <c r="AF102" s="446"/>
    </row>
    <row r="103" spans="1:32">
      <c r="B103" s="446"/>
      <c r="C103" s="540"/>
      <c r="D103" s="541"/>
      <c r="E103" s="460"/>
      <c r="F103" s="446"/>
      <c r="G103" s="461"/>
      <c r="H103" s="446"/>
      <c r="I103" s="446"/>
      <c r="J103" s="540"/>
      <c r="K103" s="446"/>
      <c r="L103" s="488"/>
      <c r="M103" s="546"/>
      <c r="N103" s="446"/>
      <c r="O103" s="446"/>
      <c r="P103" s="446"/>
      <c r="Q103" s="446"/>
      <c r="R103" s="446"/>
      <c r="S103" s="446"/>
      <c r="T103" s="446"/>
      <c r="U103" s="446"/>
      <c r="V103" s="446"/>
      <c r="X103" s="446"/>
      <c r="Y103" s="446"/>
      <c r="Z103" s="446"/>
      <c r="AA103" s="446"/>
      <c r="AB103" s="446"/>
      <c r="AC103" s="446"/>
      <c r="AD103" s="446"/>
      <c r="AE103" s="446"/>
      <c r="AF103" s="446"/>
    </row>
    <row r="104" spans="1:32">
      <c r="B104" s="446"/>
      <c r="C104" s="540"/>
      <c r="D104" s="541"/>
      <c r="E104" s="460"/>
      <c r="F104" s="446"/>
      <c r="G104" s="461"/>
      <c r="H104" s="446"/>
      <c r="I104" s="446"/>
      <c r="J104" s="540"/>
      <c r="K104" s="446"/>
      <c r="L104" s="488"/>
      <c r="M104" s="546"/>
      <c r="N104" s="446"/>
      <c r="O104" s="446"/>
      <c r="P104" s="446"/>
      <c r="Q104" s="446"/>
      <c r="R104" s="446"/>
      <c r="S104" s="446"/>
      <c r="T104" s="446"/>
      <c r="U104" s="446"/>
      <c r="V104" s="446"/>
      <c r="X104" s="446"/>
      <c r="Y104" s="446"/>
      <c r="Z104" s="446"/>
      <c r="AA104" s="446"/>
      <c r="AB104" s="446"/>
      <c r="AC104" s="446"/>
      <c r="AD104" s="446"/>
      <c r="AE104" s="446"/>
      <c r="AF104" s="446"/>
    </row>
    <row r="105" spans="1:32">
      <c r="B105" s="446"/>
      <c r="C105" s="540"/>
      <c r="D105" s="541"/>
      <c r="E105" s="460"/>
      <c r="F105" s="446"/>
      <c r="G105" s="461"/>
      <c r="H105" s="446"/>
      <c r="I105" s="446"/>
      <c r="J105" s="540"/>
      <c r="K105" s="446"/>
      <c r="L105" s="488"/>
      <c r="M105" s="546"/>
      <c r="N105" s="446"/>
      <c r="O105" s="446"/>
      <c r="P105" s="446"/>
      <c r="Q105" s="446"/>
      <c r="R105" s="446"/>
      <c r="S105" s="446"/>
      <c r="T105" s="446"/>
      <c r="U105" s="446"/>
      <c r="V105" s="446"/>
      <c r="X105" s="446"/>
      <c r="Y105" s="446"/>
      <c r="Z105" s="446"/>
      <c r="AA105" s="446"/>
      <c r="AB105" s="446"/>
      <c r="AC105" s="446"/>
      <c r="AD105" s="446"/>
      <c r="AE105" s="446"/>
      <c r="AF105" s="446"/>
    </row>
    <row r="106" spans="1:32">
      <c r="B106" s="446"/>
      <c r="C106" s="540"/>
      <c r="D106" s="541"/>
      <c r="E106" s="460"/>
      <c r="F106" s="446"/>
      <c r="G106" s="461"/>
      <c r="H106" s="446"/>
      <c r="I106" s="446"/>
      <c r="J106" s="540"/>
      <c r="K106" s="446"/>
      <c r="L106" s="488"/>
      <c r="M106" s="546"/>
      <c r="N106" s="446"/>
      <c r="O106" s="446"/>
      <c r="P106" s="446"/>
      <c r="Q106" s="446"/>
      <c r="R106" s="446"/>
      <c r="S106" s="446"/>
      <c r="T106" s="446"/>
      <c r="U106" s="446"/>
      <c r="V106" s="446"/>
      <c r="X106" s="446"/>
      <c r="Y106" s="446"/>
      <c r="Z106" s="446"/>
      <c r="AA106" s="446"/>
      <c r="AB106" s="446"/>
      <c r="AC106" s="446"/>
      <c r="AD106" s="446"/>
      <c r="AE106" s="446"/>
      <c r="AF106" s="446"/>
    </row>
    <row r="107" spans="1:32">
      <c r="B107" s="446"/>
      <c r="C107" s="540"/>
      <c r="D107" s="541"/>
      <c r="E107" s="460"/>
      <c r="F107" s="446"/>
      <c r="G107" s="461"/>
      <c r="H107" s="446"/>
      <c r="I107" s="446"/>
      <c r="J107" s="540"/>
      <c r="K107" s="446"/>
      <c r="L107" s="488"/>
      <c r="M107" s="546"/>
      <c r="N107" s="446"/>
      <c r="O107" s="446"/>
      <c r="P107" s="446"/>
      <c r="Q107" s="446"/>
      <c r="R107" s="446"/>
      <c r="S107" s="446"/>
      <c r="T107" s="446"/>
      <c r="U107" s="446"/>
      <c r="V107" s="446"/>
      <c r="X107" s="446"/>
      <c r="Y107" s="446"/>
      <c r="Z107" s="446"/>
      <c r="AA107" s="446"/>
      <c r="AB107" s="446"/>
      <c r="AC107" s="446"/>
      <c r="AD107" s="446"/>
      <c r="AE107" s="446"/>
      <c r="AF107" s="446"/>
    </row>
    <row r="108" spans="1:32" ht="21.75" customHeight="1">
      <c r="B108" s="446"/>
      <c r="C108" s="540"/>
      <c r="D108" s="541"/>
      <c r="E108" s="460"/>
      <c r="F108" s="446"/>
      <c r="G108" s="461"/>
      <c r="H108" s="446"/>
      <c r="I108" s="446"/>
      <c r="J108" s="540"/>
      <c r="K108" s="446"/>
      <c r="L108" s="488"/>
      <c r="M108" s="546"/>
      <c r="N108" s="446"/>
      <c r="O108" s="446"/>
      <c r="P108" s="446"/>
      <c r="Q108" s="446"/>
      <c r="R108" s="446"/>
      <c r="S108" s="446"/>
      <c r="T108" s="446"/>
      <c r="U108" s="446"/>
      <c r="V108" s="446"/>
      <c r="X108" s="446"/>
      <c r="Y108" s="446"/>
      <c r="Z108" s="446"/>
      <c r="AA108" s="446"/>
      <c r="AB108" s="446"/>
      <c r="AC108" s="446"/>
      <c r="AD108" s="446"/>
      <c r="AE108" s="446"/>
      <c r="AF108" s="446"/>
    </row>
    <row r="109" spans="1:32" ht="16.5" customHeight="1">
      <c r="B109" s="538"/>
      <c r="C109" s="540"/>
      <c r="D109" s="541"/>
      <c r="E109" s="460"/>
      <c r="F109" s="446"/>
      <c r="G109" s="461"/>
      <c r="H109" s="446"/>
      <c r="I109" s="446"/>
      <c r="J109" s="540"/>
      <c r="K109" s="446"/>
      <c r="L109" s="488"/>
      <c r="M109" s="546"/>
      <c r="N109" s="446"/>
      <c r="O109" s="538"/>
      <c r="P109" s="446"/>
      <c r="Q109" s="446"/>
      <c r="R109" s="446"/>
      <c r="S109" s="446"/>
      <c r="T109" s="446"/>
      <c r="U109" s="446"/>
      <c r="V109" s="446"/>
      <c r="X109" s="446"/>
      <c r="Y109" s="446"/>
      <c r="Z109" s="446"/>
      <c r="AA109" s="446"/>
      <c r="AB109" s="446"/>
      <c r="AC109" s="446"/>
      <c r="AD109" s="446"/>
      <c r="AE109" s="446"/>
      <c r="AF109" s="446"/>
    </row>
    <row r="110" spans="1:32">
      <c r="B110" s="538"/>
      <c r="C110" s="540"/>
      <c r="D110" s="541"/>
      <c r="E110" s="460"/>
      <c r="F110" s="446"/>
      <c r="G110" s="461"/>
      <c r="H110" s="446"/>
      <c r="I110" s="446"/>
      <c r="J110" s="540"/>
      <c r="K110" s="446"/>
      <c r="L110" s="488"/>
      <c r="M110" s="546"/>
      <c r="N110" s="446"/>
      <c r="O110" s="538"/>
      <c r="P110" s="446"/>
      <c r="Q110" s="446"/>
      <c r="R110" s="446"/>
      <c r="S110" s="446"/>
      <c r="T110" s="446"/>
      <c r="U110" s="446"/>
      <c r="V110" s="446"/>
      <c r="X110" s="446"/>
      <c r="Y110" s="446"/>
      <c r="Z110" s="446"/>
      <c r="AA110" s="446"/>
      <c r="AB110" s="446"/>
      <c r="AC110" s="446"/>
      <c r="AD110" s="446"/>
      <c r="AE110" s="446"/>
      <c r="AF110" s="446"/>
    </row>
    <row r="111" spans="1:32">
      <c r="B111" s="446"/>
      <c r="C111" s="540"/>
      <c r="D111" s="541"/>
      <c r="E111" s="460"/>
      <c r="F111" s="446"/>
      <c r="G111" s="461"/>
      <c r="H111" s="446"/>
      <c r="I111" s="446"/>
      <c r="J111" s="540"/>
      <c r="K111" s="446"/>
      <c r="L111" s="488"/>
      <c r="M111" s="546"/>
      <c r="N111" s="446"/>
      <c r="O111" s="446"/>
      <c r="P111" s="446"/>
      <c r="Q111" s="446"/>
      <c r="R111" s="446"/>
      <c r="S111" s="446"/>
      <c r="T111" s="446"/>
      <c r="U111" s="446"/>
      <c r="V111" s="446"/>
      <c r="X111" s="446"/>
      <c r="Y111" s="446"/>
      <c r="Z111" s="446"/>
      <c r="AA111" s="446"/>
      <c r="AB111" s="446"/>
      <c r="AC111" s="446"/>
      <c r="AD111" s="446"/>
      <c r="AE111" s="446"/>
      <c r="AF111" s="446"/>
    </row>
    <row r="112" spans="1:32" ht="20.25" customHeight="1">
      <c r="B112" s="488"/>
      <c r="C112" s="540"/>
      <c r="D112" s="541"/>
      <c r="E112" s="460"/>
      <c r="F112" s="446"/>
      <c r="G112" s="461"/>
      <c r="H112" s="446"/>
      <c r="I112" s="446"/>
      <c r="J112" s="540"/>
      <c r="K112" s="446"/>
      <c r="L112" s="488"/>
      <c r="M112" s="546"/>
      <c r="N112" s="446"/>
      <c r="O112" s="488"/>
      <c r="P112" s="446"/>
      <c r="Q112" s="446"/>
      <c r="R112" s="446"/>
      <c r="S112" s="446"/>
      <c r="T112" s="446"/>
      <c r="U112" s="446"/>
      <c r="V112" s="446"/>
      <c r="X112" s="446"/>
      <c r="Y112" s="446"/>
      <c r="Z112" s="446"/>
      <c r="AA112" s="446"/>
      <c r="AB112" s="446"/>
      <c r="AC112" s="446"/>
      <c r="AD112" s="446"/>
      <c r="AE112" s="446"/>
      <c r="AF112" s="446"/>
    </row>
    <row r="113" spans="2:32">
      <c r="B113" s="488"/>
      <c r="C113" s="540"/>
      <c r="D113" s="541"/>
      <c r="E113" s="460"/>
      <c r="F113" s="446"/>
      <c r="G113" s="461"/>
      <c r="H113" s="446"/>
      <c r="I113" s="446"/>
      <c r="J113" s="540"/>
      <c r="K113" s="446"/>
      <c r="L113" s="488"/>
      <c r="M113" s="546"/>
      <c r="N113" s="446"/>
      <c r="O113" s="488"/>
      <c r="P113" s="446"/>
      <c r="Q113" s="446"/>
      <c r="R113" s="446"/>
      <c r="S113" s="446"/>
      <c r="T113" s="446"/>
      <c r="U113" s="446"/>
      <c r="V113" s="446"/>
      <c r="X113" s="446"/>
      <c r="Y113" s="446"/>
      <c r="Z113" s="446"/>
      <c r="AA113" s="446"/>
      <c r="AB113" s="446"/>
      <c r="AC113" s="446"/>
      <c r="AD113" s="446"/>
      <c r="AE113" s="446"/>
      <c r="AF113" s="446"/>
    </row>
    <row r="114" spans="2:32">
      <c r="B114" s="488"/>
      <c r="C114" s="540"/>
      <c r="D114" s="541"/>
      <c r="E114" s="460"/>
      <c r="F114" s="446"/>
      <c r="G114" s="461"/>
      <c r="H114" s="446"/>
      <c r="I114" s="446"/>
      <c r="J114" s="540"/>
      <c r="K114" s="446"/>
      <c r="L114" s="488"/>
      <c r="M114" s="546"/>
      <c r="N114" s="446"/>
      <c r="O114" s="488"/>
      <c r="P114" s="446"/>
      <c r="Q114" s="446"/>
      <c r="R114" s="446"/>
      <c r="S114" s="446"/>
      <c r="T114" s="446"/>
      <c r="U114" s="446"/>
      <c r="V114" s="446"/>
      <c r="X114" s="446"/>
      <c r="Y114" s="446"/>
      <c r="Z114" s="446"/>
      <c r="AA114" s="446"/>
      <c r="AB114" s="446"/>
      <c r="AC114" s="446"/>
      <c r="AD114" s="446"/>
      <c r="AE114" s="446"/>
      <c r="AF114" s="446"/>
    </row>
    <row r="115" spans="2:32">
      <c r="B115" s="539"/>
      <c r="C115" s="540"/>
      <c r="D115" s="541"/>
      <c r="E115" s="460"/>
      <c r="F115" s="446"/>
      <c r="G115" s="461"/>
      <c r="H115" s="446"/>
      <c r="I115" s="446"/>
      <c r="J115" s="540"/>
      <c r="K115" s="446"/>
      <c r="L115" s="488"/>
      <c r="M115" s="546"/>
      <c r="N115" s="446"/>
      <c r="O115" s="539"/>
      <c r="P115" s="446"/>
      <c r="Q115" s="446"/>
      <c r="R115" s="446"/>
      <c r="S115" s="446"/>
      <c r="T115" s="446"/>
      <c r="U115" s="446"/>
      <c r="V115" s="446"/>
      <c r="X115" s="446"/>
      <c r="Y115" s="446"/>
      <c r="Z115" s="446"/>
      <c r="AA115" s="446"/>
      <c r="AB115" s="446"/>
      <c r="AC115" s="446"/>
      <c r="AD115" s="446"/>
      <c r="AE115" s="446"/>
      <c r="AF115" s="446"/>
    </row>
    <row r="116" spans="2:32">
      <c r="B116" s="488"/>
      <c r="C116" s="540"/>
      <c r="D116" s="541"/>
      <c r="E116" s="460"/>
      <c r="F116" s="446"/>
      <c r="G116" s="461"/>
      <c r="H116" s="446"/>
      <c r="I116" s="446"/>
      <c r="J116" s="540"/>
      <c r="K116" s="446"/>
      <c r="L116" s="488"/>
      <c r="M116" s="546"/>
      <c r="N116" s="446"/>
      <c r="O116" s="488"/>
      <c r="P116" s="446"/>
      <c r="Q116" s="446"/>
      <c r="R116" s="446"/>
      <c r="S116" s="446"/>
      <c r="T116" s="446"/>
      <c r="U116" s="446"/>
      <c r="V116" s="446"/>
      <c r="X116" s="446"/>
      <c r="Y116" s="446"/>
      <c r="Z116" s="446"/>
      <c r="AA116" s="446"/>
      <c r="AB116" s="446"/>
      <c r="AC116" s="446"/>
      <c r="AD116" s="446"/>
      <c r="AE116" s="446"/>
      <c r="AF116" s="446"/>
    </row>
    <row r="117" spans="2:32" ht="21.75" customHeight="1">
      <c r="B117" s="446"/>
      <c r="C117" s="540"/>
      <c r="D117" s="541"/>
      <c r="E117" s="460"/>
      <c r="F117" s="446"/>
      <c r="G117" s="461"/>
      <c r="H117" s="446"/>
      <c r="I117" s="446"/>
      <c r="J117" s="540"/>
      <c r="K117" s="446"/>
      <c r="L117" s="488"/>
      <c r="M117" s="546"/>
      <c r="N117" s="446"/>
      <c r="O117" s="446"/>
      <c r="P117" s="446"/>
      <c r="Q117" s="446"/>
      <c r="R117" s="446"/>
      <c r="S117" s="446"/>
      <c r="T117" s="446"/>
      <c r="U117" s="446"/>
      <c r="V117" s="446"/>
      <c r="X117" s="446"/>
      <c r="Y117" s="446"/>
      <c r="Z117" s="446"/>
      <c r="AA117" s="446"/>
      <c r="AB117" s="446"/>
      <c r="AC117" s="446"/>
      <c r="AD117" s="446"/>
      <c r="AE117" s="446"/>
      <c r="AF117" s="446"/>
    </row>
    <row r="118" spans="2:32" ht="16.5" customHeight="1">
      <c r="B118" s="539"/>
      <c r="C118" s="540"/>
      <c r="D118" s="541"/>
      <c r="E118" s="460"/>
      <c r="F118" s="446"/>
      <c r="G118" s="461"/>
      <c r="H118" s="446"/>
      <c r="I118" s="446"/>
      <c r="J118" s="540"/>
      <c r="K118" s="446"/>
      <c r="L118" s="488"/>
      <c r="M118" s="546"/>
      <c r="N118" s="446"/>
      <c r="O118" s="539"/>
      <c r="P118" s="446"/>
      <c r="Q118" s="446"/>
      <c r="R118" s="446"/>
      <c r="S118" s="446"/>
      <c r="T118" s="446"/>
      <c r="U118" s="446"/>
      <c r="V118" s="446"/>
      <c r="X118" s="446"/>
      <c r="Y118" s="446"/>
      <c r="Z118" s="446"/>
      <c r="AA118" s="446"/>
      <c r="AB118" s="446"/>
      <c r="AC118" s="446"/>
      <c r="AD118" s="446"/>
      <c r="AE118" s="446"/>
      <c r="AF118" s="446"/>
    </row>
    <row r="119" spans="2:32">
      <c r="B119" s="488"/>
      <c r="C119" s="540"/>
      <c r="D119" s="541"/>
      <c r="E119" s="460"/>
      <c r="F119" s="446"/>
      <c r="G119" s="461"/>
      <c r="H119" s="446"/>
      <c r="I119" s="446"/>
      <c r="J119" s="540"/>
      <c r="K119" s="446"/>
      <c r="L119" s="488"/>
      <c r="M119" s="546"/>
      <c r="N119" s="446"/>
      <c r="O119" s="488"/>
      <c r="P119" s="446"/>
      <c r="Q119" s="446"/>
      <c r="R119" s="446"/>
      <c r="S119" s="446"/>
      <c r="T119" s="446"/>
      <c r="U119" s="446"/>
      <c r="V119" s="446"/>
      <c r="X119" s="446"/>
      <c r="Y119" s="446"/>
      <c r="Z119" s="446"/>
      <c r="AA119" s="446"/>
      <c r="AB119" s="446"/>
      <c r="AC119" s="446"/>
      <c r="AD119" s="446"/>
      <c r="AE119" s="446"/>
      <c r="AF119" s="446"/>
    </row>
    <row r="120" spans="2:32">
      <c r="B120" s="488"/>
      <c r="C120" s="540"/>
      <c r="D120" s="541"/>
      <c r="E120" s="460"/>
      <c r="F120" s="446"/>
      <c r="G120" s="461"/>
      <c r="H120" s="446"/>
      <c r="I120" s="446"/>
      <c r="J120" s="540"/>
      <c r="K120" s="446"/>
      <c r="L120" s="488"/>
      <c r="M120" s="546"/>
      <c r="N120" s="446"/>
      <c r="O120" s="488"/>
      <c r="P120" s="446"/>
      <c r="Q120" s="446"/>
      <c r="R120" s="446"/>
      <c r="S120" s="446"/>
      <c r="T120" s="446"/>
      <c r="U120" s="446"/>
      <c r="V120" s="446"/>
      <c r="X120" s="446"/>
      <c r="Y120" s="446"/>
      <c r="Z120" s="446"/>
      <c r="AA120" s="446"/>
      <c r="AB120" s="446"/>
      <c r="AC120" s="446"/>
      <c r="AD120" s="446"/>
      <c r="AE120" s="446"/>
      <c r="AF120" s="446"/>
    </row>
    <row r="121" spans="2:32">
      <c r="B121" s="446"/>
      <c r="C121" s="540"/>
      <c r="D121" s="541"/>
      <c r="E121" s="460"/>
      <c r="F121" s="446"/>
      <c r="G121" s="461"/>
      <c r="H121" s="446"/>
      <c r="I121" s="446"/>
      <c r="J121" s="540"/>
      <c r="K121" s="446"/>
      <c r="L121" s="488"/>
      <c r="M121" s="546"/>
      <c r="N121" s="446"/>
      <c r="O121" s="446"/>
      <c r="P121" s="446"/>
      <c r="Q121" s="446"/>
      <c r="R121" s="446"/>
      <c r="S121" s="446"/>
      <c r="T121" s="446"/>
      <c r="U121" s="446"/>
      <c r="V121" s="446"/>
      <c r="X121" s="446"/>
      <c r="Y121" s="446"/>
      <c r="Z121" s="446"/>
      <c r="AA121" s="446"/>
      <c r="AB121" s="446"/>
      <c r="AC121" s="446"/>
      <c r="AD121" s="446"/>
      <c r="AE121" s="446"/>
      <c r="AF121" s="446"/>
    </row>
    <row r="122" spans="2:32">
      <c r="B122" s="446"/>
      <c r="C122" s="540"/>
      <c r="D122" s="541"/>
      <c r="E122" s="460"/>
      <c r="F122" s="446"/>
      <c r="G122" s="461"/>
      <c r="H122" s="446"/>
      <c r="I122" s="446"/>
      <c r="J122" s="540"/>
      <c r="K122" s="446"/>
      <c r="L122" s="488"/>
      <c r="M122" s="546"/>
      <c r="N122" s="446"/>
      <c r="O122" s="446"/>
      <c r="P122" s="446"/>
      <c r="Q122" s="446"/>
      <c r="R122" s="446"/>
      <c r="S122" s="446"/>
      <c r="T122" s="446"/>
      <c r="U122" s="446"/>
      <c r="V122" s="446"/>
      <c r="X122" s="446"/>
      <c r="Y122" s="446"/>
      <c r="Z122" s="446"/>
      <c r="AA122" s="446"/>
      <c r="AB122" s="446"/>
      <c r="AC122" s="446"/>
      <c r="AD122" s="446"/>
      <c r="AE122" s="446"/>
      <c r="AF122" s="446"/>
    </row>
    <row r="123" spans="2:32">
      <c r="B123" s="446"/>
      <c r="C123" s="540"/>
      <c r="D123" s="541"/>
      <c r="E123" s="460"/>
      <c r="F123" s="446"/>
      <c r="G123" s="461"/>
      <c r="H123" s="446"/>
      <c r="I123" s="446"/>
      <c r="J123" s="540"/>
      <c r="K123" s="446"/>
      <c r="L123" s="488"/>
      <c r="M123" s="546"/>
      <c r="N123" s="446"/>
      <c r="O123" s="446"/>
      <c r="P123" s="446"/>
      <c r="Q123" s="446"/>
      <c r="R123" s="446"/>
      <c r="S123" s="446"/>
      <c r="T123" s="446"/>
      <c r="U123" s="446"/>
      <c r="V123" s="446"/>
      <c r="X123" s="446"/>
      <c r="Y123" s="446"/>
      <c r="Z123" s="446"/>
      <c r="AA123" s="446"/>
      <c r="AB123" s="446"/>
      <c r="AC123" s="446"/>
      <c r="AD123" s="446"/>
      <c r="AE123" s="446"/>
      <c r="AF123" s="446"/>
    </row>
    <row r="124" spans="2:32" ht="21.75" thickBot="1">
      <c r="B124" s="488"/>
      <c r="C124" s="1033" t="s">
        <v>136</v>
      </c>
      <c r="D124" s="1033"/>
      <c r="E124" s="1033"/>
      <c r="F124" s="1033"/>
      <c r="G124" s="1033"/>
      <c r="H124" s="1033"/>
      <c r="I124" s="1033"/>
      <c r="J124" s="1033"/>
      <c r="K124" s="1033"/>
      <c r="L124" s="1033"/>
      <c r="M124" s="1033"/>
      <c r="N124" s="446"/>
      <c r="O124" s="488"/>
      <c r="P124" s="446"/>
      <c r="Q124" s="446"/>
      <c r="R124" s="446"/>
      <c r="S124" s="446"/>
      <c r="T124" s="446"/>
      <c r="U124" s="446"/>
      <c r="V124" s="446"/>
      <c r="X124" s="446"/>
      <c r="Y124" s="446"/>
      <c r="Z124" s="446"/>
      <c r="AA124" s="446"/>
      <c r="AB124" s="446"/>
      <c r="AC124" s="446"/>
      <c r="AD124" s="446"/>
      <c r="AE124" s="446"/>
      <c r="AF124" s="446"/>
    </row>
    <row r="125" spans="2:32" ht="16.5" thickBot="1">
      <c r="B125" s="488"/>
      <c r="C125" s="1608" t="s">
        <v>138</v>
      </c>
      <c r="D125" s="406"/>
      <c r="E125" s="407"/>
      <c r="F125" s="408"/>
      <c r="G125" s="409"/>
      <c r="H125" s="410"/>
      <c r="I125" s="408"/>
      <c r="J125" s="411"/>
      <c r="K125" s="406"/>
      <c r="L125" s="216"/>
      <c r="M125" s="217"/>
      <c r="N125" s="446"/>
      <c r="O125" s="488"/>
      <c r="P125" s="446"/>
      <c r="Q125" s="446"/>
      <c r="R125" s="446"/>
      <c r="S125" s="446"/>
      <c r="T125" s="446"/>
      <c r="U125" s="446"/>
      <c r="V125" s="446"/>
      <c r="X125" s="446"/>
      <c r="Y125" s="446"/>
      <c r="Z125" s="446"/>
      <c r="AA125" s="446"/>
      <c r="AB125" s="446"/>
      <c r="AC125" s="446"/>
      <c r="AD125" s="446"/>
      <c r="AE125" s="446"/>
      <c r="AF125" s="446"/>
    </row>
    <row r="126" spans="2:32">
      <c r="B126" s="488"/>
      <c r="C126" s="1609"/>
      <c r="D126" s="412"/>
      <c r="E126" s="1152" t="s">
        <v>139</v>
      </c>
      <c r="F126" s="413" t="s">
        <v>140</v>
      </c>
      <c r="G126" s="414" t="s">
        <v>141</v>
      </c>
      <c r="H126" s="415"/>
      <c r="I126" s="1036" t="s">
        <v>142</v>
      </c>
      <c r="J126" s="416" t="s">
        <v>143</v>
      </c>
      <c r="K126" s="413" t="s">
        <v>132</v>
      </c>
      <c r="L126" s="246" t="s">
        <v>134</v>
      </c>
      <c r="M126" s="1146"/>
      <c r="N126" s="446"/>
      <c r="O126" s="488"/>
      <c r="P126" s="446"/>
      <c r="Q126" s="446"/>
      <c r="R126" s="446"/>
      <c r="S126" s="446"/>
      <c r="T126" s="446"/>
      <c r="U126" s="446"/>
      <c r="V126" s="446"/>
      <c r="X126" s="446"/>
      <c r="Y126" s="446"/>
      <c r="Z126" s="446"/>
      <c r="AA126" s="446"/>
      <c r="AB126" s="446"/>
      <c r="AC126" s="446"/>
      <c r="AD126" s="446"/>
      <c r="AE126" s="446"/>
      <c r="AF126" s="446"/>
    </row>
    <row r="127" spans="2:32" ht="36" customHeight="1">
      <c r="B127" s="446"/>
      <c r="C127" s="1609"/>
      <c r="D127" s="412"/>
      <c r="E127" s="417" t="s">
        <v>144</v>
      </c>
      <c r="F127" s="418">
        <f>COUNTIF(J$1:J$124,"Positif")</f>
        <v>41</v>
      </c>
      <c r="G127" s="419">
        <f>COUNTIF(J$1:J$124,"Negatif")</f>
        <v>0</v>
      </c>
      <c r="H127" s="415"/>
      <c r="I127" s="420" t="s">
        <v>145</v>
      </c>
      <c r="J127" s="418">
        <f>COUNTIFS(F$1:F$124,"PQR",G$1:G$124, 40)</f>
        <v>5</v>
      </c>
      <c r="K127" s="421">
        <f>COUNTIFS(F$1:F$124,"PQR",G$1:G$124, 65)</f>
        <v>4</v>
      </c>
      <c r="L127" s="422">
        <f>COUNTIFS(F$1:F$124,"PQR",G$1:G$124,64)</f>
        <v>6</v>
      </c>
      <c r="M127" s="1146"/>
      <c r="N127" s="446"/>
      <c r="O127" s="446"/>
      <c r="P127" s="446"/>
      <c r="Q127" s="446"/>
      <c r="R127" s="446"/>
      <c r="S127" s="446"/>
      <c r="T127" s="446"/>
      <c r="U127" s="446"/>
      <c r="V127" s="446"/>
      <c r="X127" s="446"/>
      <c r="Y127" s="446"/>
      <c r="Z127" s="446"/>
      <c r="AA127" s="446"/>
      <c r="AB127" s="446"/>
      <c r="AC127" s="446"/>
      <c r="AD127" s="446"/>
      <c r="AE127" s="446"/>
      <c r="AF127" s="446"/>
    </row>
    <row r="128" spans="2:32" ht="22.5" customHeight="1">
      <c r="B128" s="488"/>
      <c r="C128" s="1609"/>
      <c r="D128" s="412"/>
      <c r="E128" s="423" t="s">
        <v>143</v>
      </c>
      <c r="F128" s="424">
        <f>COUNTIFS(G$1:G$124,40,J$1:J$124, "Positif")</f>
        <v>16</v>
      </c>
      <c r="G128" s="419">
        <f>COUNTIFS(G$1:G$124,40,J$1:J$124, "Negatif")+COUNTIFS(G$1:G$124,40,J$1:J$124, "Negative")+COUNTIFS(G$1:G$124,40,J$1:J$124, "négatif")+COUNTIFS(G$1:G$124,40,J$1:J$124, "négative")</f>
        <v>0</v>
      </c>
      <c r="H128" s="415"/>
      <c r="I128" s="425" t="s">
        <v>146</v>
      </c>
      <c r="J128" s="418">
        <f>COUNTIFS(F$1:F$124,"web",G$1:G$124, 40)</f>
        <v>11</v>
      </c>
      <c r="K128" s="418">
        <f>COUNTIFS(F$1:F$124,"web",G$1:G$124, 65)</f>
        <v>9</v>
      </c>
      <c r="L128" s="419">
        <f>COUNTIFS(F$1:F$124,"web",G$1:G$124, 64)</f>
        <v>4</v>
      </c>
      <c r="M128" s="1146"/>
      <c r="N128" s="446"/>
      <c r="O128" s="488"/>
      <c r="P128" s="446"/>
      <c r="Q128" s="446"/>
      <c r="R128" s="446"/>
      <c r="S128" s="446"/>
      <c r="T128" s="446"/>
      <c r="U128" s="446"/>
      <c r="V128" s="446"/>
      <c r="X128" s="446"/>
      <c r="Y128" s="446"/>
      <c r="Z128" s="446"/>
      <c r="AA128" s="446"/>
      <c r="AB128" s="446"/>
      <c r="AC128" s="446"/>
      <c r="AD128" s="446"/>
      <c r="AE128" s="446"/>
      <c r="AF128" s="446"/>
    </row>
    <row r="129" spans="2:32" ht="49.5" customHeight="1">
      <c r="B129" s="446"/>
      <c r="C129" s="1609"/>
      <c r="D129" s="412"/>
      <c r="E129" s="423" t="s">
        <v>132</v>
      </c>
      <c r="F129" s="424">
        <f>COUNTIFS(G$1:G$124,65,J$1:J$124, "Positif")+COUNTIFS(G$1:G$124,65,J$1:J$124,"Positive")</f>
        <v>13</v>
      </c>
      <c r="G129" s="419">
        <f>COUNTIFS(G$1:G$124,65,J$1:J$124, "Negatif")+COUNTIFS(G$1:G$124,65,J$1:J$124, "Negative")+COUNTIFS(G$1:G$124,65,J$1:J$124, "négatif")+COUNTIFS(G$1:G$124,65,J$1:J$124, "négative")</f>
        <v>0</v>
      </c>
      <c r="H129" s="415"/>
      <c r="I129" s="425" t="s">
        <v>147</v>
      </c>
      <c r="J129" s="418">
        <f>COUNTIFS(F$1:F$124,"radio",G$1:G$124, 40)</f>
        <v>0</v>
      </c>
      <c r="K129" s="418">
        <f>COUNTIFS(F$1:F$124,"radio",G$1:G$124, 65)</f>
        <v>0</v>
      </c>
      <c r="L129" s="419">
        <f>COUNTIFS(F$1:F$124,"radio",G$1:G$124, 64)</f>
        <v>3</v>
      </c>
      <c r="M129" s="1146"/>
      <c r="N129" s="446"/>
      <c r="O129" s="446"/>
      <c r="P129" s="446"/>
      <c r="Q129" s="446"/>
      <c r="R129" s="446"/>
      <c r="S129" s="446"/>
      <c r="T129" s="446"/>
      <c r="U129" s="446"/>
      <c r="V129" s="446"/>
      <c r="X129" s="446"/>
      <c r="Y129" s="446"/>
      <c r="Z129" s="446"/>
      <c r="AA129" s="446"/>
      <c r="AB129" s="446"/>
      <c r="AC129" s="446"/>
      <c r="AD129" s="446"/>
      <c r="AE129" s="446"/>
      <c r="AF129" s="446"/>
    </row>
    <row r="130" spans="2:32" ht="16.5" customHeight="1" thickBot="1">
      <c r="B130" s="488"/>
      <c r="C130" s="1609"/>
      <c r="D130" s="412"/>
      <c r="E130" s="426" t="s">
        <v>134</v>
      </c>
      <c r="F130" s="427">
        <f>COUNTIFS(G$1:G$124,64,J$1:J$124, "Positif")+COUNTIFS(G$1:G$124,64,J$1:J$124,"Positive")</f>
        <v>12</v>
      </c>
      <c r="G130" s="428">
        <f>COUNTIFS(G$7:G$124,64,J$7:J$124, "Negatif")+COUNTIFS(G$7:G$124,64,J$7:J$124, "Negative")+COUNTIFS(G$7:G$124,64,J$7:J$124, "négatif")+COUNTIFS(G$7:G$124,64,J$7:J$124, "négative")</f>
        <v>1</v>
      </c>
      <c r="H130" s="415"/>
      <c r="I130" s="429" t="s">
        <v>148</v>
      </c>
      <c r="J130" s="430">
        <f>COUNTIFS(F$1:F$124,"TV",G$1:G$124, 40)</f>
        <v>0</v>
      </c>
      <c r="K130" s="430">
        <f>COUNTIFS(F$1:F$124,"TV",G$1:G$124, 65)</f>
        <v>0</v>
      </c>
      <c r="L130" s="431">
        <f>COUNTIFS(F$1:F$124,"TV",G$1:G$124, 64)</f>
        <v>0</v>
      </c>
      <c r="M130" s="1146"/>
      <c r="N130" s="446"/>
      <c r="O130" s="488"/>
      <c r="P130" s="446"/>
      <c r="Q130" s="446"/>
      <c r="R130" s="446"/>
      <c r="S130" s="446"/>
      <c r="T130" s="446"/>
      <c r="U130" s="446"/>
      <c r="V130" s="446"/>
      <c r="X130" s="446"/>
      <c r="Y130" s="446"/>
      <c r="Z130" s="446"/>
      <c r="AA130" s="446"/>
      <c r="AB130" s="446"/>
      <c r="AC130" s="446"/>
      <c r="AD130" s="446"/>
      <c r="AE130" s="446"/>
      <c r="AF130" s="446"/>
    </row>
    <row r="131" spans="2:32">
      <c r="B131" s="488"/>
      <c r="C131" s="1609"/>
      <c r="D131" s="412"/>
      <c r="E131" s="432"/>
      <c r="F131" s="433"/>
      <c r="G131" s="433"/>
      <c r="H131" s="415"/>
      <c r="I131" s="434"/>
      <c r="J131" s="435"/>
      <c r="K131" s="436"/>
      <c r="L131" s="434"/>
      <c r="M131" s="437"/>
      <c r="N131" s="446"/>
      <c r="O131" s="488"/>
      <c r="P131" s="446"/>
      <c r="Q131" s="446"/>
      <c r="R131" s="446"/>
      <c r="S131" s="446"/>
      <c r="T131" s="446"/>
      <c r="U131" s="446"/>
      <c r="V131" s="446"/>
      <c r="X131" s="446"/>
      <c r="Y131" s="446"/>
      <c r="Z131" s="446"/>
      <c r="AA131" s="446"/>
      <c r="AB131" s="446"/>
      <c r="AC131" s="446"/>
      <c r="AD131" s="446"/>
      <c r="AE131" s="446"/>
      <c r="AF131" s="446"/>
    </row>
    <row r="132" spans="2:32" ht="16.5" thickBot="1">
      <c r="B132" s="488"/>
      <c r="C132" s="1610"/>
      <c r="D132" s="438"/>
      <c r="E132" s="439"/>
      <c r="F132" s="440"/>
      <c r="G132" s="441"/>
      <c r="H132" s="442"/>
      <c r="I132" s="443"/>
      <c r="J132" s="441"/>
      <c r="K132" s="444"/>
      <c r="L132" s="443"/>
      <c r="M132" s="445"/>
      <c r="N132" s="446"/>
      <c r="O132" s="488"/>
      <c r="P132" s="446"/>
      <c r="Q132" s="446"/>
      <c r="R132" s="446"/>
      <c r="S132" s="446"/>
      <c r="T132" s="446"/>
      <c r="U132" s="446"/>
      <c r="V132" s="446"/>
      <c r="X132" s="446"/>
      <c r="Y132" s="446"/>
      <c r="Z132" s="446"/>
      <c r="AA132" s="446"/>
      <c r="AB132" s="446"/>
      <c r="AC132" s="446"/>
      <c r="AD132" s="446"/>
      <c r="AE132" s="446"/>
      <c r="AF132" s="446"/>
    </row>
    <row r="133" spans="2:32" ht="16.5" customHeight="1" thickBot="1">
      <c r="B133" s="488"/>
      <c r="C133" s="446"/>
      <c r="D133" s="446"/>
      <c r="E133" s="446"/>
      <c r="F133" s="446"/>
      <c r="G133" s="446"/>
      <c r="H133" s="446"/>
      <c r="I133" s="446"/>
      <c r="J133" s="446"/>
      <c r="K133" s="446"/>
      <c r="L133" s="446"/>
      <c r="M133" s="446"/>
      <c r="N133" s="446"/>
      <c r="O133" s="488"/>
      <c r="P133" s="446"/>
      <c r="Q133" s="446"/>
      <c r="R133" s="446"/>
      <c r="S133" s="446"/>
      <c r="T133" s="446"/>
      <c r="U133" s="446"/>
      <c r="V133" s="446"/>
      <c r="X133" s="446"/>
      <c r="Y133" s="446"/>
      <c r="Z133" s="446"/>
      <c r="AA133" s="446"/>
      <c r="AB133" s="446"/>
      <c r="AC133" s="446"/>
      <c r="AD133" s="446"/>
      <c r="AE133" s="446"/>
      <c r="AF133" s="446"/>
    </row>
    <row r="134" spans="2:32" ht="16.5" thickBot="1">
      <c r="B134" s="488"/>
      <c r="C134" s="1608" t="s">
        <v>138</v>
      </c>
      <c r="D134" s="1147"/>
      <c r="E134" s="447"/>
      <c r="F134" s="1148"/>
      <c r="G134" s="1149"/>
      <c r="H134" s="1148"/>
      <c r="I134" s="411"/>
      <c r="J134" s="1150"/>
      <c r="K134" s="446"/>
      <c r="L134" s="446"/>
      <c r="M134" s="446"/>
      <c r="N134" s="446"/>
      <c r="O134" s="488"/>
      <c r="P134" s="446"/>
      <c r="Q134" s="446"/>
      <c r="R134" s="446"/>
      <c r="S134" s="446"/>
      <c r="T134" s="446"/>
      <c r="U134" s="446"/>
      <c r="V134" s="446"/>
      <c r="X134" s="446"/>
      <c r="Y134" s="446"/>
      <c r="Z134" s="446"/>
      <c r="AA134" s="446"/>
      <c r="AB134" s="446"/>
      <c r="AC134" s="446"/>
      <c r="AD134" s="446"/>
      <c r="AE134" s="446"/>
      <c r="AF134" s="446"/>
    </row>
    <row r="135" spans="2:32">
      <c r="B135" s="488"/>
      <c r="C135" s="1609"/>
      <c r="D135" s="1151"/>
      <c r="E135" s="1611" t="s">
        <v>149</v>
      </c>
      <c r="F135" s="1612"/>
      <c r="G135" s="1153"/>
      <c r="H135" s="1611" t="s">
        <v>236</v>
      </c>
      <c r="I135" s="1612"/>
      <c r="J135" s="1146"/>
      <c r="K135" s="446"/>
      <c r="L135" s="446"/>
      <c r="M135" s="446"/>
      <c r="N135" s="446"/>
      <c r="O135" s="488"/>
      <c r="P135" s="446"/>
      <c r="Q135" s="446"/>
      <c r="R135" s="446"/>
      <c r="S135" s="446"/>
      <c r="T135" s="446"/>
      <c r="U135" s="446"/>
      <c r="V135" s="446"/>
      <c r="X135" s="446"/>
      <c r="Y135" s="446"/>
      <c r="Z135" s="446"/>
      <c r="AA135" s="446"/>
      <c r="AB135" s="446"/>
      <c r="AC135" s="446"/>
      <c r="AD135" s="446"/>
      <c r="AE135" s="446"/>
      <c r="AF135" s="446"/>
    </row>
    <row r="136" spans="2:32">
      <c r="B136" s="488"/>
      <c r="C136" s="1609"/>
      <c r="D136" s="1151"/>
      <c r="E136" s="1613"/>
      <c r="F136" s="1614"/>
      <c r="G136" s="1153"/>
      <c r="H136" s="1615"/>
      <c r="I136" s="1616"/>
      <c r="J136" s="1146"/>
      <c r="K136" s="446"/>
      <c r="L136" s="446"/>
      <c r="M136" s="446"/>
      <c r="N136" s="446"/>
      <c r="O136" s="488"/>
      <c r="P136" s="446"/>
      <c r="Q136" s="446"/>
      <c r="R136" s="446"/>
      <c r="S136" s="446"/>
      <c r="T136" s="446"/>
      <c r="U136" s="446"/>
      <c r="V136" s="446"/>
      <c r="X136" s="446"/>
      <c r="Y136" s="446"/>
      <c r="Z136" s="446"/>
      <c r="AA136" s="446"/>
      <c r="AB136" s="446"/>
      <c r="AC136" s="446"/>
      <c r="AD136" s="446"/>
      <c r="AE136" s="446"/>
      <c r="AF136" s="446"/>
    </row>
    <row r="137" spans="2:32">
      <c r="B137" s="446"/>
      <c r="C137" s="1609"/>
      <c r="D137" s="1151"/>
      <c r="E137" s="1613"/>
      <c r="F137" s="1614"/>
      <c r="G137" s="1153"/>
      <c r="H137" s="449" t="s">
        <v>151</v>
      </c>
      <c r="I137" s="450">
        <f>SUM(T:T)</f>
        <v>29</v>
      </c>
      <c r="J137" s="1146"/>
      <c r="K137" s="446"/>
      <c r="L137" s="446"/>
      <c r="M137" s="446"/>
      <c r="N137" s="446"/>
      <c r="O137" s="446"/>
      <c r="P137" s="446"/>
      <c r="Q137" s="446"/>
      <c r="R137" s="446"/>
      <c r="S137" s="446"/>
      <c r="T137" s="446"/>
      <c r="U137" s="446"/>
      <c r="V137" s="446"/>
      <c r="X137" s="446"/>
      <c r="Y137" s="446"/>
      <c r="Z137" s="446"/>
      <c r="AA137" s="446"/>
      <c r="AB137" s="446"/>
      <c r="AC137" s="446"/>
      <c r="AD137" s="446"/>
      <c r="AE137" s="446"/>
      <c r="AF137" s="446"/>
    </row>
    <row r="138" spans="2:32">
      <c r="B138" s="446"/>
      <c r="C138" s="1609"/>
      <c r="D138" s="1151"/>
      <c r="E138" s="452" t="s">
        <v>152</v>
      </c>
      <c r="F138" s="450">
        <f>COUNTIF(Q:Q,40)</f>
        <v>7</v>
      </c>
      <c r="G138" s="1153"/>
      <c r="H138" s="453" t="s">
        <v>153</v>
      </c>
      <c r="I138" s="450">
        <f>SUMIFS(T:T,Q:Q, 40)</f>
        <v>11</v>
      </c>
      <c r="J138" s="1146"/>
      <c r="K138" s="446"/>
      <c r="L138" s="446"/>
      <c r="M138" s="446"/>
      <c r="N138" s="446"/>
      <c r="O138" s="446"/>
      <c r="P138" s="446"/>
      <c r="Q138" s="446"/>
      <c r="R138" s="446"/>
      <c r="S138" s="446"/>
      <c r="T138" s="446"/>
      <c r="U138" s="446"/>
      <c r="V138" s="446"/>
      <c r="X138" s="446"/>
      <c r="Y138" s="446"/>
      <c r="Z138" s="446"/>
      <c r="AA138" s="446"/>
      <c r="AB138" s="446"/>
      <c r="AC138" s="446"/>
      <c r="AD138" s="446"/>
      <c r="AE138" s="446"/>
      <c r="AF138" s="446"/>
    </row>
    <row r="139" spans="2:32" ht="16.5" customHeight="1">
      <c r="B139" s="446"/>
      <c r="C139" s="1609"/>
      <c r="D139" s="1154"/>
      <c r="E139" s="453" t="s">
        <v>154</v>
      </c>
      <c r="F139" s="450">
        <f>COUNTIF(Q:Q,65)</f>
        <v>4</v>
      </c>
      <c r="G139" s="1154"/>
      <c r="H139" s="453" t="s">
        <v>155</v>
      </c>
      <c r="I139" s="450">
        <f>SUMIFS(T:T,Q:Q, 65)</f>
        <v>8</v>
      </c>
      <c r="J139" s="1155"/>
      <c r="K139" s="454"/>
      <c r="L139" s="446"/>
      <c r="M139" s="446"/>
      <c r="N139" s="538"/>
      <c r="O139" s="446"/>
      <c r="P139" s="446"/>
      <c r="Q139" s="446"/>
      <c r="R139" s="446"/>
      <c r="S139" s="446"/>
      <c r="T139" s="446"/>
      <c r="U139" s="446"/>
      <c r="V139" s="446"/>
      <c r="X139" s="446"/>
      <c r="Y139" s="446"/>
      <c r="Z139" s="446"/>
      <c r="AA139" s="446"/>
      <c r="AB139" s="446"/>
      <c r="AC139" s="446"/>
      <c r="AD139" s="446"/>
      <c r="AE139" s="446"/>
      <c r="AF139" s="446"/>
    </row>
    <row r="140" spans="2:32" ht="16.5" thickBot="1">
      <c r="B140" s="446"/>
      <c r="C140" s="1609"/>
      <c r="D140" s="1154"/>
      <c r="E140" s="455" t="s">
        <v>156</v>
      </c>
      <c r="F140" s="456">
        <f>COUNTIF(Q:Q,64)</f>
        <v>4</v>
      </c>
      <c r="G140" s="1154"/>
      <c r="H140" s="455" t="s">
        <v>157</v>
      </c>
      <c r="I140" s="456">
        <f>SUMIFS(T:T,Q:Q, 64)</f>
        <v>10</v>
      </c>
      <c r="J140" s="1155"/>
      <c r="K140" s="454"/>
      <c r="L140" s="446"/>
      <c r="M140" s="446"/>
      <c r="N140" s="538"/>
      <c r="O140" s="446"/>
      <c r="P140" s="446"/>
      <c r="Q140" s="446"/>
      <c r="R140" s="446"/>
      <c r="S140" s="446"/>
      <c r="T140" s="446"/>
      <c r="U140" s="446"/>
      <c r="V140" s="446"/>
      <c r="X140" s="446"/>
      <c r="Y140" s="446"/>
      <c r="Z140" s="446"/>
      <c r="AA140" s="446"/>
      <c r="AB140" s="446"/>
      <c r="AC140" s="446"/>
      <c r="AD140" s="446"/>
      <c r="AE140" s="446"/>
      <c r="AF140" s="446"/>
    </row>
    <row r="141" spans="2:32" ht="16.5" thickBot="1">
      <c r="B141" s="488"/>
      <c r="C141" s="1610"/>
      <c r="D141" s="1156"/>
      <c r="E141" s="1156"/>
      <c r="F141" s="1156"/>
      <c r="G141" s="1156"/>
      <c r="H141" s="1156"/>
      <c r="I141" s="1156"/>
      <c r="J141" s="1157"/>
      <c r="K141" s="458"/>
      <c r="L141" s="446"/>
      <c r="M141" s="446"/>
      <c r="N141" s="446"/>
      <c r="O141" s="488"/>
      <c r="P141" s="446"/>
      <c r="Q141" s="446"/>
      <c r="R141" s="446"/>
      <c r="S141" s="446"/>
      <c r="T141" s="446"/>
      <c r="U141" s="446"/>
      <c r="V141" s="446"/>
      <c r="X141" s="446"/>
      <c r="Y141" s="446"/>
      <c r="Z141" s="446"/>
      <c r="AA141" s="446"/>
      <c r="AB141" s="446"/>
      <c r="AC141" s="446"/>
      <c r="AD141" s="446"/>
      <c r="AE141" s="446"/>
      <c r="AF141" s="446"/>
    </row>
    <row r="142" spans="2:32" ht="16.5" thickBot="1">
      <c r="B142" s="488"/>
      <c r="C142" s="459"/>
      <c r="D142" s="460"/>
      <c r="E142" s="446"/>
      <c r="F142" s="461"/>
      <c r="G142" s="458"/>
      <c r="H142" s="462"/>
      <c r="I142" s="463"/>
      <c r="J142" s="463"/>
      <c r="K142" s="454"/>
      <c r="L142" s="446"/>
      <c r="M142" s="446"/>
      <c r="N142" s="488"/>
      <c r="O142" s="488"/>
      <c r="P142" s="446"/>
      <c r="Q142" s="446"/>
      <c r="R142" s="446"/>
      <c r="S142" s="446"/>
      <c r="T142" s="446"/>
      <c r="U142" s="446"/>
      <c r="V142" s="446"/>
      <c r="X142" s="446"/>
      <c r="Y142" s="446"/>
      <c r="Z142" s="446"/>
      <c r="AA142" s="446"/>
      <c r="AB142" s="446"/>
      <c r="AC142" s="446"/>
      <c r="AD142" s="446"/>
      <c r="AE142" s="446"/>
      <c r="AF142" s="446"/>
    </row>
    <row r="143" spans="2:32" ht="16.5" thickBot="1">
      <c r="B143" s="488"/>
      <c r="C143" s="1608" t="s">
        <v>138</v>
      </c>
      <c r="D143" s="1158"/>
      <c r="E143" s="1158"/>
      <c r="F143" s="1158"/>
      <c r="G143" s="1158"/>
      <c r="H143" s="1158"/>
      <c r="I143" s="1158"/>
      <c r="J143" s="1159"/>
      <c r="K143" s="446"/>
      <c r="L143" s="446"/>
      <c r="M143" s="446"/>
      <c r="N143" s="488"/>
      <c r="O143" s="488"/>
      <c r="P143" s="446"/>
      <c r="Q143" s="446"/>
      <c r="R143" s="446"/>
      <c r="S143" s="446"/>
      <c r="T143" s="446"/>
      <c r="U143" s="446"/>
      <c r="V143" s="446"/>
      <c r="X143" s="446"/>
      <c r="Y143" s="446"/>
      <c r="Z143" s="446"/>
      <c r="AA143" s="446"/>
      <c r="AB143" s="446"/>
      <c r="AC143" s="446"/>
      <c r="AD143" s="446"/>
      <c r="AE143" s="446"/>
      <c r="AF143" s="446"/>
    </row>
    <row r="144" spans="2:32">
      <c r="B144" s="488"/>
      <c r="C144" s="1609"/>
      <c r="D144" s="1154"/>
      <c r="E144" s="1617" t="s">
        <v>237</v>
      </c>
      <c r="F144" s="1618"/>
      <c r="G144" s="1618"/>
      <c r="H144" s="1618"/>
      <c r="I144" s="1619"/>
      <c r="J144" s="1155"/>
      <c r="K144" s="446"/>
      <c r="L144" s="446"/>
      <c r="M144" s="446"/>
      <c r="N144" s="488"/>
      <c r="O144" s="488"/>
      <c r="P144" s="446"/>
      <c r="Q144" s="446"/>
      <c r="R144" s="446"/>
      <c r="S144" s="446"/>
      <c r="T144" s="446"/>
      <c r="U144" s="446"/>
      <c r="V144" s="446"/>
      <c r="X144" s="446"/>
      <c r="Y144" s="446"/>
      <c r="Z144" s="446"/>
      <c r="AA144" s="446"/>
      <c r="AB144" s="446"/>
      <c r="AC144" s="446"/>
      <c r="AD144" s="446"/>
      <c r="AE144" s="446"/>
      <c r="AF144" s="446"/>
    </row>
    <row r="145" spans="2:32">
      <c r="B145" s="488"/>
      <c r="C145" s="1609"/>
      <c r="D145" s="1154"/>
      <c r="E145" s="464" t="s">
        <v>72</v>
      </c>
      <c r="F145" s="465" t="s">
        <v>159</v>
      </c>
      <c r="G145" s="466" t="s">
        <v>143</v>
      </c>
      <c r="H145" s="466" t="s">
        <v>132</v>
      </c>
      <c r="I145" s="467" t="s">
        <v>134</v>
      </c>
      <c r="J145" s="1155"/>
      <c r="K145" s="446"/>
      <c r="L145" s="446"/>
      <c r="M145" s="446"/>
      <c r="N145" s="539"/>
      <c r="O145" s="488"/>
      <c r="P145" s="446"/>
      <c r="Q145" s="446"/>
      <c r="R145" s="446"/>
      <c r="S145" s="446"/>
      <c r="T145" s="446"/>
      <c r="U145" s="446"/>
      <c r="V145" s="446"/>
      <c r="X145" s="446"/>
      <c r="Y145" s="446"/>
      <c r="Z145" s="446"/>
      <c r="AA145" s="446"/>
      <c r="AB145" s="446"/>
      <c r="AC145" s="446"/>
      <c r="AD145" s="446"/>
      <c r="AE145" s="446"/>
      <c r="AF145" s="446"/>
    </row>
    <row r="146" spans="2:32">
      <c r="B146" s="488"/>
      <c r="C146" s="1609"/>
      <c r="D146" s="1154"/>
      <c r="E146" s="468" t="s">
        <v>47</v>
      </c>
      <c r="F146" s="1160">
        <f t="shared" ref="F146:F153" si="0">COUNTIFS(I$11:I$124, E146)</f>
        <v>10</v>
      </c>
      <c r="G146" s="1161">
        <f t="shared" ref="G146:G153" si="1">COUNTIFS(G$11:G$124,40,I$11:I$124, E146)</f>
        <v>3</v>
      </c>
      <c r="H146" s="1162">
        <f t="shared" ref="H146:H153" si="2">COUNTIFS(G$11:G$124,65,I$11:I$124, E146)</f>
        <v>6</v>
      </c>
      <c r="I146" s="1163">
        <f t="shared" ref="I146:I153" si="3">COUNTIFS(G$11:G$124,64,I$11:I$124, E146)</f>
        <v>0</v>
      </c>
      <c r="J146" s="1155"/>
      <c r="K146" s="446"/>
      <c r="L146" s="446"/>
      <c r="M146" s="446"/>
      <c r="N146" s="488"/>
      <c r="O146" s="488"/>
      <c r="P146" s="446"/>
      <c r="Q146" s="446"/>
      <c r="R146" s="446"/>
      <c r="S146" s="446"/>
      <c r="T146" s="446"/>
      <c r="U146" s="446"/>
      <c r="V146" s="446"/>
      <c r="X146" s="446"/>
      <c r="Y146" s="446"/>
      <c r="Z146" s="446"/>
      <c r="AA146" s="446"/>
      <c r="AB146" s="446"/>
      <c r="AC146" s="446"/>
      <c r="AD146" s="446"/>
      <c r="AE146" s="446"/>
      <c r="AF146" s="446"/>
    </row>
    <row r="147" spans="2:32">
      <c r="B147" s="458"/>
      <c r="C147" s="1609"/>
      <c r="D147" s="1154"/>
      <c r="E147" s="469" t="s">
        <v>48</v>
      </c>
      <c r="F147" s="1160">
        <f t="shared" si="0"/>
        <v>3</v>
      </c>
      <c r="G147" s="1161">
        <f t="shared" si="1"/>
        <v>3</v>
      </c>
      <c r="H147" s="1162">
        <f t="shared" si="2"/>
        <v>0</v>
      </c>
      <c r="I147" s="1163">
        <f t="shared" si="3"/>
        <v>0</v>
      </c>
      <c r="J147" s="1155"/>
      <c r="K147" s="446"/>
      <c r="L147" s="446"/>
      <c r="M147" s="446"/>
      <c r="N147" s="446"/>
      <c r="O147" s="488"/>
      <c r="P147" s="446"/>
      <c r="Q147" s="446"/>
      <c r="R147" s="446"/>
      <c r="S147" s="446"/>
      <c r="T147" s="446"/>
      <c r="U147" s="446"/>
      <c r="V147" s="446"/>
    </row>
    <row r="148" spans="2:32">
      <c r="B148" s="446"/>
      <c r="C148" s="1609"/>
      <c r="D148" s="1154"/>
      <c r="E148" s="469" t="s">
        <v>49</v>
      </c>
      <c r="F148" s="1160">
        <f t="shared" si="0"/>
        <v>1</v>
      </c>
      <c r="G148" s="1161">
        <f t="shared" si="1"/>
        <v>1</v>
      </c>
      <c r="H148" s="1162">
        <f t="shared" si="2"/>
        <v>0</v>
      </c>
      <c r="I148" s="1163">
        <f t="shared" si="3"/>
        <v>0</v>
      </c>
      <c r="J148" s="1155"/>
      <c r="K148" s="446"/>
      <c r="L148" s="446"/>
      <c r="M148" s="446"/>
      <c r="N148" s="539"/>
      <c r="O148" s="446"/>
      <c r="P148" s="446"/>
      <c r="Q148" s="446"/>
      <c r="R148" s="446"/>
      <c r="S148" s="446"/>
      <c r="T148" s="446"/>
      <c r="U148" s="446"/>
      <c r="V148" s="446"/>
    </row>
    <row r="149" spans="2:32">
      <c r="B149" s="446"/>
      <c r="C149" s="1609"/>
      <c r="D149" s="1154"/>
      <c r="E149" s="469" t="s">
        <v>50</v>
      </c>
      <c r="F149" s="1160">
        <f t="shared" si="0"/>
        <v>17</v>
      </c>
      <c r="G149" s="1161">
        <f t="shared" si="1"/>
        <v>4</v>
      </c>
      <c r="H149" s="1162">
        <f t="shared" si="2"/>
        <v>7</v>
      </c>
      <c r="I149" s="1163">
        <f t="shared" si="3"/>
        <v>6</v>
      </c>
      <c r="J149" s="1155"/>
      <c r="K149" s="446"/>
      <c r="L149" s="446"/>
      <c r="M149" s="446"/>
      <c r="N149" s="488"/>
      <c r="O149" s="446"/>
      <c r="P149" s="446"/>
      <c r="Q149" s="446"/>
      <c r="R149" s="446"/>
      <c r="S149" s="446"/>
      <c r="T149" s="446"/>
      <c r="U149" s="446"/>
      <c r="V149" s="446"/>
    </row>
    <row r="150" spans="2:32">
      <c r="B150" s="446"/>
      <c r="C150" s="1609"/>
      <c r="D150" s="1154"/>
      <c r="E150" s="469" t="s">
        <v>51</v>
      </c>
      <c r="F150" s="1160">
        <f t="shared" si="0"/>
        <v>9</v>
      </c>
      <c r="G150" s="1161">
        <f t="shared" si="1"/>
        <v>5</v>
      </c>
      <c r="H150" s="1162">
        <f t="shared" si="2"/>
        <v>0</v>
      </c>
      <c r="I150" s="1163">
        <f t="shared" si="3"/>
        <v>4</v>
      </c>
      <c r="J150" s="1155"/>
      <c r="K150" s="446"/>
      <c r="L150" s="446"/>
      <c r="M150" s="446"/>
      <c r="N150" s="488"/>
      <c r="O150" s="446"/>
      <c r="P150" s="446"/>
      <c r="Q150" s="446"/>
      <c r="R150" s="446"/>
      <c r="S150" s="446"/>
      <c r="T150" s="446"/>
      <c r="U150" s="446"/>
      <c r="V150" s="446"/>
    </row>
    <row r="151" spans="2:32">
      <c r="B151" s="446"/>
      <c r="C151" s="1609"/>
      <c r="D151" s="1154"/>
      <c r="E151" s="469" t="s">
        <v>52</v>
      </c>
      <c r="F151" s="1160">
        <f t="shared" si="0"/>
        <v>0</v>
      </c>
      <c r="G151" s="1161">
        <f t="shared" si="1"/>
        <v>0</v>
      </c>
      <c r="H151" s="1162">
        <f t="shared" si="2"/>
        <v>0</v>
      </c>
      <c r="I151" s="1163">
        <f t="shared" si="3"/>
        <v>0</v>
      </c>
      <c r="J151" s="1155"/>
      <c r="K151" s="446"/>
      <c r="L151" s="446"/>
      <c r="M151" s="446"/>
      <c r="N151" s="446"/>
      <c r="O151" s="446"/>
      <c r="P151" s="446"/>
      <c r="Q151" s="446"/>
      <c r="R151" s="446"/>
      <c r="S151" s="446"/>
      <c r="T151" s="446"/>
      <c r="U151" s="446"/>
      <c r="V151" s="446"/>
    </row>
    <row r="152" spans="2:32">
      <c r="B152" s="446"/>
      <c r="C152" s="1609"/>
      <c r="D152" s="1154"/>
      <c r="E152" s="469" t="s">
        <v>53</v>
      </c>
      <c r="F152" s="1160">
        <f t="shared" si="0"/>
        <v>2</v>
      </c>
      <c r="G152" s="1161">
        <f t="shared" si="1"/>
        <v>0</v>
      </c>
      <c r="H152" s="1162">
        <f t="shared" si="2"/>
        <v>0</v>
      </c>
      <c r="I152" s="1163">
        <f t="shared" si="3"/>
        <v>2</v>
      </c>
      <c r="J152" s="1155"/>
      <c r="K152" s="446"/>
      <c r="L152" s="446"/>
      <c r="M152" s="446"/>
      <c r="N152" s="446"/>
      <c r="O152" s="446"/>
      <c r="P152" s="446"/>
      <c r="Q152" s="446"/>
      <c r="R152" s="446"/>
      <c r="S152" s="446"/>
      <c r="T152" s="446"/>
      <c r="U152" s="446"/>
      <c r="V152" s="446"/>
    </row>
    <row r="153" spans="2:32" ht="16.5" thickBot="1">
      <c r="B153" s="446"/>
      <c r="C153" s="1609"/>
      <c r="D153" s="1154"/>
      <c r="E153" s="470" t="s">
        <v>54</v>
      </c>
      <c r="F153" s="1164">
        <f t="shared" si="0"/>
        <v>0</v>
      </c>
      <c r="G153" s="1165">
        <f t="shared" si="1"/>
        <v>0</v>
      </c>
      <c r="H153" s="1166">
        <f t="shared" si="2"/>
        <v>0</v>
      </c>
      <c r="I153" s="1167">
        <f t="shared" si="3"/>
        <v>0</v>
      </c>
      <c r="J153" s="1155"/>
      <c r="K153" s="446"/>
      <c r="L153" s="446"/>
      <c r="M153" s="446"/>
      <c r="N153" s="446"/>
      <c r="O153" s="446"/>
      <c r="P153" s="446"/>
      <c r="Q153" s="446"/>
      <c r="R153" s="446"/>
      <c r="S153" s="446"/>
      <c r="T153" s="446"/>
      <c r="U153" s="446"/>
      <c r="V153" s="446"/>
    </row>
    <row r="154" spans="2:32">
      <c r="B154" s="446"/>
      <c r="C154" s="1609"/>
      <c r="D154" s="1154"/>
      <c r="E154" s="1154"/>
      <c r="F154" s="1154"/>
      <c r="G154" s="1154"/>
      <c r="H154" s="1154"/>
      <c r="I154" s="1154"/>
      <c r="J154" s="1155"/>
      <c r="K154" s="446"/>
      <c r="L154" s="446"/>
      <c r="M154" s="446"/>
      <c r="N154" s="488"/>
      <c r="O154" s="446"/>
      <c r="P154" s="446"/>
      <c r="Q154" s="446"/>
      <c r="R154" s="446"/>
      <c r="S154" s="446"/>
      <c r="T154" s="446"/>
      <c r="U154" s="446"/>
      <c r="V154" s="446"/>
    </row>
    <row r="155" spans="2:32" ht="16.5" thickBot="1">
      <c r="B155" s="446"/>
      <c r="C155" s="1610"/>
      <c r="D155" s="1156"/>
      <c r="E155" s="1156"/>
      <c r="F155" s="1156"/>
      <c r="G155" s="1156"/>
      <c r="H155" s="1156"/>
      <c r="I155" s="1156"/>
      <c r="J155" s="1157"/>
      <c r="K155" s="446"/>
      <c r="L155" s="446"/>
      <c r="M155" s="446"/>
      <c r="N155" s="488"/>
      <c r="O155" s="446"/>
      <c r="P155" s="446"/>
      <c r="Q155" s="446"/>
      <c r="R155" s="446"/>
      <c r="S155" s="446"/>
      <c r="T155" s="446"/>
      <c r="U155" s="446"/>
      <c r="V155" s="446"/>
    </row>
    <row r="156" spans="2:32">
      <c r="B156" s="446"/>
      <c r="C156" s="446"/>
      <c r="D156" s="446"/>
      <c r="E156" s="446"/>
      <c r="F156" s="446"/>
      <c r="G156" s="446"/>
      <c r="H156" s="446"/>
      <c r="I156" s="446"/>
      <c r="J156" s="446"/>
      <c r="K156" s="446"/>
      <c r="L156" s="446"/>
      <c r="M156" s="446"/>
      <c r="N156" s="488"/>
      <c r="O156" s="446"/>
      <c r="P156" s="446"/>
      <c r="Q156" s="446"/>
      <c r="R156" s="446"/>
      <c r="S156" s="446"/>
      <c r="T156" s="446"/>
      <c r="U156" s="446"/>
      <c r="V156" s="446"/>
    </row>
    <row r="157" spans="2:32" ht="16.5" thickBot="1">
      <c r="B157" s="446"/>
      <c r="C157" s="446"/>
      <c r="D157" s="446"/>
      <c r="E157" s="446"/>
      <c r="F157" s="446"/>
      <c r="G157" s="446"/>
      <c r="H157" s="446"/>
      <c r="I157" s="446"/>
      <c r="J157" s="446"/>
      <c r="K157" s="446"/>
      <c r="L157" s="446"/>
      <c r="M157" s="446"/>
      <c r="N157" s="446"/>
      <c r="O157" s="446"/>
      <c r="P157" s="446"/>
      <c r="Q157" s="446"/>
      <c r="R157" s="446"/>
      <c r="S157" s="446"/>
      <c r="T157" s="446"/>
      <c r="U157" s="446"/>
      <c r="V157" s="446"/>
    </row>
    <row r="158" spans="2:32" ht="16.5" thickBot="1">
      <c r="B158" s="446"/>
      <c r="C158" s="1600" t="s">
        <v>138</v>
      </c>
      <c r="D158" s="471"/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  <c r="O158" s="446"/>
      <c r="P158" s="446"/>
      <c r="Q158" s="446"/>
      <c r="R158" s="446"/>
      <c r="S158" s="446"/>
      <c r="T158" s="446"/>
      <c r="U158" s="446"/>
      <c r="V158" s="446"/>
    </row>
    <row r="159" spans="2:32">
      <c r="B159" s="446"/>
      <c r="C159" s="1601"/>
      <c r="D159" s="474"/>
      <c r="E159" s="1220" t="s">
        <v>160</v>
      </c>
      <c r="F159" s="1221"/>
      <c r="G159" s="1221"/>
      <c r="H159" s="1221"/>
      <c r="I159" s="1221"/>
      <c r="J159" s="1221"/>
      <c r="K159" s="1221"/>
      <c r="L159" s="1221"/>
      <c r="M159" s="1222"/>
      <c r="N159" s="1168"/>
      <c r="O159" s="446"/>
      <c r="P159" s="446"/>
      <c r="Q159" s="446"/>
      <c r="R159" s="446"/>
      <c r="S159" s="446"/>
      <c r="T159" s="446"/>
      <c r="U159" s="446"/>
      <c r="V159" s="446"/>
    </row>
    <row r="160" spans="2:32">
      <c r="B160" s="446"/>
      <c r="C160" s="1601"/>
      <c r="D160" s="474"/>
      <c r="E160" s="1223"/>
      <c r="F160" s="1224"/>
      <c r="G160" s="1224"/>
      <c r="H160" s="1224"/>
      <c r="I160" s="1224"/>
      <c r="J160" s="1224"/>
      <c r="K160" s="1224"/>
      <c r="L160" s="1224"/>
      <c r="M160" s="1225"/>
      <c r="N160" s="475"/>
      <c r="O160" s="446"/>
      <c r="P160" s="446"/>
      <c r="Q160" s="446"/>
      <c r="R160" s="446"/>
      <c r="S160" s="446"/>
      <c r="T160" s="446"/>
      <c r="U160" s="446"/>
      <c r="V160" s="446"/>
    </row>
    <row r="161" spans="2:22">
      <c r="B161" s="446"/>
      <c r="C161" s="1601"/>
      <c r="D161" s="474"/>
      <c r="E161" s="464" t="s">
        <v>161</v>
      </c>
      <c r="F161" s="1603" t="s">
        <v>159</v>
      </c>
      <c r="G161" s="1604"/>
      <c r="H161" s="1605" t="s">
        <v>143</v>
      </c>
      <c r="I161" s="1606"/>
      <c r="J161" s="1605" t="s">
        <v>162</v>
      </c>
      <c r="K161" s="1606"/>
      <c r="L161" s="1605" t="s">
        <v>163</v>
      </c>
      <c r="M161" s="1607"/>
      <c r="N161" s="475"/>
      <c r="O161" s="446"/>
      <c r="P161" s="446"/>
      <c r="Q161" s="446"/>
      <c r="R161" s="446"/>
      <c r="S161" s="446"/>
      <c r="T161" s="446"/>
      <c r="U161" s="446"/>
      <c r="V161" s="446"/>
    </row>
    <row r="162" spans="2:22">
      <c r="B162" s="446"/>
      <c r="C162" s="1601"/>
      <c r="D162" s="474"/>
      <c r="E162" s="476" t="s">
        <v>47</v>
      </c>
      <c r="F162" s="1169">
        <f t="shared" ref="F162:G169" si="4">SUM(H162,J162,L162)</f>
        <v>9</v>
      </c>
      <c r="G162" s="1170">
        <f t="shared" si="4"/>
        <v>0</v>
      </c>
      <c r="H162" s="1169">
        <f t="shared" ref="H162:H169" si="5">COUNTIFS(I$1:I$124, E162,J$1:J$124, "Positif",G$1:G$124, 40)</f>
        <v>3</v>
      </c>
      <c r="I162" s="1170">
        <f t="shared" ref="I162:I169" si="6">COUNTIFS(I$1:I$124,E162,J$1:J$124,"Negatif",G$1:G$124,40)+COUNTIFS(I$1:I$124,E162,J$1:J$124,"Négatif",G$1:G$124,40)</f>
        <v>0</v>
      </c>
      <c r="J162" s="1169">
        <f t="shared" ref="J162:J169" si="7">COUNTIFS(I$1:I$124, E162,J$1:J$124, "Positif",G$1:G$124, 65)</f>
        <v>6</v>
      </c>
      <c r="K162" s="1170">
        <f t="shared" ref="K162:K169" si="8">COUNTIFS(I$1:I$124,E162,J$1:J$124,"Negatif",G$1:G$124,65)+COUNTIFS(I$1:I$124,E162,J$1:J$124,"Négatif",G$1:G$124,65)</f>
        <v>0</v>
      </c>
      <c r="L162" s="1169">
        <f t="shared" ref="L162:L169" si="9">COUNTIFS(I$1:I$124, E162,J$1:J$124, "Positif",G$1:G$124,64)</f>
        <v>0</v>
      </c>
      <c r="M162" s="1171">
        <f t="shared" ref="M162:M169" si="10">COUNTIFS(I$1:I$124,E162,J$1:J$124,"Negatif",G$1:G$124,64)+COUNTIFS(I$1:I$124,E162,J$1:J$124,"Négatif",G$1:G$124,64)</f>
        <v>0</v>
      </c>
      <c r="N162" s="475"/>
      <c r="O162" s="446"/>
      <c r="P162" s="446"/>
      <c r="Q162" s="446"/>
      <c r="R162" s="446"/>
      <c r="S162" s="446"/>
      <c r="T162" s="446"/>
      <c r="U162" s="446"/>
      <c r="V162" s="446"/>
    </row>
    <row r="163" spans="2:22">
      <c r="B163" s="446"/>
      <c r="C163" s="1601"/>
      <c r="D163" s="474"/>
      <c r="E163" s="476" t="s">
        <v>48</v>
      </c>
      <c r="F163" s="1169">
        <f t="shared" si="4"/>
        <v>3</v>
      </c>
      <c r="G163" s="1170">
        <f t="shared" si="4"/>
        <v>0</v>
      </c>
      <c r="H163" s="1169">
        <f t="shared" si="5"/>
        <v>3</v>
      </c>
      <c r="I163" s="1170">
        <f t="shared" si="6"/>
        <v>0</v>
      </c>
      <c r="J163" s="1169">
        <f t="shared" si="7"/>
        <v>0</v>
      </c>
      <c r="K163" s="1170">
        <f t="shared" si="8"/>
        <v>0</v>
      </c>
      <c r="L163" s="1169">
        <f t="shared" si="9"/>
        <v>0</v>
      </c>
      <c r="M163" s="1171">
        <f t="shared" si="10"/>
        <v>0</v>
      </c>
      <c r="N163" s="475"/>
      <c r="O163" s="446"/>
      <c r="P163" s="446"/>
      <c r="Q163" s="446"/>
      <c r="R163" s="446"/>
      <c r="S163" s="446"/>
      <c r="T163" s="446"/>
      <c r="U163" s="446"/>
      <c r="V163" s="446"/>
    </row>
    <row r="164" spans="2:22">
      <c r="B164" s="446"/>
      <c r="C164" s="1601"/>
      <c r="D164" s="474"/>
      <c r="E164" s="476" t="s">
        <v>49</v>
      </c>
      <c r="F164" s="1169">
        <f t="shared" si="4"/>
        <v>1</v>
      </c>
      <c r="G164" s="1170">
        <f t="shared" si="4"/>
        <v>0</v>
      </c>
      <c r="H164" s="1169">
        <f t="shared" si="5"/>
        <v>1</v>
      </c>
      <c r="I164" s="1170">
        <f t="shared" si="6"/>
        <v>0</v>
      </c>
      <c r="J164" s="1169">
        <f t="shared" si="7"/>
        <v>0</v>
      </c>
      <c r="K164" s="1170">
        <f t="shared" si="8"/>
        <v>0</v>
      </c>
      <c r="L164" s="1169">
        <f t="shared" si="9"/>
        <v>0</v>
      </c>
      <c r="M164" s="1171">
        <f t="shared" si="10"/>
        <v>0</v>
      </c>
      <c r="N164" s="475"/>
      <c r="O164" s="446"/>
      <c r="P164" s="446"/>
      <c r="Q164" s="446"/>
      <c r="R164" s="446"/>
      <c r="S164" s="446"/>
      <c r="T164" s="446"/>
      <c r="U164" s="446"/>
      <c r="V164" s="446"/>
    </row>
    <row r="165" spans="2:22">
      <c r="B165" s="446"/>
      <c r="C165" s="1601"/>
      <c r="D165" s="474"/>
      <c r="E165" s="476" t="s">
        <v>50</v>
      </c>
      <c r="F165" s="1169">
        <f t="shared" si="4"/>
        <v>17</v>
      </c>
      <c r="G165" s="1170">
        <f t="shared" si="4"/>
        <v>0</v>
      </c>
      <c r="H165" s="1169">
        <f t="shared" si="5"/>
        <v>4</v>
      </c>
      <c r="I165" s="1170">
        <f t="shared" si="6"/>
        <v>0</v>
      </c>
      <c r="J165" s="1169">
        <f t="shared" si="7"/>
        <v>7</v>
      </c>
      <c r="K165" s="1170">
        <f t="shared" si="8"/>
        <v>0</v>
      </c>
      <c r="L165" s="1169">
        <f t="shared" si="9"/>
        <v>6</v>
      </c>
      <c r="M165" s="1171">
        <f t="shared" si="10"/>
        <v>0</v>
      </c>
      <c r="N165" s="475"/>
      <c r="O165" s="446"/>
      <c r="P165" s="446"/>
      <c r="Q165" s="446"/>
      <c r="R165" s="446"/>
      <c r="S165" s="446"/>
      <c r="T165" s="446"/>
      <c r="U165" s="446"/>
      <c r="V165" s="446"/>
    </row>
    <row r="166" spans="2:22">
      <c r="B166" s="446"/>
      <c r="C166" s="1601"/>
      <c r="D166" s="474"/>
      <c r="E166" s="476" t="s">
        <v>51</v>
      </c>
      <c r="F166" s="1169">
        <f t="shared" si="4"/>
        <v>9</v>
      </c>
      <c r="G166" s="1170">
        <f t="shared" si="4"/>
        <v>0</v>
      </c>
      <c r="H166" s="1169">
        <f t="shared" si="5"/>
        <v>5</v>
      </c>
      <c r="I166" s="1170">
        <f t="shared" si="6"/>
        <v>0</v>
      </c>
      <c r="J166" s="1169">
        <f t="shared" si="7"/>
        <v>0</v>
      </c>
      <c r="K166" s="1170">
        <f t="shared" si="8"/>
        <v>0</v>
      </c>
      <c r="L166" s="1169">
        <f t="shared" si="9"/>
        <v>4</v>
      </c>
      <c r="M166" s="1171">
        <f t="shared" si="10"/>
        <v>0</v>
      </c>
      <c r="N166" s="475"/>
      <c r="O166" s="446"/>
      <c r="P166" s="446"/>
      <c r="Q166" s="446"/>
      <c r="R166" s="446"/>
      <c r="S166" s="446"/>
      <c r="T166" s="446"/>
      <c r="U166" s="446"/>
      <c r="V166" s="446"/>
    </row>
    <row r="167" spans="2:22">
      <c r="B167" s="446"/>
      <c r="C167" s="1601"/>
      <c r="D167" s="474"/>
      <c r="E167" s="476" t="s">
        <v>52</v>
      </c>
      <c r="F167" s="1169">
        <f t="shared" si="4"/>
        <v>0</v>
      </c>
      <c r="G167" s="1170">
        <f t="shared" si="4"/>
        <v>0</v>
      </c>
      <c r="H167" s="1169">
        <f t="shared" si="5"/>
        <v>0</v>
      </c>
      <c r="I167" s="1170">
        <f t="shared" si="6"/>
        <v>0</v>
      </c>
      <c r="J167" s="1169">
        <f t="shared" si="7"/>
        <v>0</v>
      </c>
      <c r="K167" s="1170">
        <f t="shared" si="8"/>
        <v>0</v>
      </c>
      <c r="L167" s="1169">
        <f t="shared" si="9"/>
        <v>0</v>
      </c>
      <c r="M167" s="1171">
        <f t="shared" si="10"/>
        <v>0</v>
      </c>
      <c r="N167" s="475"/>
      <c r="O167" s="446"/>
      <c r="P167" s="446"/>
      <c r="Q167" s="446"/>
      <c r="R167" s="446"/>
      <c r="S167" s="446"/>
      <c r="T167" s="446"/>
      <c r="U167" s="446"/>
      <c r="V167" s="446"/>
    </row>
    <row r="168" spans="2:22">
      <c r="B168" s="446"/>
      <c r="C168" s="1601"/>
      <c r="D168" s="474"/>
      <c r="E168" s="476" t="s">
        <v>53</v>
      </c>
      <c r="F168" s="1169">
        <f t="shared" si="4"/>
        <v>1</v>
      </c>
      <c r="G168" s="1170">
        <f t="shared" si="4"/>
        <v>1</v>
      </c>
      <c r="H168" s="1169">
        <f t="shared" si="5"/>
        <v>0</v>
      </c>
      <c r="I168" s="1170">
        <f t="shared" si="6"/>
        <v>0</v>
      </c>
      <c r="J168" s="1169">
        <f t="shared" si="7"/>
        <v>0</v>
      </c>
      <c r="K168" s="1170">
        <f t="shared" si="8"/>
        <v>0</v>
      </c>
      <c r="L168" s="1169">
        <f t="shared" si="9"/>
        <v>1</v>
      </c>
      <c r="M168" s="1171">
        <f t="shared" si="10"/>
        <v>1</v>
      </c>
      <c r="N168" s="475"/>
      <c r="O168" s="446"/>
      <c r="P168" s="446"/>
      <c r="Q168" s="446"/>
      <c r="R168" s="446"/>
      <c r="S168" s="446"/>
      <c r="T168" s="446"/>
      <c r="U168" s="446"/>
      <c r="V168" s="446"/>
    </row>
    <row r="169" spans="2:22" ht="16.5" thickBot="1">
      <c r="B169" s="446"/>
      <c r="C169" s="1601"/>
      <c r="D169" s="474"/>
      <c r="E169" s="477" t="s">
        <v>54</v>
      </c>
      <c r="F169" s="1172">
        <f t="shared" si="4"/>
        <v>0</v>
      </c>
      <c r="G169" s="1173">
        <f t="shared" si="4"/>
        <v>0</v>
      </c>
      <c r="H169" s="1172">
        <f t="shared" si="5"/>
        <v>0</v>
      </c>
      <c r="I169" s="1173">
        <f t="shared" si="6"/>
        <v>0</v>
      </c>
      <c r="J169" s="1172">
        <f t="shared" si="7"/>
        <v>0</v>
      </c>
      <c r="K169" s="1173">
        <f t="shared" si="8"/>
        <v>0</v>
      </c>
      <c r="L169" s="1172">
        <f t="shared" si="9"/>
        <v>0</v>
      </c>
      <c r="M169" s="1174">
        <f t="shared" si="10"/>
        <v>0</v>
      </c>
      <c r="N169" s="475"/>
      <c r="O169" s="446"/>
      <c r="P169" s="446"/>
      <c r="Q169" s="446"/>
      <c r="R169" s="446"/>
      <c r="S169" s="446"/>
      <c r="T169" s="446"/>
      <c r="U169" s="446"/>
      <c r="V169" s="446"/>
    </row>
    <row r="170" spans="2:22">
      <c r="B170" s="446"/>
      <c r="C170" s="1601"/>
      <c r="D170" s="474"/>
      <c r="E170" s="478"/>
      <c r="F170" s="479"/>
      <c r="G170" s="479"/>
      <c r="H170" s="479"/>
      <c r="I170" s="479"/>
      <c r="J170" s="480"/>
      <c r="K170" s="480"/>
      <c r="L170" s="480"/>
      <c r="M170" s="480"/>
      <c r="N170" s="475"/>
      <c r="O170" s="446"/>
      <c r="P170" s="446"/>
      <c r="Q170" s="446"/>
      <c r="R170" s="446"/>
      <c r="S170" s="446"/>
      <c r="T170" s="446"/>
      <c r="U170" s="446"/>
      <c r="V170" s="446"/>
    </row>
    <row r="171" spans="2:22" ht="16.5" thickBot="1">
      <c r="B171" s="446"/>
      <c r="C171" s="1602"/>
      <c r="D171" s="481"/>
      <c r="E171" s="482"/>
      <c r="F171" s="482"/>
      <c r="G171" s="482"/>
      <c r="H171" s="482"/>
      <c r="I171" s="482"/>
      <c r="J171" s="482"/>
      <c r="K171" s="482"/>
      <c r="L171" s="482"/>
      <c r="M171" s="482"/>
      <c r="N171" s="483"/>
      <c r="O171" s="446"/>
      <c r="P171" s="446"/>
      <c r="Q171" s="446"/>
      <c r="R171" s="446"/>
      <c r="S171" s="446"/>
      <c r="T171" s="446"/>
      <c r="U171" s="446"/>
      <c r="V171" s="446"/>
    </row>
  </sheetData>
  <sheetProtection formatCells="0" insertHyperlinks="0"/>
  <autoFilter ref="C10:J59" xr:uid="{00000000-0009-0000-0000-000007000000}">
    <sortState xmlns:xlrd2="http://schemas.microsoft.com/office/spreadsheetml/2017/richdata2" ref="C11:J61">
      <sortCondition ref="C10:C61"/>
    </sortState>
  </autoFilter>
  <mergeCells count="18">
    <mergeCell ref="C158:C171"/>
    <mergeCell ref="F161:G161"/>
    <mergeCell ref="H161:I161"/>
    <mergeCell ref="J161:K161"/>
    <mergeCell ref="L161:M161"/>
    <mergeCell ref="B2:L4"/>
    <mergeCell ref="C125:C132"/>
    <mergeCell ref="C8:K9"/>
    <mergeCell ref="M8:T9"/>
    <mergeCell ref="S11:S13"/>
    <mergeCell ref="S15:S17"/>
    <mergeCell ref="S18:S20"/>
    <mergeCell ref="S21:S23"/>
    <mergeCell ref="E144:I144"/>
    <mergeCell ref="C143:C155"/>
    <mergeCell ref="C134:C141"/>
    <mergeCell ref="E135:F137"/>
    <mergeCell ref="H135:I136"/>
  </mergeCells>
  <conditionalFormatting sqref="J54:J59">
    <cfRule type="cellIs" dxfId="477" priority="109" operator="equal">
      <formula>"Positif"</formula>
    </cfRule>
    <cfRule type="cellIs" dxfId="476" priority="110" operator="equal">
      <formula>"Negatif"</formula>
    </cfRule>
  </conditionalFormatting>
  <conditionalFormatting sqref="J54:J59">
    <cfRule type="cellIs" dxfId="475" priority="108" operator="equal">
      <formula>"négatif"</formula>
    </cfRule>
  </conditionalFormatting>
  <conditionalFormatting sqref="K125">
    <cfRule type="cellIs" dxfId="474" priority="97" operator="equal">
      <formula>"Positif"</formula>
    </cfRule>
    <cfRule type="cellIs" dxfId="473" priority="98" operator="equal">
      <formula>"Negatif"</formula>
    </cfRule>
  </conditionalFormatting>
  <conditionalFormatting sqref="J54:J55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2" priority="2267" operator="equal">
      <formula>"Negatif"</formula>
    </cfRule>
    <cfRule type="colorScale" priority="2268">
      <colorScale>
        <cfvo type="min"/>
        <cfvo type="max"/>
        <color rgb="FFFF7128"/>
        <color rgb="FFFFEF9C"/>
      </colorScale>
    </cfRule>
  </conditionalFormatting>
  <conditionalFormatting sqref="J54:J59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1" priority="2276" operator="equal">
      <formula>"Negatif"</formula>
    </cfRule>
    <cfRule type="colorScale" priority="2277">
      <colorScale>
        <cfvo type="min"/>
        <cfvo type="max"/>
        <color rgb="FFFF7128"/>
        <color rgb="FFFFEF9C"/>
      </colorScale>
    </cfRule>
  </conditionalFormatting>
  <conditionalFormatting sqref="J54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0" priority="2285" operator="equal">
      <formula>"Negatif"</formula>
    </cfRule>
    <cfRule type="colorScale" priority="2286">
      <colorScale>
        <cfvo type="min"/>
        <cfvo type="max"/>
        <color rgb="FFFF7128"/>
        <color rgb="FFFFEF9C"/>
      </colorScale>
    </cfRule>
  </conditionalFormatting>
  <conditionalFormatting sqref="J36">
    <cfRule type="cellIs" dxfId="469" priority="2" operator="equal">
      <formula>"Positif"</formula>
    </cfRule>
    <cfRule type="cellIs" dxfId="468" priority="3" operator="equal">
      <formula>"Negatif"</formula>
    </cfRule>
  </conditionalFormatting>
  <conditionalFormatting sqref="J36">
    <cfRule type="cellIs" dxfId="467" priority="1" operator="equal">
      <formula>"négatif"</formula>
    </cfRule>
  </conditionalFormatting>
  <conditionalFormatting sqref="J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6" priority="5" operator="equal">
      <formula>"Negatif"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5" priority="8" operator="equal">
      <formula>"Negatif"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J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4" priority="11" operator="equal">
      <formula>"Negatif"</formula>
    </cfRule>
    <cfRule type="colorScale" priority="12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I11:I59" xr:uid="{00000000-0002-0000-0700-000000000000}">
      <formula1>$E$146:$E$153</formula1>
    </dataValidation>
  </dataValidations>
  <hyperlinks>
    <hyperlink ref="S11:S13" r:id="rId1" display="PDF" xr:uid="{00000000-0004-0000-0700-000000000000}"/>
    <hyperlink ref="S14" r:id="rId2" xr:uid="{00000000-0004-0000-0700-000001000000}"/>
    <hyperlink ref="S15:S17" r:id="rId3" display="Mail" xr:uid="{00000000-0004-0000-0700-000002000000}"/>
    <hyperlink ref="S18:S20" r:id="rId4" display="PDF" xr:uid="{00000000-0004-0000-0700-000003000000}"/>
    <hyperlink ref="S21:S23" r:id="rId5" display="PDF" xr:uid="{00000000-0004-0000-0700-000004000000}"/>
    <hyperlink ref="K11" r:id="rId6" xr:uid="{00000000-0004-0000-0700-000005000000}"/>
    <hyperlink ref="K12" r:id="rId7" xr:uid="{00000000-0004-0000-0700-000006000000}"/>
    <hyperlink ref="K13" r:id="rId8" xr:uid="{00000000-0004-0000-0700-000007000000}"/>
    <hyperlink ref="K15" r:id="rId9" xr:uid="{00000000-0004-0000-0700-000008000000}"/>
    <hyperlink ref="K16" r:id="rId10" xr:uid="{00000000-0004-0000-0700-000009000000}"/>
    <hyperlink ref="K17" r:id="rId11" xr:uid="{00000000-0004-0000-0700-00000A000000}"/>
    <hyperlink ref="K18" r:id="rId12" xr:uid="{00000000-0004-0000-0700-00000B000000}"/>
    <hyperlink ref="K22" r:id="rId13" xr:uid="{00000000-0004-0000-0700-00000C000000}"/>
    <hyperlink ref="K23" r:id="rId14" xr:uid="{00000000-0004-0000-0700-00000D000000}"/>
    <hyperlink ref="K24" r:id="rId15" xr:uid="{00000000-0004-0000-0700-00000E000000}"/>
    <hyperlink ref="K25" r:id="rId16" xr:uid="{00000000-0004-0000-0700-00000F000000}"/>
    <hyperlink ref="K26" r:id="rId17" xr:uid="{00000000-0004-0000-0700-000010000000}"/>
    <hyperlink ref="K27" r:id="rId18" xr:uid="{00000000-0004-0000-0700-000011000000}"/>
    <hyperlink ref="K28" r:id="rId19" xr:uid="{00000000-0004-0000-0700-000012000000}"/>
    <hyperlink ref="K29" r:id="rId20" xr:uid="{00000000-0004-0000-0700-000013000000}"/>
    <hyperlink ref="K32" r:id="rId21" xr:uid="{00000000-0004-0000-0700-000014000000}"/>
    <hyperlink ref="K33" r:id="rId22" xr:uid="{00000000-0004-0000-0700-000015000000}"/>
    <hyperlink ref="K34" r:id="rId23" xr:uid="{00000000-0004-0000-0700-000016000000}"/>
    <hyperlink ref="K35" r:id="rId24" xr:uid="{00000000-0004-0000-0700-000017000000}"/>
    <hyperlink ref="K36" r:id="rId25" xr:uid="{00000000-0004-0000-0700-000018000000}"/>
    <hyperlink ref="K42" r:id="rId26" xr:uid="{00000000-0004-0000-0700-000019000000}"/>
    <hyperlink ref="K41" r:id="rId27" xr:uid="{00000000-0004-0000-0700-00001A000000}"/>
    <hyperlink ref="K43" r:id="rId28" xr:uid="{00000000-0004-0000-0700-00001B000000}"/>
    <hyperlink ref="K45" r:id="rId29" xr:uid="{00000000-0004-0000-0700-00001C000000}"/>
    <hyperlink ref="K14" r:id="rId30" xr:uid="{00000000-0004-0000-0700-00001D000000}"/>
    <hyperlink ref="K19" r:id="rId31" xr:uid="{00000000-0004-0000-0700-00001E000000}"/>
    <hyperlink ref="K20" r:id="rId32" xr:uid="{00000000-0004-0000-0700-00001F000000}"/>
    <hyperlink ref="K21" r:id="rId33" xr:uid="{00000000-0004-0000-0700-000020000000}"/>
    <hyperlink ref="K50" r:id="rId34" xr:uid="{00000000-0004-0000-0700-000021000000}"/>
    <hyperlink ref="K51" r:id="rId35" xr:uid="{00000000-0004-0000-0700-000022000000}"/>
    <hyperlink ref="K53" r:id="rId36" xr:uid="{00000000-0004-0000-0700-000023000000}"/>
  </hyperlinks>
  <pageMargins left="0.7" right="0.7" top="0.75" bottom="0.75" header="0.3" footer="0.3"/>
  <pageSetup paperSize="9" orientation="portrait" r:id="rId37"/>
  <legacyDrawing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/>
  <dimension ref="A1:AH195"/>
  <sheetViews>
    <sheetView topLeftCell="I1" zoomScale="70" zoomScaleNormal="70" workbookViewId="0">
      <selection activeCell="O12" sqref="O12"/>
    </sheetView>
  </sheetViews>
  <sheetFormatPr defaultColWidth="11" defaultRowHeight="15.75"/>
  <cols>
    <col min="1" max="1" width="4.25" customWidth="1"/>
    <col min="2" max="2" width="3.125" customWidth="1"/>
    <col min="3" max="3" width="9.25" style="7" customWidth="1"/>
    <col min="4" max="4" width="7.25" style="234" customWidth="1"/>
    <col min="5" max="5" width="88" style="1" customWidth="1"/>
    <col min="6" max="6" width="7.5" customWidth="1"/>
    <col min="7" max="7" width="7" style="2" customWidth="1"/>
    <col min="8" max="8" width="31.25" customWidth="1"/>
    <col min="9" max="9" width="15" customWidth="1"/>
    <col min="10" max="10" width="11.5" style="7" customWidth="1"/>
    <col min="11" max="11" width="11.25" customWidth="1"/>
    <col min="12" max="12" width="6.125" style="3" customWidth="1"/>
    <col min="13" max="13" width="14.5" style="5" customWidth="1"/>
    <col min="14" max="14" width="7.25" customWidth="1"/>
    <col min="15" max="15" width="55.5" customWidth="1"/>
    <col min="16" max="17" width="7.625" customWidth="1"/>
    <col min="18" max="18" width="13.75" customWidth="1"/>
    <col min="19" max="19" width="8.25" customWidth="1"/>
    <col min="20" max="20" width="14.25" customWidth="1"/>
    <col min="23" max="23" width="11" style="22"/>
    <col min="24" max="24" width="37.125" style="22" customWidth="1"/>
    <col min="25" max="25" width="9.75" style="22" customWidth="1"/>
    <col min="26" max="26" width="24.125" style="22" customWidth="1"/>
    <col min="27" max="27" width="13" style="22" customWidth="1"/>
    <col min="28" max="28" width="16.125" style="22" customWidth="1"/>
    <col min="29" max="29" width="14.625" style="22" customWidth="1"/>
    <col min="30" max="30" width="15.75" customWidth="1"/>
  </cols>
  <sheetData>
    <row r="1" spans="1:29" ht="16.5" thickBot="1">
      <c r="A1" s="22"/>
      <c r="B1" s="22"/>
      <c r="C1" s="182"/>
      <c r="D1" s="227"/>
      <c r="E1" s="183"/>
      <c r="F1" s="22"/>
      <c r="G1" s="184"/>
      <c r="H1" s="22"/>
      <c r="I1" s="22"/>
      <c r="J1" s="182"/>
      <c r="K1" s="23"/>
      <c r="L1" s="31"/>
      <c r="M1" s="1013"/>
      <c r="N1" s="22"/>
      <c r="O1" s="22"/>
      <c r="P1" s="22"/>
      <c r="Q1" s="22"/>
      <c r="R1" s="22"/>
      <c r="S1" s="22"/>
      <c r="T1" s="22"/>
      <c r="U1" s="22"/>
      <c r="V1" s="22"/>
    </row>
    <row r="2" spans="1:29" ht="15.75" customHeight="1">
      <c r="A2" s="22"/>
      <c r="B2" s="1656" t="s">
        <v>423</v>
      </c>
      <c r="C2" s="1657"/>
      <c r="D2" s="1657"/>
      <c r="E2" s="1657"/>
      <c r="F2" s="1657"/>
      <c r="G2" s="1657"/>
      <c r="H2" s="1657"/>
      <c r="I2" s="1657"/>
      <c r="J2" s="1657"/>
      <c r="K2" s="1657"/>
      <c r="L2" s="1658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9" ht="15.75" customHeight="1">
      <c r="A3" s="22"/>
      <c r="B3" s="1659"/>
      <c r="C3" s="1660"/>
      <c r="D3" s="1660"/>
      <c r="E3" s="1660"/>
      <c r="F3" s="1660"/>
      <c r="G3" s="1660"/>
      <c r="H3" s="1660"/>
      <c r="I3" s="1660"/>
      <c r="J3" s="1660"/>
      <c r="K3" s="1660"/>
      <c r="L3" s="1661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9" ht="15.75" customHeight="1" thickBot="1">
      <c r="A4" s="22"/>
      <c r="B4" s="1662"/>
      <c r="C4" s="1663"/>
      <c r="D4" s="1663"/>
      <c r="E4" s="1663"/>
      <c r="F4" s="1663"/>
      <c r="G4" s="1663"/>
      <c r="H4" s="1663"/>
      <c r="I4" s="1663"/>
      <c r="J4" s="1663"/>
      <c r="K4" s="1663"/>
      <c r="L4" s="1664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9" ht="15.75" customHeight="1">
      <c r="A5" s="22"/>
      <c r="B5" s="23"/>
      <c r="C5" s="195"/>
      <c r="D5" s="228"/>
      <c r="E5" s="195"/>
      <c r="F5" s="195"/>
      <c r="G5" s="195"/>
      <c r="H5" s="195"/>
      <c r="I5" s="195"/>
      <c r="J5" s="195"/>
      <c r="K5" s="188"/>
      <c r="L5" s="188"/>
      <c r="M5" s="23"/>
      <c r="N5" s="22"/>
      <c r="O5" s="22"/>
      <c r="P5" s="22"/>
      <c r="Q5" s="22"/>
      <c r="R5" s="22"/>
      <c r="S5" s="22"/>
      <c r="T5" s="22"/>
      <c r="U5" s="22"/>
      <c r="V5" s="22"/>
    </row>
    <row r="6" spans="1:29" ht="15.75" customHeight="1" thickBot="1">
      <c r="A6" s="22"/>
      <c r="B6" s="23"/>
      <c r="C6" s="195"/>
      <c r="D6" s="228"/>
      <c r="E6" s="195"/>
      <c r="F6" s="195"/>
      <c r="G6" s="195"/>
      <c r="H6" s="195"/>
      <c r="I6" s="195"/>
      <c r="J6" s="195"/>
      <c r="K6" s="188"/>
      <c r="L6" s="188"/>
      <c r="M6" s="23"/>
      <c r="N6" s="22"/>
      <c r="O6" s="22"/>
      <c r="P6" s="22"/>
      <c r="Q6" s="22"/>
      <c r="R6" s="22"/>
      <c r="S6" s="22"/>
      <c r="T6" s="22"/>
      <c r="U6" s="22"/>
      <c r="V6" s="22"/>
    </row>
    <row r="7" spans="1:29" ht="15.75" customHeight="1" thickBot="1">
      <c r="A7" s="22"/>
      <c r="B7" s="11"/>
      <c r="C7" s="198"/>
      <c r="D7" s="229"/>
      <c r="E7" s="198"/>
      <c r="F7" s="198"/>
      <c r="G7" s="198"/>
      <c r="H7" s="198"/>
      <c r="I7" s="198"/>
      <c r="J7" s="198"/>
      <c r="K7" s="210"/>
      <c r="L7" s="210"/>
      <c r="M7" s="12"/>
      <c r="N7" s="12"/>
      <c r="O7" s="12"/>
      <c r="P7" s="12"/>
      <c r="Q7" s="12"/>
      <c r="R7" s="12"/>
      <c r="S7" s="12"/>
      <c r="T7" s="12"/>
      <c r="U7" s="13"/>
      <c r="V7" s="22"/>
    </row>
    <row r="8" spans="1:29" ht="15.75" customHeight="1">
      <c r="A8" s="22"/>
      <c r="B8" s="14"/>
      <c r="C8" s="1665" t="s">
        <v>64</v>
      </c>
      <c r="D8" s="1666"/>
      <c r="E8" s="1666"/>
      <c r="F8" s="1666"/>
      <c r="G8" s="1666"/>
      <c r="H8" s="1666"/>
      <c r="I8" s="1666"/>
      <c r="J8" s="1666"/>
      <c r="K8" s="1667"/>
      <c r="L8" s="238"/>
      <c r="M8" s="1665" t="s">
        <v>65</v>
      </c>
      <c r="N8" s="1666"/>
      <c r="O8" s="1666"/>
      <c r="P8" s="1666"/>
      <c r="Q8" s="1666"/>
      <c r="R8" s="1666"/>
      <c r="S8" s="1666"/>
      <c r="T8" s="1667"/>
      <c r="U8" s="52"/>
      <c r="V8" s="22"/>
    </row>
    <row r="9" spans="1:29" ht="15.75" customHeight="1">
      <c r="A9" s="22"/>
      <c r="B9" s="14"/>
      <c r="C9" s="1668"/>
      <c r="D9" s="1669"/>
      <c r="E9" s="1669"/>
      <c r="F9" s="1669"/>
      <c r="G9" s="1669"/>
      <c r="H9" s="1669"/>
      <c r="I9" s="1669"/>
      <c r="J9" s="1669"/>
      <c r="K9" s="1670"/>
      <c r="L9" s="238"/>
      <c r="M9" s="1668"/>
      <c r="N9" s="1669"/>
      <c r="O9" s="1669"/>
      <c r="P9" s="1669"/>
      <c r="Q9" s="1669"/>
      <c r="R9" s="1669"/>
      <c r="S9" s="1669"/>
      <c r="T9" s="1670"/>
      <c r="U9" s="52"/>
      <c r="V9" s="22"/>
    </row>
    <row r="10" spans="1:29" ht="30" customHeight="1">
      <c r="A10" s="22"/>
      <c r="B10" s="14"/>
      <c r="C10" s="220" t="s">
        <v>66</v>
      </c>
      <c r="D10" s="746" t="s">
        <v>67</v>
      </c>
      <c r="E10" s="221" t="s">
        <v>68</v>
      </c>
      <c r="F10" s="222" t="s">
        <v>69</v>
      </c>
      <c r="G10" s="222" t="s">
        <v>70</v>
      </c>
      <c r="H10" s="222" t="s">
        <v>71</v>
      </c>
      <c r="I10" s="222" t="s">
        <v>72</v>
      </c>
      <c r="J10" s="223" t="s">
        <v>73</v>
      </c>
      <c r="K10" s="750" t="s">
        <v>74</v>
      </c>
      <c r="L10" s="207"/>
      <c r="M10" s="747" t="s">
        <v>75</v>
      </c>
      <c r="N10" s="19" t="s">
        <v>76</v>
      </c>
      <c r="O10" s="269" t="s">
        <v>77</v>
      </c>
      <c r="P10" s="269" t="s">
        <v>69</v>
      </c>
      <c r="Q10" s="269" t="s">
        <v>70</v>
      </c>
      <c r="R10" s="269" t="s">
        <v>72</v>
      </c>
      <c r="S10" s="269" t="s">
        <v>74</v>
      </c>
      <c r="T10" s="214" t="s">
        <v>64</v>
      </c>
      <c r="U10" s="52"/>
      <c r="V10" s="22"/>
    </row>
    <row r="11" spans="1:29" s="6" customFormat="1" ht="15.75" customHeight="1">
      <c r="A11" s="185"/>
      <c r="B11" s="199"/>
      <c r="C11" s="1227">
        <v>43957</v>
      </c>
      <c r="D11" s="1228"/>
      <c r="E11" s="1242" t="s">
        <v>424</v>
      </c>
      <c r="F11" s="1243" t="s">
        <v>419</v>
      </c>
      <c r="G11" s="1230">
        <v>65</v>
      </c>
      <c r="H11" s="1244" t="s">
        <v>196</v>
      </c>
      <c r="I11" s="1244" t="s">
        <v>52</v>
      </c>
      <c r="J11" s="1245"/>
      <c r="K11" s="796"/>
      <c r="L11" s="236"/>
      <c r="M11" s="1227">
        <v>43973</v>
      </c>
      <c r="N11" s="1228">
        <v>47</v>
      </c>
      <c r="O11" s="1231" t="s">
        <v>425</v>
      </c>
      <c r="P11" s="1230" t="s">
        <v>94</v>
      </c>
      <c r="Q11" s="1230">
        <v>65</v>
      </c>
      <c r="R11" s="1231" t="s">
        <v>52</v>
      </c>
      <c r="S11" s="859"/>
      <c r="T11" s="1246">
        <f>COUNTIF(D:D,N11)+COUNTIF(Juin!D:D,N11)</f>
        <v>4</v>
      </c>
      <c r="U11" s="52"/>
      <c r="V11" s="185"/>
      <c r="W11" s="185"/>
      <c r="X11" s="185"/>
      <c r="Y11" s="185"/>
      <c r="Z11" s="185"/>
      <c r="AA11" s="185"/>
      <c r="AB11" s="185"/>
      <c r="AC11" s="185"/>
    </row>
    <row r="12" spans="1:29" s="6" customFormat="1" ht="30">
      <c r="A12" s="185"/>
      <c r="B12" s="199"/>
      <c r="C12" s="1227">
        <v>43972</v>
      </c>
      <c r="D12" s="1228">
        <v>47</v>
      </c>
      <c r="E12" s="1244" t="s">
        <v>425</v>
      </c>
      <c r="F12" s="1243" t="s">
        <v>419</v>
      </c>
      <c r="G12" s="1230">
        <v>65</v>
      </c>
      <c r="H12" s="1242" t="s">
        <v>426</v>
      </c>
      <c r="I12" s="1244" t="s">
        <v>52</v>
      </c>
      <c r="J12" s="1245" t="s">
        <v>80</v>
      </c>
      <c r="K12" s="796" t="s">
        <v>427</v>
      </c>
      <c r="L12" s="236"/>
      <c r="M12" s="1227">
        <v>43971</v>
      </c>
      <c r="N12" s="1228">
        <v>48</v>
      </c>
      <c r="O12" s="1229" t="s">
        <v>428</v>
      </c>
      <c r="P12" s="1230" t="s">
        <v>10</v>
      </c>
      <c r="Q12" s="1230">
        <v>64</v>
      </c>
      <c r="R12" s="1244" t="s">
        <v>52</v>
      </c>
      <c r="S12" s="859"/>
      <c r="T12" s="1246">
        <f>COUNTIF(D:D,N12)+COUNTIF(Juin!D:D,N12)</f>
        <v>4</v>
      </c>
      <c r="U12" s="52"/>
      <c r="V12" s="185"/>
      <c r="W12" s="185"/>
      <c r="X12" s="185"/>
      <c r="Y12" s="185"/>
      <c r="Z12" s="185"/>
      <c r="AA12" s="185"/>
      <c r="AB12" s="185"/>
      <c r="AC12" s="185"/>
    </row>
    <row r="13" spans="1:29" ht="30">
      <c r="A13" s="22"/>
      <c r="B13" s="14"/>
      <c r="C13" s="1227">
        <v>43973</v>
      </c>
      <c r="D13" s="1228">
        <v>47</v>
      </c>
      <c r="E13" s="1244" t="s">
        <v>425</v>
      </c>
      <c r="F13" s="1243" t="s">
        <v>419</v>
      </c>
      <c r="G13" s="1230">
        <v>65</v>
      </c>
      <c r="H13" s="1242" t="s">
        <v>429</v>
      </c>
      <c r="I13" s="1244" t="s">
        <v>52</v>
      </c>
      <c r="J13" s="1245" t="s">
        <v>80</v>
      </c>
      <c r="K13" s="796" t="s">
        <v>427</v>
      </c>
      <c r="L13" s="89"/>
      <c r="M13" s="1227">
        <v>43979</v>
      </c>
      <c r="N13" s="1228">
        <v>49</v>
      </c>
      <c r="O13" s="1229" t="s">
        <v>430</v>
      </c>
      <c r="P13" s="1230" t="s">
        <v>94</v>
      </c>
      <c r="Q13" s="1230">
        <v>65</v>
      </c>
      <c r="R13" s="1244" t="s">
        <v>52</v>
      </c>
      <c r="S13" s="1034" t="s">
        <v>397</v>
      </c>
      <c r="T13" s="1246">
        <f>COUNTIF(D:D,N13)+COUNTIF(Juin!D:D,N13)</f>
        <v>6</v>
      </c>
      <c r="U13" s="52"/>
      <c r="V13" s="22"/>
    </row>
    <row r="14" spans="1:29" s="3" customFormat="1" ht="16.5" thickBot="1">
      <c r="A14" s="186"/>
      <c r="B14" s="196"/>
      <c r="C14" s="1247">
        <v>43958</v>
      </c>
      <c r="D14" s="1228">
        <v>501</v>
      </c>
      <c r="E14" s="1229" t="s">
        <v>431</v>
      </c>
      <c r="F14" s="1243" t="s">
        <v>9</v>
      </c>
      <c r="G14" s="1248">
        <v>40</v>
      </c>
      <c r="H14" s="1244" t="s">
        <v>432</v>
      </c>
      <c r="I14" s="1244" t="s">
        <v>48</v>
      </c>
      <c r="J14" s="1245" t="s">
        <v>80</v>
      </c>
      <c r="K14" s="741" t="s">
        <v>96</v>
      </c>
      <c r="L14" s="236"/>
      <c r="M14" s="1249">
        <v>43980</v>
      </c>
      <c r="N14" s="1250">
        <v>50</v>
      </c>
      <c r="O14" s="1251" t="s">
        <v>433</v>
      </c>
      <c r="P14" s="1252" t="s">
        <v>94</v>
      </c>
      <c r="Q14" s="1252">
        <v>40</v>
      </c>
      <c r="R14" s="1253" t="s">
        <v>54</v>
      </c>
      <c r="S14" s="754" t="s">
        <v>397</v>
      </c>
      <c r="T14" s="1254">
        <f>COUNTIF(D:D,N14)+COUNTIF(Juin!D:D,N14)</f>
        <v>11</v>
      </c>
      <c r="U14" s="52"/>
      <c r="V14" s="186"/>
      <c r="W14" s="186"/>
      <c r="X14" s="186"/>
      <c r="Y14" s="186"/>
      <c r="Z14" s="186"/>
      <c r="AA14" s="186"/>
      <c r="AB14" s="186"/>
      <c r="AC14" s="186"/>
    </row>
    <row r="15" spans="1:29" s="3" customFormat="1" ht="16.5" thickBot="1">
      <c r="A15" s="186"/>
      <c r="B15" s="196"/>
      <c r="C15" s="1227">
        <v>43963</v>
      </c>
      <c r="D15" s="1228"/>
      <c r="E15" s="1229" t="s">
        <v>424</v>
      </c>
      <c r="F15" s="1230" t="s">
        <v>8</v>
      </c>
      <c r="G15" s="1230">
        <v>65</v>
      </c>
      <c r="H15" s="1244" t="s">
        <v>196</v>
      </c>
      <c r="I15" s="1244" t="s">
        <v>52</v>
      </c>
      <c r="J15" s="1245" t="s">
        <v>80</v>
      </c>
      <c r="K15" s="741" t="s">
        <v>397</v>
      </c>
      <c r="L15" s="236"/>
      <c r="M15" s="1249">
        <v>43957</v>
      </c>
      <c r="N15" s="1250">
        <v>501</v>
      </c>
      <c r="O15" s="1251" t="s">
        <v>434</v>
      </c>
      <c r="P15" s="1252" t="s">
        <v>94</v>
      </c>
      <c r="Q15" s="1252">
        <v>40</v>
      </c>
      <c r="R15" s="1253" t="s">
        <v>48</v>
      </c>
      <c r="S15" s="754"/>
      <c r="T15" s="1254">
        <f>COUNTIF(D:D,N15)+COUNTIF(Juin!D:D,N15)</f>
        <v>1</v>
      </c>
      <c r="U15" s="52"/>
      <c r="V15" s="186"/>
      <c r="W15" s="186"/>
      <c r="X15" s="186"/>
      <c r="Y15" s="186"/>
      <c r="Z15" s="186"/>
      <c r="AA15" s="186"/>
      <c r="AB15" s="186"/>
      <c r="AC15" s="186"/>
    </row>
    <row r="16" spans="1:29" s="3" customFormat="1">
      <c r="A16" s="186"/>
      <c r="B16" s="196"/>
      <c r="C16" s="1227">
        <v>43963</v>
      </c>
      <c r="D16" s="1228"/>
      <c r="E16" s="1244" t="s">
        <v>435</v>
      </c>
      <c r="F16" s="1243" t="s">
        <v>9</v>
      </c>
      <c r="G16" s="1230">
        <v>40</v>
      </c>
      <c r="H16" s="1244" t="s">
        <v>299</v>
      </c>
      <c r="I16" s="1244" t="s">
        <v>52</v>
      </c>
      <c r="J16" s="1245" t="s">
        <v>80</v>
      </c>
      <c r="K16" s="741" t="s">
        <v>96</v>
      </c>
      <c r="L16" s="209"/>
      <c r="M16" s="208"/>
      <c r="N16" s="749"/>
      <c r="O16" s="556"/>
      <c r="P16" s="752"/>
      <c r="Q16" s="557"/>
      <c r="R16" s="1025"/>
      <c r="S16" s="1632"/>
      <c r="T16" s="230"/>
      <c r="U16" s="52"/>
      <c r="V16" s="186"/>
      <c r="W16" s="186"/>
      <c r="X16" s="186"/>
      <c r="Y16" s="186"/>
      <c r="Z16" s="186"/>
      <c r="AA16" s="186"/>
      <c r="AB16" s="186"/>
      <c r="AC16" s="186"/>
    </row>
    <row r="17" spans="1:29" s="3" customFormat="1">
      <c r="A17" s="186"/>
      <c r="B17" s="196"/>
      <c r="C17" s="1227">
        <v>43964</v>
      </c>
      <c r="D17" s="1228"/>
      <c r="E17" s="1244" t="s">
        <v>436</v>
      </c>
      <c r="F17" s="1230" t="s">
        <v>8</v>
      </c>
      <c r="G17" s="1230">
        <v>40</v>
      </c>
      <c r="H17" s="1244" t="s">
        <v>299</v>
      </c>
      <c r="I17" s="1244" t="s">
        <v>52</v>
      </c>
      <c r="J17" s="1245" t="s">
        <v>80</v>
      </c>
      <c r="K17" s="741" t="s">
        <v>397</v>
      </c>
      <c r="L17" s="209"/>
      <c r="M17" s="208"/>
      <c r="N17" s="749"/>
      <c r="O17" s="556"/>
      <c r="P17" s="752"/>
      <c r="Q17" s="557"/>
      <c r="R17" s="1025"/>
      <c r="S17" s="1632"/>
      <c r="T17" s="230"/>
      <c r="U17" s="52"/>
      <c r="V17" s="186"/>
      <c r="W17" s="186"/>
      <c r="X17" s="186"/>
      <c r="Y17" s="186"/>
      <c r="Z17" s="186"/>
      <c r="AA17" s="186"/>
      <c r="AB17" s="186"/>
      <c r="AC17" s="186"/>
    </row>
    <row r="18" spans="1:29" s="3" customFormat="1">
      <c r="A18" s="186"/>
      <c r="B18" s="196"/>
      <c r="C18" s="1227">
        <v>43964</v>
      </c>
      <c r="D18" s="1228"/>
      <c r="E18" s="1244" t="s">
        <v>435</v>
      </c>
      <c r="F18" s="1243" t="s">
        <v>9</v>
      </c>
      <c r="G18" s="1230">
        <v>40</v>
      </c>
      <c r="H18" s="1244" t="s">
        <v>118</v>
      </c>
      <c r="I18" s="1244" t="s">
        <v>52</v>
      </c>
      <c r="J18" s="1245" t="s">
        <v>80</v>
      </c>
      <c r="K18" s="741" t="s">
        <v>96</v>
      </c>
      <c r="L18" s="209"/>
      <c r="M18" s="208"/>
      <c r="N18" s="749"/>
      <c r="O18" s="556"/>
      <c r="P18" s="752"/>
      <c r="Q18" s="557"/>
      <c r="R18" s="1025"/>
      <c r="S18" s="1632"/>
      <c r="T18" s="230"/>
      <c r="U18" s="52"/>
      <c r="V18" s="186"/>
      <c r="W18" s="186"/>
      <c r="X18" s="186"/>
      <c r="Y18" s="186"/>
      <c r="Z18" s="186"/>
      <c r="AA18" s="186"/>
      <c r="AB18" s="186"/>
      <c r="AC18" s="186"/>
    </row>
    <row r="19" spans="1:29" s="3" customFormat="1">
      <c r="A19" s="186"/>
      <c r="B19" s="196"/>
      <c r="C19" s="1227">
        <v>43969</v>
      </c>
      <c r="D19" s="1228"/>
      <c r="E19" s="1244" t="s">
        <v>437</v>
      </c>
      <c r="F19" s="1243" t="s">
        <v>9</v>
      </c>
      <c r="G19" s="1230">
        <v>64</v>
      </c>
      <c r="H19" s="1244" t="s">
        <v>118</v>
      </c>
      <c r="I19" s="1244" t="s">
        <v>52</v>
      </c>
      <c r="J19" s="1245" t="s">
        <v>80</v>
      </c>
      <c r="K19" s="741" t="s">
        <v>96</v>
      </c>
      <c r="L19" s="209"/>
      <c r="M19" s="208"/>
      <c r="N19" s="749"/>
      <c r="O19" s="556"/>
      <c r="P19" s="752"/>
      <c r="Q19" s="557"/>
      <c r="R19" s="1025"/>
      <c r="S19" s="1029"/>
      <c r="T19" s="230"/>
      <c r="U19" s="52"/>
      <c r="V19" s="186"/>
      <c r="W19" s="186"/>
      <c r="X19" s="186"/>
      <c r="Y19" s="186"/>
      <c r="Z19" s="186"/>
      <c r="AA19" s="186"/>
      <c r="AB19" s="186"/>
      <c r="AC19" s="186"/>
    </row>
    <row r="20" spans="1:29" s="3" customFormat="1">
      <c r="A20" s="186"/>
      <c r="B20" s="196"/>
      <c r="C20" s="1247">
        <v>43970</v>
      </c>
      <c r="D20" s="1228"/>
      <c r="E20" s="1244" t="s">
        <v>438</v>
      </c>
      <c r="F20" s="1243" t="s">
        <v>8</v>
      </c>
      <c r="G20" s="1230">
        <v>64</v>
      </c>
      <c r="H20" s="1242" t="s">
        <v>299</v>
      </c>
      <c r="I20" s="1244" t="s">
        <v>52</v>
      </c>
      <c r="J20" s="1245" t="s">
        <v>80</v>
      </c>
      <c r="K20" s="741" t="s">
        <v>397</v>
      </c>
      <c r="L20" s="209"/>
      <c r="M20" s="208"/>
      <c r="N20" s="749"/>
      <c r="O20" s="556"/>
      <c r="P20" s="752"/>
      <c r="Q20" s="557"/>
      <c r="R20" s="1025"/>
      <c r="S20" s="748"/>
      <c r="T20" s="230"/>
      <c r="U20" s="52"/>
      <c r="V20" s="186"/>
      <c r="W20" s="186"/>
      <c r="X20" s="186"/>
      <c r="Y20" s="186"/>
      <c r="Z20" s="186"/>
      <c r="AA20" s="186"/>
      <c r="AB20" s="186"/>
      <c r="AC20" s="186"/>
    </row>
    <row r="21" spans="1:29" s="3" customFormat="1">
      <c r="A21" s="186"/>
      <c r="B21" s="196"/>
      <c r="C21" s="1227">
        <v>43971</v>
      </c>
      <c r="D21" s="1228"/>
      <c r="E21" s="1244" t="s">
        <v>439</v>
      </c>
      <c r="F21" s="1243" t="s">
        <v>9</v>
      </c>
      <c r="G21" s="1230">
        <v>64</v>
      </c>
      <c r="H21" s="1244" t="s">
        <v>118</v>
      </c>
      <c r="I21" s="1244" t="s">
        <v>52</v>
      </c>
      <c r="J21" s="1245" t="s">
        <v>80</v>
      </c>
      <c r="K21" s="741" t="s">
        <v>96</v>
      </c>
      <c r="L21" s="209"/>
      <c r="M21" s="208"/>
      <c r="N21" s="749"/>
      <c r="O21" s="556"/>
      <c r="P21" s="752"/>
      <c r="Q21" s="557"/>
      <c r="R21" s="1025"/>
      <c r="S21" s="1029"/>
      <c r="T21" s="230"/>
      <c r="U21" s="52"/>
      <c r="V21" s="186"/>
      <c r="W21" s="186"/>
      <c r="X21" s="186"/>
      <c r="Y21" s="186"/>
      <c r="Z21" s="186"/>
      <c r="AA21" s="186"/>
      <c r="AB21" s="186"/>
      <c r="AC21" s="186"/>
    </row>
    <row r="22" spans="1:29">
      <c r="A22" s="22"/>
      <c r="B22" s="14"/>
      <c r="C22" s="1227">
        <v>43971</v>
      </c>
      <c r="D22" s="1228">
        <v>48</v>
      </c>
      <c r="E22" s="1242" t="s">
        <v>440</v>
      </c>
      <c r="F22" s="1243" t="s">
        <v>9</v>
      </c>
      <c r="G22" s="1230">
        <v>64</v>
      </c>
      <c r="H22" s="1244" t="s">
        <v>295</v>
      </c>
      <c r="I22" s="1244" t="s">
        <v>52</v>
      </c>
      <c r="J22" s="1245" t="s">
        <v>80</v>
      </c>
      <c r="K22" s="741" t="s">
        <v>96</v>
      </c>
      <c r="L22" s="209"/>
      <c r="M22" s="208"/>
      <c r="N22" s="749"/>
      <c r="O22" s="556"/>
      <c r="P22" s="752"/>
      <c r="Q22" s="557"/>
      <c r="R22" s="1025"/>
      <c r="S22" s="1029"/>
      <c r="T22" s="230"/>
      <c r="U22" s="52"/>
      <c r="V22" s="22"/>
    </row>
    <row r="23" spans="1:29" s="4" customFormat="1" ht="15.75" customHeight="1">
      <c r="A23" s="187"/>
      <c r="B23" s="200"/>
      <c r="C23" s="1227">
        <v>43971</v>
      </c>
      <c r="D23" s="1228">
        <v>48</v>
      </c>
      <c r="E23" s="1242" t="s">
        <v>440</v>
      </c>
      <c r="F23" s="1230" t="s">
        <v>9</v>
      </c>
      <c r="G23" s="1230">
        <v>64</v>
      </c>
      <c r="H23" s="1244" t="s">
        <v>234</v>
      </c>
      <c r="I23" s="1244" t="s">
        <v>52</v>
      </c>
      <c r="J23" s="1245" t="s">
        <v>80</v>
      </c>
      <c r="K23" s="741" t="s">
        <v>96</v>
      </c>
      <c r="L23" s="209"/>
      <c r="M23" s="89"/>
      <c r="N23" s="89"/>
      <c r="O23" s="207"/>
      <c r="P23" s="752"/>
      <c r="Q23" s="207"/>
      <c r="R23" s="207"/>
      <c r="S23" s="207"/>
      <c r="T23" s="207"/>
      <c r="U23" s="52"/>
      <c r="V23" s="187"/>
      <c r="W23" s="187"/>
      <c r="X23" s="187"/>
      <c r="Y23" s="187"/>
      <c r="Z23" s="187"/>
      <c r="AA23" s="187"/>
      <c r="AB23" s="187"/>
      <c r="AC23" s="187"/>
    </row>
    <row r="24" spans="1:29" s="3" customFormat="1">
      <c r="A24" s="186"/>
      <c r="B24" s="196"/>
      <c r="C24" s="1227">
        <v>43971</v>
      </c>
      <c r="D24" s="1228">
        <v>48</v>
      </c>
      <c r="E24" s="1244" t="s">
        <v>441</v>
      </c>
      <c r="F24" s="1243" t="s">
        <v>9</v>
      </c>
      <c r="G24" s="1230">
        <v>64</v>
      </c>
      <c r="H24" s="1231" t="s">
        <v>265</v>
      </c>
      <c r="I24" s="1244" t="s">
        <v>52</v>
      </c>
      <c r="J24" s="1245" t="s">
        <v>80</v>
      </c>
      <c r="K24" s="741" t="s">
        <v>397</v>
      </c>
      <c r="L24" s="239"/>
      <c r="M24" s="48"/>
      <c r="N24" s="552"/>
      <c r="O24" s="48"/>
      <c r="P24" s="752"/>
      <c r="Q24" s="48"/>
      <c r="R24" s="48"/>
      <c r="S24" s="48"/>
      <c r="T24" s="48"/>
      <c r="U24" s="52"/>
      <c r="V24" s="186"/>
      <c r="W24" s="186"/>
      <c r="X24" s="186"/>
      <c r="Y24" s="186"/>
      <c r="Z24" s="186"/>
      <c r="AA24" s="186"/>
      <c r="AB24" s="186"/>
      <c r="AC24" s="186"/>
    </row>
    <row r="25" spans="1:29">
      <c r="A25" s="22"/>
      <c r="B25" s="14"/>
      <c r="C25" s="1227">
        <v>43972</v>
      </c>
      <c r="D25" s="1228"/>
      <c r="E25" s="1244" t="s">
        <v>442</v>
      </c>
      <c r="F25" s="1243" t="s">
        <v>9</v>
      </c>
      <c r="G25" s="1230">
        <v>64</v>
      </c>
      <c r="H25" s="1244" t="s">
        <v>118</v>
      </c>
      <c r="I25" s="1244" t="s">
        <v>52</v>
      </c>
      <c r="J25" s="1245" t="s">
        <v>80</v>
      </c>
      <c r="K25" s="741" t="s">
        <v>96</v>
      </c>
      <c r="L25" s="239"/>
      <c r="M25" s="48"/>
      <c r="N25" s="552"/>
      <c r="O25" s="48"/>
      <c r="P25" s="752"/>
      <c r="Q25" s="48"/>
      <c r="R25" s="48"/>
      <c r="S25" s="48"/>
      <c r="T25" s="48"/>
      <c r="U25" s="52"/>
      <c r="V25" s="22"/>
    </row>
    <row r="26" spans="1:29">
      <c r="A26" s="22"/>
      <c r="B26" s="14"/>
      <c r="C26" s="1227">
        <v>43972</v>
      </c>
      <c r="D26" s="1228"/>
      <c r="E26" s="1244" t="s">
        <v>442</v>
      </c>
      <c r="F26" s="1243" t="s">
        <v>9</v>
      </c>
      <c r="G26" s="1230">
        <v>64</v>
      </c>
      <c r="H26" s="1244" t="s">
        <v>234</v>
      </c>
      <c r="I26" s="1244" t="s">
        <v>52</v>
      </c>
      <c r="J26" s="1245" t="s">
        <v>80</v>
      </c>
      <c r="K26" s="741" t="s">
        <v>96</v>
      </c>
      <c r="L26" s="239"/>
      <c r="M26" s="48"/>
      <c r="N26" s="552"/>
      <c r="O26" s="207"/>
      <c r="P26" s="752"/>
      <c r="Q26" s="207"/>
      <c r="R26" s="207"/>
      <c r="S26" s="207"/>
      <c r="T26" s="207"/>
      <c r="U26" s="52"/>
      <c r="V26" s="22"/>
    </row>
    <row r="27" spans="1:29" ht="16.5" thickBot="1">
      <c r="A27" s="22"/>
      <c r="B27" s="14"/>
      <c r="C27" s="1227">
        <v>43973</v>
      </c>
      <c r="D27" s="1228">
        <v>48</v>
      </c>
      <c r="E27" s="1244" t="s">
        <v>443</v>
      </c>
      <c r="F27" s="1243" t="s">
        <v>8</v>
      </c>
      <c r="G27" s="1230">
        <v>64</v>
      </c>
      <c r="H27" s="1244" t="s">
        <v>184</v>
      </c>
      <c r="I27" s="1244" t="s">
        <v>52</v>
      </c>
      <c r="J27" s="1245" t="s">
        <v>80</v>
      </c>
      <c r="K27" s="796" t="s">
        <v>397</v>
      </c>
      <c r="L27" s="236"/>
      <c r="M27" s="48"/>
      <c r="N27" s="552"/>
      <c r="O27" s="207"/>
      <c r="P27" s="752"/>
      <c r="Q27" s="207"/>
      <c r="R27" s="207"/>
      <c r="S27" s="207"/>
      <c r="T27" s="207"/>
      <c r="U27" s="52"/>
      <c r="V27" s="22"/>
    </row>
    <row r="28" spans="1:29" s="3" customFormat="1">
      <c r="A28" s="186"/>
      <c r="B28" s="196"/>
      <c r="C28" s="1227">
        <v>43973</v>
      </c>
      <c r="D28" s="1228">
        <v>47</v>
      </c>
      <c r="E28" s="1244" t="s">
        <v>425</v>
      </c>
      <c r="F28" s="1243" t="s">
        <v>8</v>
      </c>
      <c r="G28" s="1230">
        <v>65</v>
      </c>
      <c r="H28" s="1242" t="s">
        <v>193</v>
      </c>
      <c r="I28" s="1244" t="s">
        <v>52</v>
      </c>
      <c r="J28" s="1245" t="s">
        <v>80</v>
      </c>
      <c r="K28" s="741" t="s">
        <v>397</v>
      </c>
      <c r="L28" s="239"/>
      <c r="M28" s="1255" t="s">
        <v>266</v>
      </c>
      <c r="N28" s="224"/>
      <c r="O28" s="245"/>
      <c r="P28" s="752"/>
      <c r="Q28" s="207"/>
      <c r="R28" s="245"/>
      <c r="S28" s="245"/>
      <c r="T28" s="245"/>
      <c r="U28" s="96"/>
      <c r="V28" s="186"/>
      <c r="W28" s="186"/>
      <c r="X28" s="186"/>
      <c r="Y28" s="186"/>
      <c r="Z28" s="186"/>
      <c r="AA28" s="186"/>
      <c r="AB28" s="186"/>
      <c r="AC28" s="186"/>
    </row>
    <row r="29" spans="1:29" s="3" customFormat="1">
      <c r="A29" s="186"/>
      <c r="B29" s="196"/>
      <c r="C29" s="1227">
        <v>43973</v>
      </c>
      <c r="D29" s="1228"/>
      <c r="E29" s="1231" t="s">
        <v>444</v>
      </c>
      <c r="F29" s="1243" t="s">
        <v>9</v>
      </c>
      <c r="G29" s="1230">
        <v>64</v>
      </c>
      <c r="H29" s="1242" t="s">
        <v>445</v>
      </c>
      <c r="I29" s="1244" t="s">
        <v>52</v>
      </c>
      <c r="J29" s="1245" t="s">
        <v>80</v>
      </c>
      <c r="K29" s="741" t="s">
        <v>96</v>
      </c>
      <c r="L29" s="239"/>
      <c r="M29" s="242" t="s">
        <v>128</v>
      </c>
      <c r="N29" s="225">
        <f>SUM(N30:N32)</f>
        <v>29</v>
      </c>
      <c r="O29" s="245"/>
      <c r="P29" s="752"/>
      <c r="Q29" s="207"/>
      <c r="R29" s="245"/>
      <c r="S29" s="245"/>
      <c r="T29" s="245"/>
      <c r="U29" s="96"/>
      <c r="V29" s="186"/>
      <c r="W29" s="186"/>
      <c r="X29" s="186"/>
      <c r="Y29" s="186"/>
      <c r="Z29" s="186"/>
      <c r="AA29" s="186"/>
      <c r="AB29" s="186"/>
      <c r="AC29" s="186"/>
    </row>
    <row r="30" spans="1:29" s="3" customFormat="1">
      <c r="A30" s="186"/>
      <c r="B30" s="196"/>
      <c r="C30" s="1227">
        <v>43979</v>
      </c>
      <c r="D30" s="1228"/>
      <c r="E30" s="1244" t="s">
        <v>446</v>
      </c>
      <c r="F30" s="1243" t="s">
        <v>9</v>
      </c>
      <c r="G30" s="1230">
        <v>64</v>
      </c>
      <c r="H30" s="1244" t="s">
        <v>268</v>
      </c>
      <c r="I30" s="1244" t="s">
        <v>50</v>
      </c>
      <c r="J30" s="1245" t="s">
        <v>80</v>
      </c>
      <c r="K30" s="796" t="s">
        <v>96</v>
      </c>
      <c r="L30" s="239"/>
      <c r="M30" s="243" t="s">
        <v>129</v>
      </c>
      <c r="N30" s="225">
        <f>COUNTIF(G$1:G204,40)</f>
        <v>5</v>
      </c>
      <c r="O30" s="207"/>
      <c r="P30" s="752"/>
      <c r="Q30" s="207"/>
      <c r="R30" s="207"/>
      <c r="S30" s="207"/>
      <c r="T30" s="207"/>
      <c r="U30" s="96"/>
      <c r="V30" s="186"/>
      <c r="W30" s="186"/>
      <c r="X30" s="186"/>
      <c r="Y30" s="186"/>
      <c r="Z30" s="186"/>
      <c r="AA30" s="186"/>
      <c r="AB30" s="186"/>
      <c r="AC30" s="186"/>
    </row>
    <row r="31" spans="1:29">
      <c r="A31" s="22"/>
      <c r="B31" s="14"/>
      <c r="C31" s="1227">
        <v>43979</v>
      </c>
      <c r="D31" s="1228"/>
      <c r="E31" s="1244" t="s">
        <v>447</v>
      </c>
      <c r="F31" s="1243" t="s">
        <v>8</v>
      </c>
      <c r="G31" s="1230">
        <v>64</v>
      </c>
      <c r="H31" s="1244" t="s">
        <v>268</v>
      </c>
      <c r="I31" s="1244" t="s">
        <v>50</v>
      </c>
      <c r="J31" s="1245" t="s">
        <v>80</v>
      </c>
      <c r="K31" s="741" t="s">
        <v>8</v>
      </c>
      <c r="L31" s="239"/>
      <c r="M31" s="243" t="s">
        <v>132</v>
      </c>
      <c r="N31" s="225">
        <f>COUNTIF(G$1:G204,65)</f>
        <v>10</v>
      </c>
      <c r="O31" s="48"/>
      <c r="P31" s="752"/>
      <c r="Q31" s="48"/>
      <c r="R31" s="48"/>
      <c r="S31" s="48"/>
      <c r="T31" s="48"/>
      <c r="U31" s="52"/>
      <c r="V31" s="22"/>
    </row>
    <row r="32" spans="1:29" s="3" customFormat="1" ht="16.5" thickBot="1">
      <c r="A32" s="186"/>
      <c r="B32" s="196"/>
      <c r="C32" s="1227">
        <v>43980</v>
      </c>
      <c r="D32" s="1228">
        <v>49</v>
      </c>
      <c r="E32" s="1229" t="s">
        <v>430</v>
      </c>
      <c r="F32" s="1243" t="s">
        <v>9</v>
      </c>
      <c r="G32" s="1230">
        <v>65</v>
      </c>
      <c r="H32" s="1256" t="s">
        <v>167</v>
      </c>
      <c r="I32" s="1244" t="s">
        <v>52</v>
      </c>
      <c r="J32" s="1245" t="s">
        <v>80</v>
      </c>
      <c r="K32" s="823" t="s">
        <v>96</v>
      </c>
      <c r="L32" s="239"/>
      <c r="M32" s="244" t="s">
        <v>134</v>
      </c>
      <c r="N32" s="226">
        <f>COUNTIF(G$1:G204,64)</f>
        <v>14</v>
      </c>
      <c r="O32" s="207"/>
      <c r="P32" s="752"/>
      <c r="Q32" s="207"/>
      <c r="R32" s="207"/>
      <c r="S32" s="207"/>
      <c r="T32" s="207"/>
      <c r="U32" s="96"/>
      <c r="V32" s="186"/>
      <c r="W32" s="186"/>
      <c r="X32" s="186"/>
      <c r="Y32" s="186"/>
      <c r="Z32" s="186"/>
      <c r="AA32" s="186"/>
      <c r="AB32" s="186"/>
      <c r="AC32" s="186"/>
    </row>
    <row r="33" spans="1:29">
      <c r="A33" s="22"/>
      <c r="B33" s="14"/>
      <c r="C33" s="1227">
        <v>43980</v>
      </c>
      <c r="D33" s="1228">
        <v>49</v>
      </c>
      <c r="E33" s="1229" t="s">
        <v>430</v>
      </c>
      <c r="F33" s="1243" t="s">
        <v>9</v>
      </c>
      <c r="G33" s="1230">
        <v>65</v>
      </c>
      <c r="H33" s="1244" t="s">
        <v>448</v>
      </c>
      <c r="I33" s="1244" t="s">
        <v>52</v>
      </c>
      <c r="J33" s="1245" t="s">
        <v>80</v>
      </c>
      <c r="K33" s="796" t="s">
        <v>96</v>
      </c>
      <c r="L33" s="236"/>
      <c r="M33" s="1025"/>
      <c r="N33" s="48"/>
      <c r="O33" s="48"/>
      <c r="P33" s="752"/>
      <c r="Q33" s="48"/>
      <c r="R33" s="48"/>
      <c r="S33" s="48"/>
      <c r="T33" s="48"/>
      <c r="U33" s="52"/>
      <c r="V33" s="22"/>
    </row>
    <row r="34" spans="1:29" s="3" customFormat="1">
      <c r="A34" s="186"/>
      <c r="B34" s="196"/>
      <c r="C34" s="1227">
        <v>43980</v>
      </c>
      <c r="D34" s="1228">
        <v>49</v>
      </c>
      <c r="E34" s="1229" t="s">
        <v>430</v>
      </c>
      <c r="F34" s="1243" t="s">
        <v>9</v>
      </c>
      <c r="G34" s="1230">
        <v>65</v>
      </c>
      <c r="H34" s="795" t="s">
        <v>243</v>
      </c>
      <c r="I34" s="1244" t="s">
        <v>52</v>
      </c>
      <c r="J34" s="1245" t="s">
        <v>80</v>
      </c>
      <c r="K34" s="741" t="s">
        <v>96</v>
      </c>
      <c r="L34" s="236"/>
      <c r="M34" s="1025"/>
      <c r="N34" s="207"/>
      <c r="O34" s="207"/>
      <c r="P34" s="752"/>
      <c r="Q34" s="207"/>
      <c r="R34" s="207"/>
      <c r="S34" s="207"/>
      <c r="T34" s="207"/>
      <c r="U34" s="96"/>
      <c r="V34" s="186"/>
      <c r="W34" s="186"/>
      <c r="X34" s="186"/>
      <c r="Y34" s="186"/>
      <c r="Z34" s="186"/>
      <c r="AA34" s="186"/>
      <c r="AB34" s="186"/>
      <c r="AC34" s="186"/>
    </row>
    <row r="35" spans="1:29" s="3" customFormat="1">
      <c r="A35" s="186"/>
      <c r="B35" s="196"/>
      <c r="C35" s="1227">
        <v>43980</v>
      </c>
      <c r="D35" s="1228">
        <v>49</v>
      </c>
      <c r="E35" s="1244" t="s">
        <v>449</v>
      </c>
      <c r="F35" s="1243" t="s">
        <v>8</v>
      </c>
      <c r="G35" s="1230">
        <v>65</v>
      </c>
      <c r="H35" s="1244" t="s">
        <v>167</v>
      </c>
      <c r="I35" s="1244" t="s">
        <v>52</v>
      </c>
      <c r="J35" s="1245" t="s">
        <v>80</v>
      </c>
      <c r="K35" s="741" t="s">
        <v>8</v>
      </c>
      <c r="L35" s="236"/>
      <c r="M35" s="1025"/>
      <c r="N35" s="207"/>
      <c r="O35" s="207"/>
      <c r="P35" s="752"/>
      <c r="Q35" s="207"/>
      <c r="R35" s="207"/>
      <c r="S35" s="207"/>
      <c r="T35" s="207"/>
      <c r="U35" s="96"/>
      <c r="V35" s="186"/>
      <c r="W35" s="186"/>
      <c r="X35" s="186"/>
      <c r="Y35" s="186"/>
      <c r="Z35" s="186"/>
      <c r="AA35" s="186"/>
      <c r="AB35" s="186"/>
      <c r="AC35" s="186"/>
    </row>
    <row r="36" spans="1:29" s="3" customFormat="1" ht="16.5" thickBot="1">
      <c r="A36" s="186"/>
      <c r="B36" s="196"/>
      <c r="C36" s="1249">
        <v>43980</v>
      </c>
      <c r="D36" s="1250"/>
      <c r="E36" s="1253" t="s">
        <v>446</v>
      </c>
      <c r="F36" s="1257" t="s">
        <v>8</v>
      </c>
      <c r="G36" s="1252">
        <v>64</v>
      </c>
      <c r="H36" s="1253" t="s">
        <v>450</v>
      </c>
      <c r="I36" s="1253" t="s">
        <v>50</v>
      </c>
      <c r="J36" s="1258" t="s">
        <v>80</v>
      </c>
      <c r="K36" s="751" t="s">
        <v>8</v>
      </c>
      <c r="L36" s="236"/>
      <c r="M36" s="1025"/>
      <c r="N36" s="207"/>
      <c r="O36" s="207"/>
      <c r="P36" s="752"/>
      <c r="Q36" s="207"/>
      <c r="R36" s="207"/>
      <c r="S36" s="207"/>
      <c r="T36" s="207"/>
      <c r="U36" s="96"/>
      <c r="V36" s="186"/>
      <c r="W36" s="186"/>
      <c r="X36" s="186"/>
      <c r="Y36" s="186"/>
      <c r="Z36" s="186"/>
      <c r="AA36" s="186"/>
      <c r="AB36" s="186"/>
      <c r="AC36" s="186"/>
    </row>
    <row r="37" spans="1:29" s="3" customFormat="1" ht="16.5" customHeight="1">
      <c r="A37" s="186"/>
      <c r="B37" s="196"/>
      <c r="C37" s="1227">
        <v>43973</v>
      </c>
      <c r="D37" s="1228">
        <v>47</v>
      </c>
      <c r="E37" s="1244" t="s">
        <v>425</v>
      </c>
      <c r="F37" s="1243" t="s">
        <v>8</v>
      </c>
      <c r="G37" s="1230">
        <v>65</v>
      </c>
      <c r="H37" s="1242" t="s">
        <v>429</v>
      </c>
      <c r="I37" s="1244" t="s">
        <v>52</v>
      </c>
      <c r="J37" s="1245" t="s">
        <v>80</v>
      </c>
      <c r="K37" s="796" t="s">
        <v>427</v>
      </c>
      <c r="L37" s="236"/>
      <c r="M37" s="1025"/>
      <c r="N37" s="207"/>
      <c r="O37" s="207"/>
      <c r="P37" s="752"/>
      <c r="Q37" s="207"/>
      <c r="R37" s="207"/>
      <c r="S37" s="207"/>
      <c r="T37" s="207"/>
      <c r="U37" s="96"/>
      <c r="V37" s="186"/>
      <c r="W37" s="186"/>
      <c r="X37" s="186"/>
      <c r="Y37" s="186"/>
      <c r="Z37" s="186"/>
      <c r="AA37" s="186"/>
      <c r="AB37" s="186"/>
      <c r="AC37" s="186"/>
    </row>
    <row r="38" spans="1:29" s="3" customFormat="1">
      <c r="A38" s="186"/>
      <c r="B38" s="196"/>
      <c r="C38" s="1227">
        <v>43970</v>
      </c>
      <c r="D38" s="1228"/>
      <c r="E38" s="1244" t="s">
        <v>451</v>
      </c>
      <c r="F38" s="1243" t="s">
        <v>8</v>
      </c>
      <c r="G38" s="1230">
        <v>64</v>
      </c>
      <c r="H38" s="1242" t="s">
        <v>452</v>
      </c>
      <c r="I38" s="1244" t="s">
        <v>53</v>
      </c>
      <c r="J38" s="1245"/>
      <c r="K38" s="796"/>
      <c r="L38" s="236"/>
      <c r="M38" s="1025"/>
      <c r="N38" s="241"/>
      <c r="O38" s="207"/>
      <c r="P38" s="752"/>
      <c r="Q38" s="207"/>
      <c r="R38" s="207"/>
      <c r="S38" s="207"/>
      <c r="T38" s="207"/>
      <c r="U38" s="96"/>
      <c r="V38" s="186"/>
      <c r="W38" s="186"/>
      <c r="X38" s="186"/>
      <c r="Y38" s="186"/>
      <c r="Z38" s="186"/>
      <c r="AA38" s="186"/>
      <c r="AB38" s="186"/>
      <c r="AC38" s="186"/>
    </row>
    <row r="39" spans="1:29" s="3" customFormat="1">
      <c r="A39" s="186"/>
      <c r="B39" s="196"/>
      <c r="C39" s="1227">
        <v>43980</v>
      </c>
      <c r="D39" s="1228" t="s">
        <v>453</v>
      </c>
      <c r="E39" s="1244" t="s">
        <v>454</v>
      </c>
      <c r="F39" s="1243" t="s">
        <v>8</v>
      </c>
      <c r="G39" s="1230">
        <v>40</v>
      </c>
      <c r="H39" s="1242" t="s">
        <v>455</v>
      </c>
      <c r="I39" s="1244" t="s">
        <v>52</v>
      </c>
      <c r="J39" s="1245"/>
      <c r="K39" s="796"/>
      <c r="L39" s="239"/>
      <c r="M39" s="1025"/>
      <c r="N39" s="241"/>
      <c r="O39" s="207"/>
      <c r="P39" s="752"/>
      <c r="Q39" s="207"/>
      <c r="R39" s="207"/>
      <c r="S39" s="207"/>
      <c r="T39" s="207"/>
      <c r="U39" s="96"/>
      <c r="V39" s="186"/>
      <c r="W39" s="186"/>
      <c r="X39" s="186"/>
      <c r="Y39" s="186"/>
      <c r="Z39" s="186"/>
      <c r="AA39" s="186"/>
      <c r="AB39" s="186"/>
      <c r="AC39" s="186"/>
    </row>
    <row r="40" spans="1:29" s="3" customFormat="1">
      <c r="A40" s="186"/>
      <c r="B40" s="196"/>
      <c r="C40" s="1227"/>
      <c r="D40" s="1228"/>
      <c r="E40" s="1244"/>
      <c r="F40" s="1243"/>
      <c r="G40" s="1230"/>
      <c r="H40" s="1242"/>
      <c r="I40" s="1244"/>
      <c r="J40" s="1245"/>
      <c r="K40" s="796"/>
      <c r="L40" s="239"/>
      <c r="M40" s="1025"/>
      <c r="N40" s="241"/>
      <c r="O40" s="207"/>
      <c r="P40" s="752"/>
      <c r="Q40" s="207"/>
      <c r="R40" s="207"/>
      <c r="S40" s="207"/>
      <c r="T40" s="207"/>
      <c r="U40" s="96"/>
      <c r="V40" s="186"/>
      <c r="W40" s="186"/>
      <c r="X40" s="186"/>
      <c r="Y40" s="186"/>
      <c r="Z40" s="186"/>
      <c r="AA40" s="186"/>
      <c r="AB40" s="186"/>
      <c r="AC40" s="186"/>
    </row>
    <row r="41" spans="1:29" s="3" customFormat="1">
      <c r="A41" s="186"/>
      <c r="B41" s="196"/>
      <c r="C41" s="1227"/>
      <c r="D41" s="1228"/>
      <c r="E41" s="1244"/>
      <c r="F41" s="1243"/>
      <c r="G41" s="1230"/>
      <c r="H41" s="1242"/>
      <c r="I41" s="1244"/>
      <c r="J41" s="1245"/>
      <c r="K41" s="796"/>
      <c r="L41" s="239"/>
      <c r="M41" s="1025"/>
      <c r="N41" s="241"/>
      <c r="O41" s="207"/>
      <c r="P41" s="748"/>
      <c r="Q41" s="207"/>
      <c r="R41" s="207"/>
      <c r="S41" s="207"/>
      <c r="T41" s="207"/>
      <c r="U41" s="96"/>
      <c r="V41" s="186"/>
      <c r="W41" s="186"/>
      <c r="X41" s="186"/>
      <c r="Y41" s="186"/>
      <c r="Z41" s="186"/>
      <c r="AA41" s="186"/>
      <c r="AB41" s="186"/>
      <c r="AC41" s="186"/>
    </row>
    <row r="42" spans="1:29">
      <c r="A42" s="22"/>
      <c r="B42" s="14"/>
      <c r="C42" s="1227"/>
      <c r="D42" s="1228"/>
      <c r="E42" s="1244"/>
      <c r="F42" s="1243"/>
      <c r="G42" s="1230"/>
      <c r="H42" s="1242"/>
      <c r="I42" s="1244"/>
      <c r="J42" s="1245"/>
      <c r="K42" s="796"/>
      <c r="L42" s="239"/>
      <c r="M42" s="1025"/>
      <c r="N42" s="48"/>
      <c r="O42" s="48"/>
      <c r="P42" s="752"/>
      <c r="Q42" s="48"/>
      <c r="R42" s="48"/>
      <c r="S42" s="48"/>
      <c r="T42" s="48"/>
      <c r="U42" s="52"/>
      <c r="V42" s="22"/>
    </row>
    <row r="43" spans="1:29">
      <c r="A43" s="22"/>
      <c r="B43" s="14"/>
      <c r="C43" s="208"/>
      <c r="D43" s="716"/>
      <c r="E43" s="744"/>
      <c r="F43" s="212"/>
      <c r="G43" s="1025"/>
      <c r="H43" s="209"/>
      <c r="I43" s="207"/>
      <c r="J43" s="1259"/>
      <c r="K43" s="1029"/>
      <c r="L43" s="239"/>
      <c r="M43" s="1025"/>
      <c r="N43" s="48"/>
      <c r="O43" s="48"/>
      <c r="P43" s="48"/>
      <c r="Q43" s="48"/>
      <c r="R43" s="48"/>
      <c r="S43" s="48"/>
      <c r="T43" s="48"/>
      <c r="U43" s="52"/>
      <c r="V43" s="22"/>
    </row>
    <row r="44" spans="1:29">
      <c r="A44" s="22"/>
      <c r="B44" s="14"/>
      <c r="C44" s="744"/>
      <c r="D44" s="716"/>
      <c r="E44" s="207"/>
      <c r="F44" s="212"/>
      <c r="G44" s="1025"/>
      <c r="H44" s="236"/>
      <c r="I44" s="207"/>
      <c r="J44" s="1259"/>
      <c r="K44" s="743"/>
      <c r="L44" s="239"/>
      <c r="M44" s="1025"/>
      <c r="N44" s="48"/>
      <c r="O44" s="48"/>
      <c r="P44" s="48"/>
      <c r="Q44" s="48"/>
      <c r="R44" s="48"/>
      <c r="S44" s="48"/>
      <c r="T44" s="48"/>
      <c r="U44" s="52"/>
      <c r="V44" s="22"/>
    </row>
    <row r="45" spans="1:29">
      <c r="A45" s="22"/>
      <c r="B45" s="14"/>
      <c r="C45" s="208"/>
      <c r="D45" s="716"/>
      <c r="E45" s="745"/>
      <c r="F45" s="212"/>
      <c r="G45" s="1025"/>
      <c r="H45" s="209"/>
      <c r="I45" s="207"/>
      <c r="J45" s="1259"/>
      <c r="K45" s="743"/>
      <c r="L45" s="240"/>
      <c r="M45" s="1025"/>
      <c r="N45" s="48"/>
      <c r="O45" s="48"/>
      <c r="P45" s="48"/>
      <c r="Q45" s="48"/>
      <c r="R45" s="48"/>
      <c r="S45" s="48"/>
      <c r="T45" s="48"/>
      <c r="U45" s="52"/>
      <c r="V45" s="22"/>
    </row>
    <row r="46" spans="1:29" s="3" customFormat="1">
      <c r="A46" s="186"/>
      <c r="B46" s="196"/>
      <c r="C46" s="208"/>
      <c r="D46" s="716"/>
      <c r="E46" s="745"/>
      <c r="F46" s="212"/>
      <c r="G46" s="1025"/>
      <c r="H46" s="209"/>
      <c r="I46" s="207"/>
      <c r="J46" s="1259"/>
      <c r="K46" s="1029"/>
      <c r="L46" s="236"/>
      <c r="M46" s="1025"/>
      <c r="N46" s="207"/>
      <c r="O46" s="207"/>
      <c r="P46" s="207"/>
      <c r="Q46" s="207"/>
      <c r="R46" s="207"/>
      <c r="S46" s="207"/>
      <c r="T46" s="207"/>
      <c r="U46" s="96"/>
      <c r="V46" s="186"/>
      <c r="W46" s="186"/>
      <c r="X46" s="186"/>
      <c r="Y46" s="186"/>
      <c r="Z46" s="186"/>
      <c r="AA46" s="186"/>
      <c r="AB46" s="186"/>
      <c r="AC46" s="186"/>
    </row>
    <row r="47" spans="1:29" s="3" customFormat="1" ht="21.75" customHeight="1">
      <c r="A47" s="186"/>
      <c r="B47" s="196"/>
      <c r="C47" s="208"/>
      <c r="D47" s="716"/>
      <c r="E47" s="89"/>
      <c r="F47" s="212"/>
      <c r="G47" s="1025"/>
      <c r="H47" s="236"/>
      <c r="I47" s="207"/>
      <c r="J47" s="1259"/>
      <c r="K47" s="1029"/>
      <c r="L47" s="239"/>
      <c r="M47" s="1025"/>
      <c r="N47" s="207"/>
      <c r="O47" s="207"/>
      <c r="P47" s="207"/>
      <c r="Q47" s="207"/>
      <c r="R47" s="207"/>
      <c r="S47" s="207"/>
      <c r="T47" s="207"/>
      <c r="U47" s="96"/>
      <c r="V47" s="186"/>
      <c r="W47" s="186"/>
      <c r="X47" s="186"/>
      <c r="Y47" s="186"/>
      <c r="Z47" s="186"/>
      <c r="AA47" s="186"/>
      <c r="AB47" s="186"/>
      <c r="AC47" s="186"/>
    </row>
    <row r="48" spans="1:29" s="3" customFormat="1">
      <c r="A48" s="186"/>
      <c r="B48" s="196"/>
      <c r="C48" s="208"/>
      <c r="D48" s="716"/>
      <c r="E48" s="744"/>
      <c r="F48" s="212"/>
      <c r="G48" s="1025"/>
      <c r="H48" s="89"/>
      <c r="I48" s="207"/>
      <c r="J48" s="1259"/>
      <c r="K48" s="743"/>
      <c r="L48" s="239"/>
      <c r="M48" s="1025"/>
      <c r="N48" s="207"/>
      <c r="O48" s="207"/>
      <c r="P48" s="207"/>
      <c r="Q48" s="207"/>
      <c r="R48" s="207"/>
      <c r="S48" s="207"/>
      <c r="T48" s="207"/>
      <c r="U48" s="96"/>
      <c r="V48" s="186"/>
      <c r="W48" s="186"/>
      <c r="X48" s="186"/>
      <c r="Y48" s="186"/>
      <c r="Z48" s="186"/>
      <c r="AA48" s="186"/>
      <c r="AB48" s="186"/>
      <c r="AC48" s="186"/>
    </row>
    <row r="49" spans="1:34" s="3" customFormat="1">
      <c r="A49" s="186"/>
      <c r="B49" s="196"/>
      <c r="C49" s="208"/>
      <c r="D49" s="716"/>
      <c r="E49" s="744"/>
      <c r="F49" s="212"/>
      <c r="G49" s="1025"/>
      <c r="H49" s="236"/>
      <c r="I49" s="207"/>
      <c r="J49" s="1259"/>
      <c r="K49" s="1029"/>
      <c r="L49" s="239"/>
      <c r="M49" s="1025"/>
      <c r="N49" s="207"/>
      <c r="O49" s="207"/>
      <c r="P49" s="207"/>
      <c r="Q49" s="207"/>
      <c r="R49" s="207"/>
      <c r="S49" s="207"/>
      <c r="T49" s="207"/>
      <c r="U49" s="96"/>
      <c r="V49" s="186"/>
      <c r="W49" s="186"/>
      <c r="X49" s="186"/>
      <c r="Y49" s="186"/>
      <c r="Z49" s="186"/>
      <c r="AA49" s="186"/>
      <c r="AB49" s="186"/>
      <c r="AC49" s="186"/>
    </row>
    <row r="50" spans="1:34" s="3" customFormat="1">
      <c r="A50" s="186"/>
      <c r="B50" s="196"/>
      <c r="C50" s="208"/>
      <c r="D50" s="716"/>
      <c r="E50" s="744"/>
      <c r="F50" s="212"/>
      <c r="G50" s="1025"/>
      <c r="H50" s="209"/>
      <c r="I50" s="207"/>
      <c r="J50" s="1259"/>
      <c r="K50" s="1029"/>
      <c r="L50" s="239"/>
      <c r="M50" s="1025"/>
      <c r="N50" s="207"/>
      <c r="O50" s="207"/>
      <c r="P50" s="207"/>
      <c r="Q50" s="207"/>
      <c r="R50" s="207"/>
      <c r="S50" s="207"/>
      <c r="T50" s="207"/>
      <c r="U50" s="96"/>
      <c r="V50" s="186"/>
      <c r="W50" s="186"/>
      <c r="X50" s="186"/>
      <c r="Y50" s="186"/>
      <c r="Z50" s="186"/>
      <c r="AA50" s="186"/>
      <c r="AB50" s="186"/>
      <c r="AC50" s="186"/>
    </row>
    <row r="51" spans="1:34" s="3" customFormat="1">
      <c r="A51" s="186"/>
      <c r="B51" s="196"/>
      <c r="C51" s="208"/>
      <c r="D51" s="716"/>
      <c r="E51" s="744"/>
      <c r="F51" s="212"/>
      <c r="G51" s="1025"/>
      <c r="H51" s="209"/>
      <c r="I51" s="207"/>
      <c r="J51" s="1259"/>
      <c r="K51" s="1029"/>
      <c r="L51" s="239"/>
      <c r="M51" s="1025"/>
      <c r="N51" s="207"/>
      <c r="O51" s="207"/>
      <c r="P51" s="207"/>
      <c r="Q51" s="207"/>
      <c r="R51" s="207"/>
      <c r="S51" s="207"/>
      <c r="T51" s="207"/>
      <c r="U51" s="96"/>
      <c r="V51" s="186"/>
      <c r="W51" s="186"/>
      <c r="X51" s="186"/>
      <c r="Y51" s="186"/>
      <c r="Z51" s="186"/>
      <c r="AA51" s="186"/>
      <c r="AB51" s="186"/>
      <c r="AC51" s="186"/>
    </row>
    <row r="52" spans="1:34" s="3" customFormat="1">
      <c r="A52" s="186"/>
      <c r="B52" s="196"/>
      <c r="C52" s="208"/>
      <c r="D52" s="716"/>
      <c r="E52" s="744"/>
      <c r="F52" s="212"/>
      <c r="G52" s="1025"/>
      <c r="H52" s="89"/>
      <c r="I52" s="207"/>
      <c r="J52" s="1259"/>
      <c r="K52" s="1029"/>
      <c r="L52" s="239"/>
      <c r="M52" s="1025"/>
      <c r="N52" s="207"/>
      <c r="O52" s="207"/>
      <c r="P52" s="207"/>
      <c r="Q52" s="207"/>
      <c r="R52" s="207"/>
      <c r="S52" s="207"/>
      <c r="T52" s="207"/>
      <c r="U52" s="96"/>
      <c r="V52" s="186"/>
      <c r="W52" s="186"/>
      <c r="X52" s="186"/>
      <c r="Y52" s="186"/>
      <c r="Z52" s="186"/>
      <c r="AA52" s="186"/>
      <c r="AB52" s="186"/>
      <c r="AC52" s="186"/>
    </row>
    <row r="53" spans="1:34" s="3" customFormat="1">
      <c r="A53" s="186"/>
      <c r="B53" s="196"/>
      <c r="C53" s="208"/>
      <c r="D53" s="716"/>
      <c r="E53" s="744"/>
      <c r="F53" s="212"/>
      <c r="G53" s="1025"/>
      <c r="H53" s="89"/>
      <c r="I53" s="207"/>
      <c r="J53" s="1259"/>
      <c r="K53" s="715"/>
      <c r="L53" s="240"/>
      <c r="M53" s="1025"/>
      <c r="N53" s="207"/>
      <c r="O53" s="207"/>
      <c r="P53" s="207"/>
      <c r="Q53" s="207"/>
      <c r="R53" s="207"/>
      <c r="S53" s="207"/>
      <c r="T53" s="207"/>
      <c r="U53" s="96"/>
      <c r="V53" s="31"/>
      <c r="W53" s="31"/>
      <c r="X53" s="237"/>
      <c r="Y53" s="23"/>
      <c r="Z53" s="1013"/>
      <c r="AA53" s="1057"/>
      <c r="AB53" s="1057"/>
      <c r="AC53" s="1057"/>
      <c r="AD53" s="1057"/>
      <c r="AE53" s="23"/>
      <c r="AF53" s="23"/>
      <c r="AG53"/>
      <c r="AH53"/>
    </row>
    <row r="54" spans="1:34" s="3" customFormat="1">
      <c r="A54" s="186"/>
      <c r="B54" s="196"/>
      <c r="C54" s="208"/>
      <c r="D54" s="716"/>
      <c r="E54" s="744"/>
      <c r="F54" s="212"/>
      <c r="G54" s="1025"/>
      <c r="H54" s="209"/>
      <c r="I54" s="207"/>
      <c r="J54" s="1259"/>
      <c r="K54" s="743"/>
      <c r="L54" s="236"/>
      <c r="M54" s="1025"/>
      <c r="N54" s="207"/>
      <c r="O54" s="207"/>
      <c r="P54" s="207"/>
      <c r="Q54" s="207"/>
      <c r="R54" s="207"/>
      <c r="S54" s="207"/>
      <c r="T54" s="207"/>
      <c r="U54" s="96"/>
      <c r="V54" s="31"/>
      <c r="W54" s="31"/>
      <c r="X54" s="237"/>
      <c r="Y54" s="23"/>
      <c r="Z54" s="1013"/>
      <c r="AA54" s="1057"/>
      <c r="AB54" s="1057"/>
      <c r="AC54" s="1057"/>
      <c r="AD54" s="1057"/>
      <c r="AE54" s="23"/>
      <c r="AF54" s="23"/>
      <c r="AG54"/>
      <c r="AH54"/>
    </row>
    <row r="55" spans="1:34" s="3" customFormat="1">
      <c r="A55" s="186"/>
      <c r="B55" s="196"/>
      <c r="C55" s="208"/>
      <c r="D55" s="716"/>
      <c r="E55" s="744"/>
      <c r="F55" s="212"/>
      <c r="G55" s="1025"/>
      <c r="H55" s="209"/>
      <c r="I55" s="207"/>
      <c r="J55" s="1259"/>
      <c r="K55" s="743"/>
      <c r="L55" s="236"/>
      <c r="M55" s="1025"/>
      <c r="N55" s="207"/>
      <c r="O55" s="207"/>
      <c r="P55" s="207"/>
      <c r="Q55" s="207"/>
      <c r="R55" s="207"/>
      <c r="S55" s="207"/>
      <c r="T55" s="207"/>
      <c r="U55" s="96"/>
      <c r="V55" s="31"/>
      <c r="W55" s="31"/>
      <c r="X55" s="237"/>
      <c r="Y55" s="23"/>
      <c r="Z55" s="1013"/>
      <c r="AA55" s="1057"/>
      <c r="AB55" s="1057"/>
      <c r="AC55" s="1057"/>
      <c r="AD55" s="1057"/>
      <c r="AE55" s="23"/>
      <c r="AF55" s="23"/>
      <c r="AG55"/>
      <c r="AH55"/>
    </row>
    <row r="56" spans="1:34" s="3" customFormat="1">
      <c r="A56" s="186"/>
      <c r="B56" s="196"/>
      <c r="C56" s="208"/>
      <c r="D56" s="716"/>
      <c r="E56" s="744"/>
      <c r="F56" s="212"/>
      <c r="G56" s="1025"/>
      <c r="H56" s="89"/>
      <c r="I56" s="207"/>
      <c r="J56" s="1259"/>
      <c r="K56" s="743"/>
      <c r="L56" s="236"/>
      <c r="M56" s="1025"/>
      <c r="N56" s="48"/>
      <c r="O56" s="207"/>
      <c r="P56" s="207"/>
      <c r="Q56" s="207"/>
      <c r="R56" s="207"/>
      <c r="S56" s="207"/>
      <c r="T56" s="207"/>
      <c r="U56" s="96"/>
      <c r="V56" s="31"/>
      <c r="W56" s="31"/>
      <c r="X56" s="237"/>
      <c r="Y56" s="23"/>
      <c r="Z56" s="1013"/>
      <c r="AA56" s="1057"/>
      <c r="AB56" s="1057"/>
      <c r="AC56" s="1057"/>
      <c r="AD56" s="1057"/>
      <c r="AE56" s="23"/>
      <c r="AF56" s="23"/>
      <c r="AG56"/>
      <c r="AH56"/>
    </row>
    <row r="57" spans="1:34" s="3" customFormat="1">
      <c r="A57" s="186"/>
      <c r="B57" s="196"/>
      <c r="C57" s="208"/>
      <c r="D57" s="716"/>
      <c r="E57" s="744"/>
      <c r="F57" s="212"/>
      <c r="G57" s="1025"/>
      <c r="H57" s="89"/>
      <c r="I57" s="207"/>
      <c r="J57" s="1259"/>
      <c r="K57" s="715"/>
      <c r="L57" s="236"/>
      <c r="M57" s="1025"/>
      <c r="N57" s="48"/>
      <c r="O57" s="207"/>
      <c r="P57" s="207"/>
      <c r="Q57" s="207"/>
      <c r="R57" s="207"/>
      <c r="S57" s="207"/>
      <c r="T57" s="207"/>
      <c r="U57" s="96"/>
      <c r="V57" s="31"/>
      <c r="W57" s="31"/>
      <c r="X57" s="237"/>
      <c r="Y57" s="23"/>
      <c r="Z57" s="1013"/>
      <c r="AA57" s="1057"/>
      <c r="AB57" s="1057"/>
      <c r="AC57" s="1057"/>
      <c r="AD57" s="1057"/>
      <c r="AE57" s="23"/>
      <c r="AF57" s="23"/>
      <c r="AG57"/>
      <c r="AH57"/>
    </row>
    <row r="58" spans="1:34" s="3" customFormat="1">
      <c r="A58" s="186"/>
      <c r="B58" s="196"/>
      <c r="C58" s="208"/>
      <c r="D58" s="716"/>
      <c r="E58" s="744"/>
      <c r="F58" s="212"/>
      <c r="G58" s="1025"/>
      <c r="H58" s="209"/>
      <c r="I58" s="207"/>
      <c r="J58" s="1259"/>
      <c r="K58" s="743"/>
      <c r="L58" s="236"/>
      <c r="M58" s="1025"/>
      <c r="N58" s="48"/>
      <c r="O58" s="207"/>
      <c r="P58" s="207"/>
      <c r="Q58" s="207"/>
      <c r="R58" s="207"/>
      <c r="S58" s="207"/>
      <c r="T58" s="207"/>
      <c r="U58" s="96"/>
      <c r="V58" s="31"/>
      <c r="W58" s="31"/>
      <c r="X58" s="237"/>
      <c r="Y58" s="23"/>
      <c r="Z58" s="1013"/>
      <c r="AA58" s="1057"/>
      <c r="AB58" s="1057"/>
      <c r="AC58" s="1057"/>
      <c r="AD58" s="1057"/>
      <c r="AE58" s="23"/>
      <c r="AF58" s="23"/>
      <c r="AG58"/>
      <c r="AH58"/>
    </row>
    <row r="59" spans="1:34" s="3" customFormat="1">
      <c r="A59" s="186"/>
      <c r="B59" s="196"/>
      <c r="C59" s="208"/>
      <c r="D59" s="716"/>
      <c r="E59" s="744"/>
      <c r="F59" s="212"/>
      <c r="G59" s="1025"/>
      <c r="H59" s="236"/>
      <c r="I59" s="207"/>
      <c r="J59" s="1259"/>
      <c r="K59" s="1025"/>
      <c r="L59" s="236"/>
      <c r="M59" s="1025"/>
      <c r="N59" s="48"/>
      <c r="O59" s="207"/>
      <c r="P59" s="207"/>
      <c r="Q59" s="207"/>
      <c r="R59" s="207"/>
      <c r="S59" s="207"/>
      <c r="T59" s="207"/>
      <c r="U59" s="96"/>
      <c r="V59" s="31"/>
      <c r="W59" s="31"/>
      <c r="X59" s="237"/>
      <c r="Y59" s="23"/>
      <c r="Z59" s="270"/>
      <c r="AA59" s="1011"/>
      <c r="AB59" s="1011"/>
      <c r="AC59" s="23"/>
      <c r="AD59" s="23"/>
      <c r="AE59" s="23"/>
      <c r="AF59" s="23"/>
      <c r="AG59"/>
      <c r="AH59"/>
    </row>
    <row r="60" spans="1:34" s="3" customFormat="1">
      <c r="A60" s="186"/>
      <c r="B60" s="196"/>
      <c r="C60" s="208"/>
      <c r="D60" s="716"/>
      <c r="E60" s="745"/>
      <c r="F60" s="212"/>
      <c r="G60" s="1025"/>
      <c r="H60" s="236"/>
      <c r="I60" s="207"/>
      <c r="J60" s="1259"/>
      <c r="K60" s="1025"/>
      <c r="L60" s="209"/>
      <c r="M60" s="1025"/>
      <c r="N60" s="48"/>
      <c r="O60" s="207"/>
      <c r="P60" s="207"/>
      <c r="Q60" s="207"/>
      <c r="R60" s="207"/>
      <c r="S60" s="207"/>
      <c r="T60" s="207"/>
      <c r="U60" s="96"/>
      <c r="V60" s="31"/>
      <c r="W60" s="31"/>
      <c r="X60" s="237"/>
      <c r="Y60" s="23"/>
      <c r="Z60" s="23"/>
      <c r="AA60" s="23"/>
      <c r="AB60" s="23"/>
      <c r="AC60" s="23"/>
      <c r="AD60" s="23"/>
      <c r="AE60" s="23"/>
      <c r="AF60" s="23"/>
      <c r="AG60"/>
      <c r="AH60"/>
    </row>
    <row r="61" spans="1:34" s="3" customFormat="1">
      <c r="A61" s="186"/>
      <c r="B61" s="196"/>
      <c r="C61" s="208"/>
      <c r="D61" s="716"/>
      <c r="E61" s="745"/>
      <c r="F61" s="212"/>
      <c r="G61" s="1025"/>
      <c r="H61" s="236"/>
      <c r="I61" s="207"/>
      <c r="J61" s="1259"/>
      <c r="K61" s="1025"/>
      <c r="L61" s="209"/>
      <c r="M61" s="1025"/>
      <c r="N61" s="48"/>
      <c r="O61" s="207"/>
      <c r="P61" s="207"/>
      <c r="Q61" s="207"/>
      <c r="R61" s="207"/>
      <c r="S61" s="207"/>
      <c r="T61" s="207"/>
      <c r="U61" s="96"/>
      <c r="V61" s="186"/>
      <c r="W61" s="186"/>
      <c r="X61" s="186"/>
      <c r="Y61" s="31"/>
      <c r="Z61" s="31"/>
      <c r="AA61" s="31"/>
      <c r="AB61" s="31"/>
      <c r="AC61" s="31"/>
      <c r="AD61" s="31"/>
      <c r="AE61" s="31"/>
      <c r="AF61" s="31"/>
    </row>
    <row r="62" spans="1:34" s="3" customFormat="1">
      <c r="A62" s="186"/>
      <c r="B62" s="196"/>
      <c r="C62" s="208"/>
      <c r="D62" s="716"/>
      <c r="E62" s="744"/>
      <c r="F62" s="212"/>
      <c r="G62" s="1025"/>
      <c r="H62" s="236"/>
      <c r="I62" s="207"/>
      <c r="J62" s="1259"/>
      <c r="K62" s="1025"/>
      <c r="L62" s="207"/>
      <c r="M62" s="1025"/>
      <c r="N62" s="48"/>
      <c r="O62" s="207"/>
      <c r="P62" s="207"/>
      <c r="Q62" s="207"/>
      <c r="R62" s="207"/>
      <c r="S62" s="207"/>
      <c r="T62" s="207"/>
      <c r="U62" s="96"/>
      <c r="V62" s="186"/>
      <c r="W62" s="186"/>
      <c r="X62" s="186"/>
      <c r="Y62" s="186"/>
      <c r="Z62" s="186"/>
      <c r="AA62" s="186"/>
      <c r="AB62" s="186"/>
      <c r="AC62" s="186"/>
    </row>
    <row r="63" spans="1:34" s="3" customFormat="1">
      <c r="A63" s="186"/>
      <c r="B63" s="196"/>
      <c r="C63" s="208"/>
      <c r="D63" s="716"/>
      <c r="E63" s="744"/>
      <c r="F63" s="212"/>
      <c r="G63" s="1025"/>
      <c r="H63" s="89"/>
      <c r="I63" s="207"/>
      <c r="J63" s="1259"/>
      <c r="K63" s="1025"/>
      <c r="L63" s="207"/>
      <c r="M63" s="207"/>
      <c r="N63" s="48"/>
      <c r="O63" s="207"/>
      <c r="P63" s="207"/>
      <c r="Q63" s="207"/>
      <c r="R63" s="207"/>
      <c r="S63" s="207"/>
      <c r="T63" s="207"/>
      <c r="U63" s="96"/>
      <c r="V63" s="186"/>
      <c r="W63" s="186"/>
      <c r="X63" s="186"/>
      <c r="Y63" s="186"/>
      <c r="Z63" s="186"/>
      <c r="AA63" s="186"/>
      <c r="AB63" s="186"/>
      <c r="AC63" s="186"/>
    </row>
    <row r="64" spans="1:34" s="3" customFormat="1">
      <c r="A64" s="186"/>
      <c r="B64" s="196"/>
      <c r="C64" s="208"/>
      <c r="D64" s="716"/>
      <c r="E64" s="744"/>
      <c r="F64" s="212"/>
      <c r="G64" s="1025"/>
      <c r="H64" s="89"/>
      <c r="I64" s="207"/>
      <c r="J64" s="1259"/>
      <c r="K64" s="1025"/>
      <c r="L64" s="207"/>
      <c r="M64" s="207"/>
      <c r="N64" s="48"/>
      <c r="O64" s="207"/>
      <c r="P64" s="207"/>
      <c r="Q64" s="207"/>
      <c r="R64" s="207"/>
      <c r="S64" s="207"/>
      <c r="T64" s="207"/>
      <c r="U64" s="96"/>
      <c r="V64" s="186"/>
      <c r="W64" s="186"/>
      <c r="X64" s="186"/>
      <c r="Y64" s="186"/>
      <c r="Z64" s="186"/>
      <c r="AA64" s="186"/>
      <c r="AB64" s="186"/>
      <c r="AC64" s="186"/>
    </row>
    <row r="65" spans="1:29">
      <c r="A65" s="22"/>
      <c r="B65" s="14"/>
      <c r="C65" s="208"/>
      <c r="D65" s="716"/>
      <c r="E65" s="89"/>
      <c r="F65" s="212"/>
      <c r="G65" s="1025"/>
      <c r="H65" s="207"/>
      <c r="I65" s="207"/>
      <c r="J65" s="1259"/>
      <c r="K65" s="1025"/>
      <c r="L65" s="207"/>
      <c r="M65" s="1025"/>
      <c r="N65" s="48"/>
      <c r="O65" s="209"/>
      <c r="P65" s="48"/>
      <c r="Q65" s="48"/>
      <c r="R65" s="48"/>
      <c r="S65" s="48"/>
      <c r="T65" s="48"/>
      <c r="U65" s="52"/>
      <c r="V65" s="22"/>
    </row>
    <row r="66" spans="1:29" s="3" customFormat="1">
      <c r="A66" s="186"/>
      <c r="B66" s="196"/>
      <c r="C66" s="208"/>
      <c r="D66" s="716"/>
      <c r="E66" s="89"/>
      <c r="F66" s="212"/>
      <c r="G66" s="1025"/>
      <c r="H66" s="213"/>
      <c r="I66" s="207"/>
      <c r="J66" s="1259"/>
      <c r="K66" s="1025"/>
      <c r="L66" s="207"/>
      <c r="M66" s="1025"/>
      <c r="N66" s="207"/>
      <c r="O66" s="207"/>
      <c r="P66" s="207"/>
      <c r="Q66" s="207"/>
      <c r="R66" s="207"/>
      <c r="S66" s="207"/>
      <c r="T66" s="207"/>
      <c r="U66" s="96"/>
      <c r="V66" s="186"/>
      <c r="W66" s="186"/>
      <c r="X66" s="186"/>
      <c r="Y66" s="186"/>
      <c r="Z66" s="186"/>
      <c r="AA66" s="186"/>
      <c r="AB66" s="186"/>
      <c r="AC66" s="186"/>
    </row>
    <row r="67" spans="1:29" s="3" customFormat="1">
      <c r="A67" s="186"/>
      <c r="B67" s="196"/>
      <c r="C67" s="208"/>
      <c r="D67" s="230"/>
      <c r="E67" s="89"/>
      <c r="F67" s="212"/>
      <c r="G67" s="1025"/>
      <c r="H67" s="213"/>
      <c r="I67" s="209"/>
      <c r="J67" s="209"/>
      <c r="K67" s="207"/>
      <c r="L67" s="207"/>
      <c r="M67" s="1025"/>
      <c r="N67" s="207"/>
      <c r="O67" s="207"/>
      <c r="P67" s="207"/>
      <c r="Q67" s="207"/>
      <c r="R67" s="207"/>
      <c r="S67" s="207"/>
      <c r="T67" s="207"/>
      <c r="U67" s="96"/>
      <c r="V67" s="186"/>
      <c r="W67" s="186"/>
      <c r="X67" s="186"/>
      <c r="Y67" s="186"/>
      <c r="Z67" s="186"/>
      <c r="AA67" s="186"/>
      <c r="AB67" s="186"/>
      <c r="AC67" s="186"/>
    </row>
    <row r="68" spans="1:29" s="3" customFormat="1" ht="14.25" customHeight="1" thickBot="1">
      <c r="A68" s="186"/>
      <c r="B68" s="201"/>
      <c r="C68" s="202"/>
      <c r="D68" s="231"/>
      <c r="E68" s="203"/>
      <c r="F68" s="202"/>
      <c r="G68" s="204"/>
      <c r="H68" s="92"/>
      <c r="I68" s="205"/>
      <c r="J68" s="206"/>
      <c r="K68" s="197"/>
      <c r="L68" s="197"/>
      <c r="M68" s="1026"/>
      <c r="N68" s="197"/>
      <c r="O68" s="197"/>
      <c r="P68" s="197"/>
      <c r="Q68" s="197"/>
      <c r="R68" s="197"/>
      <c r="S68" s="197"/>
      <c r="T68" s="197"/>
      <c r="U68" s="98"/>
      <c r="V68" s="186"/>
      <c r="W68" s="186"/>
      <c r="X68" s="186"/>
      <c r="Y68" s="186"/>
      <c r="Z68" s="186"/>
      <c r="AA68" s="186"/>
      <c r="AB68" s="186"/>
      <c r="AC68" s="186"/>
    </row>
    <row r="69" spans="1:29" s="3" customFormat="1" ht="15.75" customHeight="1">
      <c r="A69" s="186"/>
      <c r="B69" s="186"/>
      <c r="C69" s="186"/>
      <c r="D69" s="232"/>
      <c r="E69" s="186"/>
      <c r="F69" s="186"/>
      <c r="G69" s="186"/>
      <c r="H69" s="186"/>
      <c r="I69" s="186"/>
      <c r="J69" s="186"/>
      <c r="K69" s="186"/>
      <c r="L69" s="186"/>
      <c r="M69" s="189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</row>
    <row r="70" spans="1:29" s="3" customFormat="1">
      <c r="A70" s="186"/>
      <c r="B70" s="186"/>
      <c r="C70" s="186"/>
      <c r="D70" s="232"/>
      <c r="E70" s="186"/>
      <c r="F70" s="186"/>
      <c r="G70" s="186"/>
      <c r="H70" s="186"/>
      <c r="I70" s="186"/>
      <c r="J70" s="186"/>
      <c r="K70" s="186"/>
      <c r="L70" s="186"/>
      <c r="M70" s="189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</row>
    <row r="71" spans="1:29" s="3" customFormat="1">
      <c r="A71" s="186"/>
      <c r="B71" s="186"/>
      <c r="C71" s="186"/>
      <c r="D71" s="232"/>
      <c r="E71" s="186"/>
      <c r="F71" s="186"/>
      <c r="G71" s="186"/>
      <c r="H71" s="186"/>
      <c r="I71" s="186"/>
      <c r="J71" s="186"/>
      <c r="K71" s="186"/>
      <c r="L71" s="186"/>
      <c r="M71" s="189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</row>
    <row r="72" spans="1:29" s="3" customFormat="1">
      <c r="A72" s="186"/>
      <c r="B72" s="186"/>
      <c r="C72" s="186"/>
      <c r="D72" s="232"/>
      <c r="E72" s="186"/>
      <c r="F72" s="186"/>
      <c r="G72" s="186"/>
      <c r="H72" s="186"/>
      <c r="I72" s="186"/>
      <c r="J72" s="186"/>
      <c r="K72" s="186"/>
      <c r="L72" s="186"/>
      <c r="M72" s="189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</row>
    <row r="73" spans="1:29" s="3" customFormat="1">
      <c r="A73" s="186"/>
      <c r="B73" s="186"/>
      <c r="C73" s="186"/>
      <c r="D73" s="232"/>
      <c r="E73" s="186"/>
      <c r="F73" s="186"/>
      <c r="G73" s="186"/>
      <c r="H73" s="186"/>
      <c r="I73" s="186"/>
      <c r="J73" s="186"/>
      <c r="K73" s="186"/>
      <c r="L73" s="186"/>
      <c r="M73" s="189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</row>
    <row r="74" spans="1:29" s="3" customFormat="1">
      <c r="A74" s="186"/>
      <c r="B74" s="186"/>
      <c r="C74" s="186"/>
      <c r="D74" s="232"/>
      <c r="E74" s="186"/>
      <c r="F74" s="186"/>
      <c r="G74" s="186"/>
      <c r="H74" s="186"/>
      <c r="I74" s="186"/>
      <c r="J74" s="186"/>
      <c r="K74" s="186"/>
      <c r="L74" s="186"/>
      <c r="M74" s="189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</row>
    <row r="75" spans="1:29" s="3" customFormat="1">
      <c r="A75" s="186"/>
      <c r="B75" s="186"/>
      <c r="C75" s="186"/>
      <c r="D75" s="232"/>
      <c r="E75" s="186"/>
      <c r="F75" s="186"/>
      <c r="G75" s="186"/>
      <c r="H75" s="186"/>
      <c r="I75" s="186"/>
      <c r="J75" s="186"/>
      <c r="K75" s="186"/>
      <c r="L75" s="186"/>
      <c r="M75" s="189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</row>
    <row r="76" spans="1:29" s="3" customFormat="1">
      <c r="A76" s="186"/>
      <c r="B76" s="186"/>
      <c r="C76" s="186"/>
      <c r="D76" s="232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</row>
    <row r="77" spans="1:29" s="3" customFormat="1">
      <c r="A77" s="186"/>
      <c r="B77" s="186"/>
      <c r="C77" s="186"/>
      <c r="D77" s="232"/>
      <c r="E77" s="186"/>
      <c r="F77" s="186"/>
      <c r="G77" s="186"/>
      <c r="H77" s="186"/>
      <c r="I77" s="186"/>
      <c r="J77" s="186"/>
      <c r="K77" s="186"/>
      <c r="L77" s="186"/>
      <c r="M77" s="189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</row>
    <row r="78" spans="1:29" s="3" customFormat="1">
      <c r="A78" s="186"/>
      <c r="B78" s="186"/>
      <c r="C78" s="186"/>
      <c r="D78" s="232"/>
      <c r="E78" s="186"/>
      <c r="F78" s="186"/>
      <c r="G78" s="186"/>
      <c r="H78" s="186"/>
      <c r="I78" s="186"/>
      <c r="J78" s="186"/>
      <c r="K78" s="186"/>
      <c r="L78" s="186"/>
      <c r="M78" s="189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</row>
    <row r="79" spans="1:29" s="3" customFormat="1">
      <c r="A79" s="186"/>
      <c r="B79" s="186"/>
      <c r="C79" s="186"/>
      <c r="D79" s="232"/>
      <c r="E79" s="186"/>
      <c r="F79" s="186"/>
      <c r="G79" s="186"/>
      <c r="H79" s="186"/>
      <c r="I79" s="186"/>
      <c r="J79" s="186"/>
      <c r="K79" s="186"/>
      <c r="L79" s="186"/>
      <c r="M79" s="189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</row>
    <row r="80" spans="1:29" s="3" customFormat="1">
      <c r="A80" s="186"/>
      <c r="B80" s="186"/>
      <c r="C80" s="186"/>
      <c r="D80" s="232"/>
      <c r="E80" s="186"/>
      <c r="F80" s="186"/>
      <c r="G80" s="186"/>
      <c r="H80" s="186"/>
      <c r="I80" s="186"/>
      <c r="J80" s="186"/>
      <c r="K80" s="186"/>
      <c r="L80" s="186"/>
      <c r="M80" s="189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</row>
    <row r="81" spans="1:29" s="3" customFormat="1">
      <c r="A81" s="186"/>
      <c r="B81" s="186"/>
      <c r="C81" s="186"/>
      <c r="D81" s="232"/>
      <c r="E81" s="186"/>
      <c r="F81" s="186"/>
      <c r="G81" s="186"/>
      <c r="H81" s="186"/>
      <c r="I81" s="186"/>
      <c r="J81" s="186"/>
      <c r="K81" s="186"/>
      <c r="L81" s="186"/>
      <c r="M81" s="189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</row>
    <row r="82" spans="1:29" s="3" customFormat="1">
      <c r="A82" s="31"/>
      <c r="B82" s="186"/>
      <c r="C82" s="190"/>
      <c r="D82" s="233"/>
      <c r="E82" s="183"/>
      <c r="F82" s="22"/>
      <c r="G82" s="184"/>
      <c r="H82" s="22"/>
      <c r="I82" s="185"/>
      <c r="J82" s="182"/>
      <c r="K82" s="186"/>
      <c r="L82" s="191"/>
      <c r="M82" s="189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</row>
    <row r="83" spans="1:29" s="3" customFormat="1">
      <c r="A83" s="31"/>
      <c r="B83" s="1043"/>
      <c r="C83" s="182"/>
      <c r="D83" s="227"/>
      <c r="E83" s="186"/>
      <c r="F83" s="186"/>
      <c r="G83" s="186"/>
      <c r="H83" s="186"/>
      <c r="I83" s="186"/>
      <c r="J83" s="186"/>
      <c r="K83" s="186"/>
      <c r="L83" s="186"/>
      <c r="M83" s="189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</row>
    <row r="84" spans="1:29" s="3" customFormat="1">
      <c r="A84" s="31"/>
      <c r="B84" s="1043"/>
      <c r="C84" s="182"/>
      <c r="D84" s="227"/>
      <c r="E84" s="186"/>
      <c r="F84" s="186"/>
      <c r="G84" s="186"/>
      <c r="H84" s="186"/>
      <c r="I84" s="186"/>
      <c r="J84" s="186"/>
      <c r="K84" s="186"/>
      <c r="L84" s="186"/>
      <c r="M84" s="189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</row>
    <row r="85" spans="1:29" s="3" customFormat="1">
      <c r="A85" s="31"/>
      <c r="B85" s="31"/>
      <c r="C85" s="182"/>
      <c r="D85" s="227"/>
      <c r="E85" s="186"/>
      <c r="F85" s="186"/>
      <c r="G85" s="186"/>
      <c r="H85" s="186"/>
      <c r="I85" s="186"/>
      <c r="J85" s="186"/>
      <c r="K85" s="186"/>
      <c r="L85" s="186"/>
      <c r="M85" s="189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</row>
    <row r="86" spans="1:29" s="8" customFormat="1">
      <c r="A86" s="215"/>
      <c r="B86" s="215"/>
      <c r="C86" s="182"/>
      <c r="D86" s="227"/>
      <c r="E86" s="186"/>
      <c r="F86" s="186"/>
      <c r="G86" s="186"/>
      <c r="H86" s="186"/>
      <c r="I86" s="186"/>
      <c r="J86" s="186"/>
      <c r="K86" s="186"/>
      <c r="L86" s="193"/>
      <c r="M86" s="194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</row>
    <row r="87" spans="1:29">
      <c r="A87" s="23"/>
      <c r="B87" s="23"/>
      <c r="C87" s="182"/>
      <c r="D87" s="227"/>
      <c r="E87" s="186"/>
      <c r="F87" s="186"/>
      <c r="G87" s="186"/>
      <c r="H87" s="186"/>
      <c r="I87" s="186"/>
      <c r="J87" s="186"/>
      <c r="K87" s="186"/>
      <c r="L87" s="186"/>
      <c r="M87" s="189"/>
      <c r="N87" s="22"/>
      <c r="O87" s="22"/>
      <c r="P87" s="22"/>
      <c r="Q87" s="22"/>
      <c r="R87" s="22"/>
      <c r="S87" s="22"/>
      <c r="T87" s="22"/>
      <c r="U87" s="22"/>
      <c r="V87" s="22"/>
    </row>
    <row r="88" spans="1:29">
      <c r="A88" s="23"/>
      <c r="B88" s="23"/>
      <c r="C88" s="182"/>
      <c r="D88" s="227"/>
      <c r="E88" s="186"/>
      <c r="F88" s="186"/>
      <c r="G88" s="186"/>
      <c r="H88" s="186"/>
      <c r="I88" s="186"/>
      <c r="J88" s="186"/>
      <c r="K88" s="186"/>
      <c r="L88" s="186"/>
      <c r="M88" s="189"/>
      <c r="N88" s="22"/>
      <c r="O88" s="22"/>
      <c r="P88" s="22"/>
      <c r="Q88" s="22"/>
      <c r="R88" s="22"/>
      <c r="S88" s="22"/>
      <c r="T88" s="22"/>
      <c r="U88" s="22"/>
      <c r="V88" s="22"/>
    </row>
    <row r="89" spans="1:29" ht="23.25" customHeight="1">
      <c r="A89" s="23"/>
      <c r="B89" s="23"/>
      <c r="C89" s="182"/>
      <c r="D89" s="227"/>
      <c r="E89" s="186"/>
      <c r="F89" s="186"/>
      <c r="G89" s="186"/>
      <c r="H89" s="186"/>
      <c r="I89" s="186"/>
      <c r="J89" s="186"/>
      <c r="K89" s="186"/>
      <c r="L89" s="186"/>
      <c r="M89" s="189"/>
      <c r="N89" s="22"/>
      <c r="O89" s="22"/>
      <c r="P89" s="22"/>
      <c r="Q89" s="22"/>
      <c r="R89" s="22"/>
      <c r="S89" s="22"/>
      <c r="T89" s="22"/>
      <c r="U89" s="22"/>
      <c r="V89" s="22"/>
    </row>
    <row r="90" spans="1:29" ht="15.75" customHeight="1">
      <c r="A90" s="23"/>
      <c r="B90" s="22"/>
      <c r="C90" s="182"/>
      <c r="D90" s="227"/>
      <c r="E90" s="186"/>
      <c r="F90" s="186"/>
      <c r="G90" s="186"/>
      <c r="H90" s="186"/>
      <c r="I90" s="186"/>
      <c r="J90" s="186"/>
      <c r="K90" s="186"/>
      <c r="L90" s="186"/>
      <c r="M90" s="189"/>
      <c r="N90" s="22"/>
      <c r="O90" s="22"/>
      <c r="P90" s="22"/>
      <c r="Q90" s="189"/>
      <c r="R90" s="22"/>
      <c r="S90" s="22"/>
      <c r="T90" s="22"/>
      <c r="U90" s="22"/>
      <c r="V90" s="22"/>
    </row>
    <row r="91" spans="1:29" ht="15.75" customHeight="1">
      <c r="A91" s="22"/>
      <c r="B91" s="22"/>
      <c r="C91" s="182"/>
      <c r="D91" s="227"/>
      <c r="E91" s="183"/>
      <c r="F91" s="22"/>
      <c r="G91" s="184"/>
      <c r="H91" s="22"/>
      <c r="I91" s="22"/>
      <c r="J91" s="182"/>
      <c r="K91" s="22"/>
      <c r="L91" s="186"/>
      <c r="M91" s="189"/>
      <c r="N91" s="22"/>
      <c r="O91" s="22"/>
      <c r="P91" s="22"/>
      <c r="Q91" s="189"/>
      <c r="R91" s="22"/>
      <c r="S91" s="22"/>
      <c r="T91" s="22"/>
      <c r="U91" s="22"/>
      <c r="V91" s="22"/>
    </row>
    <row r="92" spans="1:29" ht="15.75" customHeight="1">
      <c r="A92" s="22"/>
      <c r="B92" s="22"/>
      <c r="C92" s="182"/>
      <c r="D92" s="227"/>
      <c r="E92" s="183"/>
      <c r="F92" s="22"/>
      <c r="G92" s="184"/>
      <c r="H92" s="22"/>
      <c r="I92" s="22"/>
      <c r="J92" s="182"/>
      <c r="K92" s="22"/>
      <c r="L92" s="186"/>
      <c r="M92" s="189"/>
      <c r="N92" s="22"/>
      <c r="O92" s="22"/>
      <c r="P92" s="22"/>
      <c r="Q92" s="189"/>
      <c r="R92" s="22"/>
      <c r="S92" s="22"/>
      <c r="T92" s="22"/>
      <c r="U92" s="22"/>
      <c r="V92" s="22"/>
    </row>
    <row r="93" spans="1:29">
      <c r="A93" s="22"/>
      <c r="B93" s="22"/>
      <c r="C93" s="182"/>
      <c r="D93" s="227"/>
      <c r="E93" s="183"/>
      <c r="F93" s="22"/>
      <c r="G93" s="184"/>
      <c r="H93" s="22"/>
      <c r="I93" s="22"/>
      <c r="J93" s="182"/>
      <c r="K93" s="22"/>
      <c r="L93" s="186"/>
      <c r="M93" s="189"/>
      <c r="N93" s="22"/>
      <c r="O93" s="22"/>
      <c r="P93" s="22"/>
      <c r="Q93" s="189"/>
      <c r="R93" s="22"/>
      <c r="S93" s="22"/>
      <c r="T93" s="22"/>
      <c r="U93" s="22"/>
      <c r="V93" s="22"/>
    </row>
    <row r="94" spans="1:29">
      <c r="A94" s="22"/>
      <c r="B94" s="22"/>
      <c r="C94" s="182"/>
      <c r="D94" s="227"/>
      <c r="E94" s="183"/>
      <c r="F94" s="22"/>
      <c r="G94" s="184"/>
      <c r="H94" s="22"/>
      <c r="I94" s="22"/>
      <c r="J94" s="182"/>
      <c r="K94" s="22"/>
      <c r="L94" s="186"/>
      <c r="M94" s="189"/>
      <c r="N94" s="22"/>
      <c r="O94" s="22"/>
      <c r="P94" s="22"/>
      <c r="Q94" s="189"/>
      <c r="R94" s="22"/>
      <c r="S94" s="22"/>
      <c r="T94" s="22"/>
      <c r="U94" s="22"/>
      <c r="V94" s="22"/>
    </row>
    <row r="95" spans="1:29">
      <c r="A95" s="22"/>
      <c r="B95" s="22"/>
      <c r="C95" s="182"/>
      <c r="D95" s="227"/>
      <c r="E95" s="183"/>
      <c r="F95" s="22"/>
      <c r="G95" s="184"/>
      <c r="H95" s="22"/>
      <c r="I95" s="22"/>
      <c r="J95" s="182"/>
      <c r="K95" s="22"/>
      <c r="L95" s="186"/>
      <c r="M95" s="189"/>
      <c r="N95" s="22"/>
      <c r="O95" s="22"/>
      <c r="P95" s="22"/>
      <c r="Q95" s="189"/>
      <c r="R95" s="22"/>
      <c r="S95" s="22"/>
      <c r="T95" s="22"/>
      <c r="U95" s="22"/>
      <c r="V95" s="22"/>
    </row>
    <row r="96" spans="1:29">
      <c r="A96" s="22"/>
      <c r="B96" s="22"/>
      <c r="C96" s="182"/>
      <c r="D96" s="227"/>
      <c r="E96" s="183"/>
      <c r="F96" s="22"/>
      <c r="G96" s="184"/>
      <c r="H96" s="22"/>
      <c r="I96" s="22"/>
      <c r="J96" s="182"/>
      <c r="K96" s="22"/>
      <c r="L96" s="186"/>
      <c r="M96" s="189"/>
      <c r="N96" s="22"/>
      <c r="O96" s="22"/>
      <c r="P96" s="22"/>
      <c r="Q96" s="189"/>
      <c r="R96" s="22"/>
      <c r="S96" s="22"/>
      <c r="T96" s="22"/>
      <c r="U96" s="22"/>
      <c r="V96" s="22"/>
    </row>
    <row r="97" spans="1:22">
      <c r="A97" s="22"/>
      <c r="B97" s="22"/>
      <c r="C97" s="182"/>
      <c r="D97" s="227"/>
      <c r="E97" s="183"/>
      <c r="F97" s="22"/>
      <c r="G97" s="184"/>
      <c r="H97" s="22"/>
      <c r="I97" s="22"/>
      <c r="J97" s="182"/>
      <c r="K97" s="22"/>
      <c r="L97" s="186"/>
      <c r="M97" s="189"/>
      <c r="N97" s="22"/>
      <c r="O97" s="22"/>
      <c r="P97" s="22"/>
      <c r="Q97" s="189"/>
      <c r="R97" s="22"/>
      <c r="S97" s="22"/>
      <c r="T97" s="22"/>
      <c r="U97" s="22"/>
      <c r="V97" s="22"/>
    </row>
    <row r="98" spans="1:22">
      <c r="A98" s="22"/>
      <c r="B98" s="22"/>
      <c r="C98" s="182"/>
      <c r="D98" s="227"/>
      <c r="E98" s="183"/>
      <c r="F98" s="22"/>
      <c r="G98" s="184"/>
      <c r="H98" s="22"/>
      <c r="I98" s="22"/>
      <c r="J98" s="182"/>
      <c r="K98" s="22"/>
      <c r="L98" s="186"/>
      <c r="M98" s="189"/>
      <c r="N98" s="22"/>
      <c r="O98" s="22"/>
      <c r="P98" s="22"/>
      <c r="Q98" s="189"/>
      <c r="R98" s="22"/>
      <c r="S98" s="22"/>
      <c r="T98" s="22"/>
      <c r="U98" s="22"/>
      <c r="V98" s="22"/>
    </row>
    <row r="99" spans="1:22" ht="15.75" customHeight="1">
      <c r="A99" s="22"/>
      <c r="B99" s="22"/>
      <c r="C99" s="182"/>
      <c r="D99" s="227"/>
      <c r="E99" s="183"/>
      <c r="F99" s="22"/>
      <c r="G99" s="184"/>
      <c r="H99" s="22"/>
      <c r="I99" s="22"/>
      <c r="J99" s="182"/>
      <c r="K99" s="22"/>
      <c r="L99" s="186"/>
      <c r="M99" s="189"/>
      <c r="N99" s="22"/>
      <c r="O99" s="22"/>
      <c r="P99" s="22"/>
      <c r="Q99" s="22"/>
      <c r="R99" s="22"/>
      <c r="S99" s="22"/>
      <c r="T99" s="22"/>
      <c r="U99" s="22"/>
      <c r="V99" s="22"/>
    </row>
    <row r="100" spans="1:22">
      <c r="A100" s="22"/>
      <c r="B100" s="22"/>
      <c r="C100" s="182"/>
      <c r="D100" s="227"/>
      <c r="E100" s="183"/>
      <c r="F100" s="22"/>
      <c r="G100" s="184"/>
      <c r="H100" s="22"/>
      <c r="I100" s="22"/>
      <c r="J100" s="182"/>
      <c r="K100" s="22"/>
      <c r="L100" s="186"/>
      <c r="M100" s="189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>
      <c r="A101" s="22"/>
      <c r="B101" s="22"/>
      <c r="C101" s="182"/>
      <c r="D101" s="227"/>
      <c r="E101" s="183"/>
      <c r="F101" s="22"/>
      <c r="G101" s="184"/>
      <c r="H101" s="22"/>
      <c r="I101" s="22"/>
      <c r="J101" s="182"/>
      <c r="K101" s="22"/>
      <c r="L101" s="186"/>
      <c r="M101" s="189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>
      <c r="A102" s="22"/>
      <c r="B102" s="22"/>
      <c r="C102" s="182"/>
      <c r="D102" s="227"/>
      <c r="E102" s="183"/>
      <c r="F102" s="22"/>
      <c r="G102" s="184"/>
      <c r="H102" s="22"/>
      <c r="I102" s="22"/>
      <c r="J102" s="182"/>
      <c r="K102" s="22"/>
      <c r="L102" s="186"/>
      <c r="M102" s="189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>
      <c r="A103" s="22"/>
      <c r="B103" s="22"/>
      <c r="C103" s="182"/>
      <c r="D103" s="227"/>
      <c r="E103" s="183"/>
      <c r="F103" s="22"/>
      <c r="G103" s="184"/>
      <c r="H103" s="22"/>
      <c r="I103" s="22"/>
      <c r="J103" s="182"/>
      <c r="K103" s="22"/>
      <c r="L103" s="186"/>
      <c r="M103" s="189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>
      <c r="A104" s="22"/>
      <c r="B104" s="22"/>
      <c r="C104" s="182"/>
      <c r="D104" s="227"/>
      <c r="E104" s="183"/>
      <c r="F104" s="22"/>
      <c r="G104" s="184"/>
      <c r="H104" s="22"/>
      <c r="I104" s="22"/>
      <c r="J104" s="182"/>
      <c r="K104" s="22"/>
      <c r="L104" s="186"/>
      <c r="M104" s="189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>
      <c r="A105" s="22"/>
      <c r="B105" s="22"/>
      <c r="C105" s="182"/>
      <c r="D105" s="227"/>
      <c r="E105" s="183"/>
      <c r="F105" s="22"/>
      <c r="G105" s="184"/>
      <c r="H105" s="22"/>
      <c r="I105" s="22"/>
      <c r="J105" s="182"/>
      <c r="K105" s="22"/>
      <c r="L105" s="186"/>
      <c r="M105" s="189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>
      <c r="A106" s="22"/>
      <c r="B106" s="22"/>
      <c r="C106" s="182"/>
      <c r="D106" s="227"/>
      <c r="E106" s="183"/>
      <c r="F106" s="22"/>
      <c r="G106" s="184"/>
      <c r="H106" s="22"/>
      <c r="I106" s="22"/>
      <c r="J106" s="182"/>
      <c r="K106" s="22"/>
      <c r="L106" s="186"/>
      <c r="M106" s="189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>
      <c r="A107" s="22"/>
      <c r="B107" s="22"/>
      <c r="C107" s="182"/>
      <c r="D107" s="227"/>
      <c r="E107" s="183"/>
      <c r="F107" s="22"/>
      <c r="G107" s="184"/>
      <c r="H107" s="22"/>
      <c r="I107" s="22"/>
      <c r="J107" s="182"/>
      <c r="K107" s="22"/>
      <c r="L107" s="186"/>
      <c r="M107" s="189"/>
      <c r="N107" s="22"/>
      <c r="O107" s="22"/>
      <c r="P107" s="22"/>
      <c r="Q107" s="190"/>
      <c r="R107" s="22"/>
      <c r="S107" s="22"/>
      <c r="T107" s="22"/>
      <c r="U107" s="22"/>
      <c r="V107" s="22"/>
    </row>
    <row r="108" spans="1:22">
      <c r="A108" s="22"/>
      <c r="B108" s="22"/>
      <c r="C108" s="182"/>
      <c r="D108" s="227"/>
      <c r="E108" s="183"/>
      <c r="F108" s="22"/>
      <c r="G108" s="184"/>
      <c r="H108" s="22"/>
      <c r="I108" s="22"/>
      <c r="J108" s="182"/>
      <c r="K108" s="22"/>
      <c r="L108" s="186"/>
      <c r="M108" s="189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>
      <c r="A109" s="22"/>
      <c r="B109" s="22"/>
      <c r="C109" s="182"/>
      <c r="D109" s="227"/>
      <c r="E109" s="183"/>
      <c r="F109" s="22"/>
      <c r="G109" s="184"/>
      <c r="H109" s="22"/>
      <c r="I109" s="22"/>
      <c r="J109" s="182"/>
      <c r="K109" s="22"/>
      <c r="L109" s="186"/>
      <c r="M109" s="189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>
      <c r="A110" s="22"/>
      <c r="B110" s="22"/>
      <c r="C110" s="182"/>
      <c r="D110" s="227"/>
      <c r="E110" s="183"/>
      <c r="F110" s="22"/>
      <c r="G110" s="184"/>
      <c r="H110" s="22"/>
      <c r="I110" s="22"/>
      <c r="J110" s="182"/>
      <c r="K110" s="22"/>
      <c r="L110" s="186"/>
      <c r="M110" s="189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>
      <c r="A111" s="22"/>
      <c r="B111" s="22"/>
      <c r="C111" s="182"/>
      <c r="D111" s="227"/>
      <c r="E111" s="183"/>
      <c r="F111" s="22"/>
      <c r="G111" s="184"/>
      <c r="H111" s="22"/>
      <c r="I111" s="22"/>
      <c r="J111" s="182"/>
      <c r="K111" s="22"/>
      <c r="L111" s="186"/>
      <c r="M111" s="189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>
      <c r="A112" s="22"/>
      <c r="B112" s="22"/>
      <c r="C112" s="182"/>
      <c r="D112" s="227"/>
      <c r="E112" s="183"/>
      <c r="F112" s="22"/>
      <c r="G112" s="184"/>
      <c r="H112" s="22"/>
      <c r="I112" s="22"/>
      <c r="J112" s="182"/>
      <c r="K112" s="22"/>
      <c r="L112" s="186"/>
      <c r="M112" s="189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>
      <c r="A113" s="22"/>
      <c r="B113" s="22"/>
      <c r="C113" s="182"/>
      <c r="D113" s="227"/>
      <c r="E113" s="183"/>
      <c r="F113" s="22"/>
      <c r="G113" s="184"/>
      <c r="H113" s="22"/>
      <c r="I113" s="22"/>
      <c r="J113" s="182"/>
      <c r="K113" s="22"/>
      <c r="L113" s="186"/>
      <c r="M113" s="189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>
      <c r="A114" s="22"/>
      <c r="B114" s="22"/>
      <c r="C114" s="182"/>
      <c r="D114" s="227"/>
      <c r="E114" s="183"/>
      <c r="F114" s="22"/>
      <c r="G114" s="184"/>
      <c r="H114" s="22"/>
      <c r="I114" s="22"/>
      <c r="J114" s="182"/>
      <c r="K114" s="22"/>
      <c r="L114" s="186"/>
      <c r="M114" s="189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>
      <c r="A115" s="22"/>
      <c r="B115" s="22"/>
      <c r="C115" s="182"/>
      <c r="D115" s="227"/>
      <c r="E115" s="183"/>
      <c r="F115" s="22"/>
      <c r="G115" s="184"/>
      <c r="H115" s="22"/>
      <c r="I115" s="22"/>
      <c r="J115" s="182"/>
      <c r="K115" s="22"/>
      <c r="L115" s="186"/>
      <c r="M115" s="189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>
      <c r="A116" s="22"/>
      <c r="B116" s="22"/>
      <c r="C116" s="182"/>
      <c r="D116" s="227"/>
      <c r="E116" s="183"/>
      <c r="F116" s="22"/>
      <c r="G116" s="184"/>
      <c r="H116" s="22"/>
      <c r="I116" s="22"/>
      <c r="J116" s="182"/>
      <c r="K116" s="22"/>
      <c r="L116" s="186"/>
      <c r="M116" s="189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>
      <c r="A117" s="22"/>
      <c r="B117" s="22"/>
      <c r="C117" s="182"/>
      <c r="D117" s="227"/>
      <c r="E117" s="183"/>
      <c r="F117" s="22"/>
      <c r="G117" s="184"/>
      <c r="H117" s="22"/>
      <c r="I117" s="22"/>
      <c r="J117" s="182"/>
      <c r="K117" s="22"/>
      <c r="L117" s="186"/>
      <c r="M117" s="189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>
      <c r="A118" s="22"/>
      <c r="B118" s="22"/>
      <c r="C118" s="182"/>
      <c r="D118" s="227"/>
      <c r="E118" s="183"/>
      <c r="F118" s="22"/>
      <c r="G118" s="184"/>
      <c r="H118" s="22"/>
      <c r="I118" s="22"/>
      <c r="J118" s="182"/>
      <c r="K118" s="22"/>
      <c r="L118" s="186"/>
      <c r="M118" s="189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>
      <c r="A119" s="22"/>
      <c r="B119" s="22"/>
      <c r="C119" s="182"/>
      <c r="D119" s="227"/>
      <c r="E119" s="183"/>
      <c r="F119" s="22"/>
      <c r="G119" s="184"/>
      <c r="H119" s="22"/>
      <c r="I119" s="22"/>
      <c r="J119" s="182"/>
      <c r="K119" s="22"/>
      <c r="L119" s="186"/>
      <c r="M119" s="189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>
      <c r="A120" s="22"/>
      <c r="B120" s="22"/>
      <c r="C120" s="182"/>
      <c r="D120" s="227"/>
      <c r="E120" s="183"/>
      <c r="F120" s="22"/>
      <c r="G120" s="184"/>
      <c r="H120" s="22"/>
      <c r="I120" s="22"/>
      <c r="J120" s="182"/>
      <c r="K120" s="22"/>
      <c r="L120" s="186"/>
      <c r="M120" s="189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>
      <c r="A121" s="22"/>
      <c r="B121" s="22"/>
      <c r="C121" s="182"/>
      <c r="D121" s="227"/>
      <c r="E121" s="183"/>
      <c r="F121" s="22"/>
      <c r="G121" s="184"/>
      <c r="H121" s="22"/>
      <c r="I121" s="22"/>
      <c r="J121" s="182"/>
      <c r="K121" s="22"/>
      <c r="L121" s="186"/>
      <c r="M121" s="189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>
      <c r="A122" s="22"/>
      <c r="B122" s="22"/>
      <c r="C122" s="182"/>
      <c r="D122" s="227"/>
      <c r="E122" s="183"/>
      <c r="F122" s="22"/>
      <c r="G122" s="184"/>
      <c r="H122" s="22"/>
      <c r="I122" s="22"/>
      <c r="J122" s="182"/>
      <c r="K122" s="22"/>
      <c r="L122" s="186"/>
      <c r="M122" s="189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>
      <c r="A123" s="22"/>
      <c r="B123" s="22"/>
      <c r="C123" s="182"/>
      <c r="D123" s="227"/>
      <c r="E123" s="183"/>
      <c r="F123" s="22"/>
      <c r="G123" s="184"/>
      <c r="H123" s="22"/>
      <c r="I123" s="22"/>
      <c r="J123" s="182"/>
      <c r="K123" s="22"/>
      <c r="L123" s="186"/>
      <c r="M123" s="189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>
      <c r="A124" s="22"/>
      <c r="B124" s="22"/>
      <c r="C124" s="182"/>
      <c r="D124" s="227"/>
      <c r="E124" s="183"/>
      <c r="F124" s="22"/>
      <c r="G124" s="184"/>
      <c r="H124" s="22"/>
      <c r="I124" s="22"/>
      <c r="J124" s="182"/>
      <c r="K124" s="22"/>
      <c r="L124" s="186"/>
      <c r="M124" s="189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>
      <c r="A125" s="22"/>
      <c r="B125" s="22"/>
      <c r="C125" s="182"/>
      <c r="D125" s="227"/>
      <c r="E125" s="183"/>
      <c r="F125" s="22"/>
      <c r="G125" s="184"/>
      <c r="H125" s="22"/>
      <c r="I125" s="22"/>
      <c r="J125" s="182"/>
      <c r="K125" s="22"/>
      <c r="L125" s="186"/>
      <c r="M125" s="189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>
      <c r="A126" s="22"/>
      <c r="B126" s="22"/>
      <c r="C126" s="182"/>
      <c r="D126" s="227"/>
      <c r="E126" s="183"/>
      <c r="F126" s="22"/>
      <c r="G126" s="184"/>
      <c r="H126" s="22"/>
      <c r="I126" s="22"/>
      <c r="J126" s="182"/>
      <c r="K126" s="22"/>
      <c r="L126" s="186"/>
      <c r="M126" s="189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>
      <c r="A127" s="22"/>
      <c r="B127" s="22"/>
      <c r="C127" s="182"/>
      <c r="D127" s="227"/>
      <c r="E127" s="183"/>
      <c r="F127" s="22"/>
      <c r="G127" s="184"/>
      <c r="H127" s="22"/>
      <c r="I127" s="22"/>
      <c r="J127" s="182"/>
      <c r="K127" s="22"/>
      <c r="L127" s="186"/>
      <c r="M127" s="189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>
      <c r="A128" s="22"/>
      <c r="B128" s="22"/>
      <c r="C128" s="182"/>
      <c r="D128" s="227"/>
      <c r="E128" s="183"/>
      <c r="F128" s="22"/>
      <c r="G128" s="184"/>
      <c r="H128" s="22"/>
      <c r="I128" s="22"/>
      <c r="J128" s="182"/>
      <c r="K128" s="22"/>
      <c r="L128" s="186"/>
      <c r="M128" s="189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>
      <c r="A129" s="22"/>
      <c r="B129" s="22"/>
      <c r="C129" s="182"/>
      <c r="D129" s="227"/>
      <c r="E129" s="183"/>
      <c r="F129" s="22"/>
      <c r="G129" s="184"/>
      <c r="H129" s="22"/>
      <c r="I129" s="22"/>
      <c r="J129" s="182"/>
      <c r="K129" s="22"/>
      <c r="L129" s="186"/>
      <c r="M129" s="189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>
      <c r="A130" s="22"/>
      <c r="B130" s="22"/>
      <c r="C130" s="182"/>
      <c r="D130" s="227"/>
      <c r="E130" s="183"/>
      <c r="F130" s="22"/>
      <c r="G130" s="184"/>
      <c r="H130" s="22"/>
      <c r="I130" s="22"/>
      <c r="J130" s="182"/>
      <c r="K130" s="22"/>
      <c r="L130" s="186"/>
      <c r="M130" s="189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>
      <c r="A131" s="22"/>
      <c r="B131" s="22"/>
      <c r="C131" s="182"/>
      <c r="D131" s="227"/>
      <c r="E131" s="183"/>
      <c r="F131" s="22"/>
      <c r="G131" s="184"/>
      <c r="H131" s="22"/>
      <c r="I131" s="22"/>
      <c r="J131" s="182"/>
      <c r="K131" s="22"/>
      <c r="L131" s="186"/>
      <c r="M131" s="189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>
      <c r="A132" s="22"/>
      <c r="B132" s="22"/>
      <c r="C132" s="182"/>
      <c r="D132" s="227"/>
      <c r="E132" s="183"/>
      <c r="F132" s="22"/>
      <c r="G132" s="184"/>
      <c r="H132" s="22"/>
      <c r="I132" s="22"/>
      <c r="J132" s="182"/>
      <c r="K132" s="22"/>
      <c r="L132" s="186"/>
      <c r="M132" s="189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>
      <c r="A133" s="22"/>
      <c r="B133" s="22"/>
      <c r="C133" s="182"/>
      <c r="D133" s="227"/>
      <c r="E133" s="183"/>
      <c r="F133" s="22"/>
      <c r="G133" s="184"/>
      <c r="H133" s="22"/>
      <c r="I133" s="22"/>
      <c r="J133" s="182"/>
      <c r="K133" s="22"/>
      <c r="L133" s="186"/>
      <c r="M133" s="189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ht="45" customHeight="1" thickBot="1">
      <c r="A134" s="22"/>
      <c r="B134" s="22"/>
      <c r="C134" s="1633" t="s">
        <v>136</v>
      </c>
      <c r="D134" s="1633"/>
      <c r="E134" s="1633"/>
      <c r="F134" s="1633"/>
      <c r="G134" s="1633"/>
      <c r="H134" s="1633"/>
      <c r="I134" s="1633"/>
      <c r="J134" s="1633"/>
      <c r="K134" s="1633"/>
      <c r="L134" s="1633"/>
      <c r="M134" s="1633"/>
      <c r="N134" s="446"/>
      <c r="O134" s="22"/>
      <c r="P134" s="22"/>
      <c r="Q134" s="22"/>
      <c r="R134" s="22"/>
      <c r="S134" s="22"/>
      <c r="T134" s="22"/>
      <c r="U134" s="22"/>
      <c r="V134" s="22"/>
    </row>
    <row r="135" spans="1:22" ht="16.5" customHeight="1" thickBot="1">
      <c r="A135" s="22"/>
      <c r="B135" s="22"/>
      <c r="C135" s="1608" t="s">
        <v>138</v>
      </c>
      <c r="D135" s="406"/>
      <c r="E135" s="407"/>
      <c r="F135" s="408"/>
      <c r="G135" s="409"/>
      <c r="H135" s="410"/>
      <c r="I135" s="408"/>
      <c r="J135" s="411"/>
      <c r="K135" s="406"/>
      <c r="L135" s="216"/>
      <c r="M135" s="217"/>
      <c r="N135" s="446"/>
      <c r="O135" s="22"/>
      <c r="P135" s="22"/>
      <c r="Q135" s="22"/>
      <c r="R135" s="22"/>
      <c r="S135" s="22"/>
      <c r="T135" s="22"/>
      <c r="U135" s="22"/>
      <c r="V135" s="22"/>
    </row>
    <row r="136" spans="1:22">
      <c r="A136" s="22"/>
      <c r="B136" s="22"/>
      <c r="C136" s="1609"/>
      <c r="D136" s="412"/>
      <c r="E136" s="1152" t="s">
        <v>139</v>
      </c>
      <c r="F136" s="413" t="s">
        <v>140</v>
      </c>
      <c r="G136" s="414" t="s">
        <v>141</v>
      </c>
      <c r="H136" s="415"/>
      <c r="I136" s="1036" t="s">
        <v>142</v>
      </c>
      <c r="J136" s="416" t="s">
        <v>143</v>
      </c>
      <c r="K136" s="413" t="s">
        <v>132</v>
      </c>
      <c r="L136" s="246" t="s">
        <v>134</v>
      </c>
      <c r="M136" s="1146"/>
      <c r="N136" s="446"/>
      <c r="O136" s="22"/>
      <c r="P136" s="22"/>
      <c r="Q136" s="22"/>
      <c r="R136" s="22"/>
      <c r="S136" s="22"/>
      <c r="T136" s="22"/>
      <c r="U136" s="22"/>
      <c r="V136" s="22"/>
    </row>
    <row r="137" spans="1:22">
      <c r="A137" s="22"/>
      <c r="B137" s="22"/>
      <c r="C137" s="1609"/>
      <c r="D137" s="412"/>
      <c r="E137" s="417" t="s">
        <v>144</v>
      </c>
      <c r="F137" s="418">
        <f>COUNTIF(J$1:J$134,"Positif")</f>
        <v>26</v>
      </c>
      <c r="G137" s="419">
        <f>COUNTIF(J$1:J$134,"Negatif")</f>
        <v>0</v>
      </c>
      <c r="H137" s="415"/>
      <c r="I137" s="420" t="s">
        <v>145</v>
      </c>
      <c r="J137" s="418">
        <f>COUNTIFS(F$1:F$134,"PQR",G$1:G$134, 40)</f>
        <v>2</v>
      </c>
      <c r="K137" s="421">
        <f>COUNTIFS(F$1:F$134,"PQR",G$1:G$134, 65)</f>
        <v>4</v>
      </c>
      <c r="L137" s="422">
        <f>COUNTIFS(F$1:F$134,"PQR",G$1:G$134,64)</f>
        <v>5</v>
      </c>
      <c r="M137" s="1146"/>
      <c r="N137" s="446"/>
      <c r="O137" s="22"/>
      <c r="P137" s="22"/>
      <c r="Q137" s="22"/>
      <c r="R137" s="22"/>
      <c r="S137" s="22"/>
      <c r="T137" s="22"/>
      <c r="U137" s="22"/>
      <c r="V137" s="22"/>
    </row>
    <row r="138" spans="1:22">
      <c r="A138" s="22"/>
      <c r="B138" s="22"/>
      <c r="C138" s="1609"/>
      <c r="D138" s="412"/>
      <c r="E138" s="423" t="s">
        <v>143</v>
      </c>
      <c r="F138" s="424">
        <f>COUNTIFS(G$1:G$134,40,J$1:J$134, "Positif")</f>
        <v>4</v>
      </c>
      <c r="G138" s="419">
        <f>COUNTIFS(G$1:G$134,40,J$1:J$134, "Negatif")+COUNTIFS(G$1:G$134,40,J$1:J$134, "Negative")+COUNTIFS(G$1:G$134,40,J$1:J$134, "négatif")+COUNTIFS(G$1:G$134,40,J$1:J$134, "négative")</f>
        <v>0</v>
      </c>
      <c r="H138" s="415"/>
      <c r="I138" s="425" t="s">
        <v>146</v>
      </c>
      <c r="J138" s="418">
        <f>COUNTIFS(F$1:F$134,"web",G$1:G$134, 40)</f>
        <v>3</v>
      </c>
      <c r="K138" s="418">
        <f>COUNTIFS(F$1:F$134,"web",G$1:G$134, 65)</f>
        <v>6</v>
      </c>
      <c r="L138" s="419">
        <f>COUNTIFS(F$1:F$134,"web",G$1:G$134, 64)</f>
        <v>9</v>
      </c>
      <c r="M138" s="1146"/>
      <c r="N138" s="446"/>
      <c r="O138" s="22"/>
      <c r="P138" s="22"/>
      <c r="Q138" s="22"/>
      <c r="R138" s="22"/>
      <c r="S138" s="22"/>
      <c r="T138" s="22"/>
      <c r="U138" s="22"/>
      <c r="V138" s="22"/>
    </row>
    <row r="139" spans="1:22">
      <c r="A139" s="22"/>
      <c r="B139" s="22"/>
      <c r="C139" s="1609"/>
      <c r="D139" s="412"/>
      <c r="E139" s="423" t="s">
        <v>132</v>
      </c>
      <c r="F139" s="424">
        <f>COUNTIFS(G$1:G$134,65,J$1:J$134, "Positif")+COUNTIFS(G$1:G$134,65,J$1:J$134,"Positive")</f>
        <v>9</v>
      </c>
      <c r="G139" s="419">
        <f>COUNTIFS(G$1:G$134,65,J$1:J$134, "Negatif")+COUNTIFS(G$1:G$134,65,J$1:J$134, "Negative")+COUNTIFS(G$1:G$134,65,J$1:J$134, "négatif")+COUNTIFS(G$1:G$134,65,J$1:J$134, "négative")</f>
        <v>0</v>
      </c>
      <c r="H139" s="415"/>
      <c r="I139" s="425" t="s">
        <v>147</v>
      </c>
      <c r="J139" s="418">
        <f>COUNTIFS(F$1:F$134,"radio",G$1:G$134, 40)</f>
        <v>0</v>
      </c>
      <c r="K139" s="418">
        <f>COUNTIFS(F$1:F$134,"radio",G$1:G$134, 65)</f>
        <v>0</v>
      </c>
      <c r="L139" s="419">
        <f>COUNTIFS(F$1:F$134,"radio",G$1:G$134, 64)</f>
        <v>0</v>
      </c>
      <c r="M139" s="1146"/>
      <c r="N139" s="446"/>
      <c r="O139" s="22"/>
      <c r="P139" s="22"/>
      <c r="Q139" s="22"/>
      <c r="R139" s="22"/>
      <c r="S139" s="22"/>
      <c r="T139" s="22"/>
      <c r="U139" s="22"/>
      <c r="V139" s="22"/>
    </row>
    <row r="140" spans="1:22" ht="16.5" thickBot="1">
      <c r="A140" s="22"/>
      <c r="B140" s="22"/>
      <c r="C140" s="1609"/>
      <c r="D140" s="412"/>
      <c r="E140" s="426" t="s">
        <v>134</v>
      </c>
      <c r="F140" s="427">
        <f>COUNTIFS(G$1:G$134,64,J$1:J$134, "Positif")+COUNTIFS(G$1:G$134,64,J$1:J$134,"Positive")</f>
        <v>13</v>
      </c>
      <c r="G140" s="428">
        <f>COUNTIFS(G$7:G$134,64,J$7:J$134, "Negatif")+COUNTIFS(G$7:G$134,64,J$7:J$134, "Negative")+COUNTIFS(G$7:G$134,64,J$7:J$134, "négatif")+COUNTIFS(G$7:G$134,64,J$7:J$134, "négative")</f>
        <v>0</v>
      </c>
      <c r="H140" s="415"/>
      <c r="I140" s="429" t="s">
        <v>148</v>
      </c>
      <c r="J140" s="430">
        <f>COUNTIFS(F$1:F$134,"TV",G$1:G$134, 40)</f>
        <v>0</v>
      </c>
      <c r="K140" s="430">
        <f>COUNTIFS(F$1:F$134,"TV",G$1:G$134, 65)</f>
        <v>0</v>
      </c>
      <c r="L140" s="431">
        <f>COUNTIFS(F$1:F$134,"TV",G$1:G$134, 64)</f>
        <v>0</v>
      </c>
      <c r="M140" s="1146"/>
      <c r="N140" s="446"/>
      <c r="O140" s="22"/>
      <c r="P140" s="22"/>
      <c r="Q140" s="22"/>
      <c r="R140" s="22"/>
      <c r="S140" s="22"/>
      <c r="T140" s="22"/>
      <c r="U140" s="22"/>
      <c r="V140" s="22"/>
    </row>
    <row r="141" spans="1:22">
      <c r="A141" s="22"/>
      <c r="B141" s="22"/>
      <c r="C141" s="1609"/>
      <c r="D141" s="412"/>
      <c r="E141" s="432"/>
      <c r="F141" s="433"/>
      <c r="G141" s="433"/>
      <c r="H141" s="415"/>
      <c r="I141" s="434"/>
      <c r="J141" s="435"/>
      <c r="K141" s="436"/>
      <c r="L141" s="434"/>
      <c r="M141" s="437"/>
      <c r="N141" s="446"/>
      <c r="O141" s="22"/>
      <c r="P141" s="22"/>
      <c r="Q141" s="22"/>
      <c r="R141" s="22"/>
      <c r="S141" s="22"/>
      <c r="T141" s="22"/>
      <c r="U141" s="22"/>
      <c r="V141" s="22"/>
    </row>
    <row r="142" spans="1:22" ht="16.5" thickBot="1">
      <c r="A142" s="22"/>
      <c r="B142" s="22"/>
      <c r="C142" s="1610"/>
      <c r="D142" s="438"/>
      <c r="E142" s="439"/>
      <c r="F142" s="440"/>
      <c r="G142" s="441"/>
      <c r="H142" s="442"/>
      <c r="I142" s="443"/>
      <c r="J142" s="441"/>
      <c r="K142" s="444"/>
      <c r="L142" s="443"/>
      <c r="M142" s="445"/>
      <c r="N142" s="446"/>
      <c r="O142" s="22"/>
      <c r="P142" s="22"/>
      <c r="Q142" s="22"/>
      <c r="R142" s="22"/>
      <c r="S142" s="22"/>
      <c r="T142" s="22"/>
      <c r="U142" s="22"/>
      <c r="V142" s="22"/>
    </row>
    <row r="143" spans="1:22" ht="16.5" thickBot="1">
      <c r="A143" s="22"/>
      <c r="B143" s="22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22"/>
      <c r="P143" s="22"/>
      <c r="Q143" s="22"/>
      <c r="R143" s="22"/>
      <c r="S143" s="22"/>
      <c r="T143" s="22"/>
      <c r="U143" s="22"/>
      <c r="V143" s="22"/>
    </row>
    <row r="144" spans="1:22" ht="16.5" customHeight="1" thickBot="1">
      <c r="A144" s="22"/>
      <c r="B144" s="185"/>
      <c r="C144" s="1608" t="s">
        <v>138</v>
      </c>
      <c r="D144" s="1147"/>
      <c r="E144" s="447"/>
      <c r="F144" s="1148"/>
      <c r="G144" s="1149"/>
      <c r="H144" s="1148"/>
      <c r="I144" s="411"/>
      <c r="J144" s="1150"/>
      <c r="K144" s="446"/>
      <c r="L144" s="446"/>
      <c r="M144" s="446"/>
      <c r="N144" s="538"/>
      <c r="O144" s="22"/>
      <c r="P144" s="22"/>
      <c r="Q144" s="22"/>
      <c r="R144" s="22"/>
      <c r="S144" s="22"/>
      <c r="T144" s="22"/>
      <c r="U144" s="22"/>
      <c r="V144" s="22"/>
    </row>
    <row r="145" spans="1:22">
      <c r="A145" s="22"/>
      <c r="B145" s="185"/>
      <c r="C145" s="1609"/>
      <c r="D145" s="1151"/>
      <c r="E145" s="1611" t="s">
        <v>149</v>
      </c>
      <c r="F145" s="1612"/>
      <c r="G145" s="1153"/>
      <c r="H145" s="1611" t="s">
        <v>236</v>
      </c>
      <c r="I145" s="1612"/>
      <c r="J145" s="1146"/>
      <c r="K145" s="446"/>
      <c r="L145" s="446"/>
      <c r="M145" s="446"/>
      <c r="N145" s="538"/>
      <c r="O145" s="22"/>
      <c r="P145" s="22"/>
      <c r="Q145" s="22"/>
      <c r="R145" s="22"/>
      <c r="S145" s="22"/>
      <c r="T145" s="22"/>
      <c r="U145" s="22"/>
      <c r="V145" s="22"/>
    </row>
    <row r="146" spans="1:22">
      <c r="A146" s="22"/>
      <c r="B146" s="22"/>
      <c r="C146" s="1609"/>
      <c r="D146" s="1151"/>
      <c r="E146" s="1613"/>
      <c r="F146" s="1614"/>
      <c r="G146" s="1153"/>
      <c r="H146" s="1615"/>
      <c r="I146" s="1616"/>
      <c r="J146" s="1146"/>
      <c r="K146" s="446"/>
      <c r="L146" s="446"/>
      <c r="M146" s="446"/>
      <c r="N146" s="446"/>
      <c r="O146" s="22"/>
      <c r="P146" s="22"/>
      <c r="Q146" s="22"/>
      <c r="R146" s="22"/>
      <c r="S146" s="22"/>
      <c r="T146" s="22"/>
      <c r="U146" s="22"/>
      <c r="V146" s="22"/>
    </row>
    <row r="147" spans="1:22">
      <c r="A147" s="22"/>
      <c r="B147" s="186"/>
      <c r="C147" s="1609"/>
      <c r="D147" s="1151"/>
      <c r="E147" s="1613"/>
      <c r="F147" s="1614"/>
      <c r="G147" s="1153"/>
      <c r="H147" s="449" t="s">
        <v>151</v>
      </c>
      <c r="I147" s="450">
        <f>SUM(T:T)</f>
        <v>26</v>
      </c>
      <c r="J147" s="1146"/>
      <c r="K147" s="446"/>
      <c r="L147" s="446"/>
      <c r="M147" s="446"/>
      <c r="N147" s="488"/>
      <c r="O147" s="22"/>
      <c r="P147" s="22"/>
      <c r="Q147" s="22"/>
      <c r="R147" s="22"/>
      <c r="S147" s="22"/>
      <c r="T147" s="22"/>
      <c r="U147" s="22"/>
      <c r="V147" s="22"/>
    </row>
    <row r="148" spans="1:22">
      <c r="A148" s="22"/>
      <c r="B148" s="186"/>
      <c r="C148" s="1609"/>
      <c r="D148" s="1151"/>
      <c r="E148" s="452" t="s">
        <v>152</v>
      </c>
      <c r="F148" s="450">
        <f>COUNTIF(Q:Q,40)</f>
        <v>2</v>
      </c>
      <c r="G148" s="1153"/>
      <c r="H148" s="453" t="s">
        <v>153</v>
      </c>
      <c r="I148" s="450">
        <f>SUMIFS(T:T,Q:Q, 40)</f>
        <v>12</v>
      </c>
      <c r="J148" s="1146"/>
      <c r="K148" s="446"/>
      <c r="L148" s="446"/>
      <c r="M148" s="446"/>
      <c r="N148" s="488"/>
      <c r="O148" s="22"/>
      <c r="P148" s="22"/>
      <c r="Q148" s="22"/>
      <c r="R148" s="22"/>
      <c r="S148" s="22"/>
      <c r="T148" s="22"/>
      <c r="U148" s="22"/>
      <c r="V148" s="22"/>
    </row>
    <row r="149" spans="1:22">
      <c r="A149" s="22"/>
      <c r="B149" s="186"/>
      <c r="C149" s="1609"/>
      <c r="D149" s="1154"/>
      <c r="E149" s="453" t="s">
        <v>154</v>
      </c>
      <c r="F149" s="450">
        <f>COUNTIF(Q:Q,65)</f>
        <v>2</v>
      </c>
      <c r="G149" s="1154"/>
      <c r="H149" s="453" t="s">
        <v>155</v>
      </c>
      <c r="I149" s="450">
        <f>SUMIFS(T:T,Q:Q, 65)</f>
        <v>10</v>
      </c>
      <c r="J149" s="1155"/>
      <c r="K149" s="454"/>
      <c r="L149" s="446"/>
      <c r="M149" s="446"/>
      <c r="N149" s="488"/>
      <c r="O149" s="22"/>
      <c r="P149" s="22"/>
      <c r="Q149" s="22"/>
      <c r="R149" s="22"/>
      <c r="S149" s="22"/>
      <c r="T149" s="22"/>
      <c r="U149" s="22"/>
      <c r="V149" s="22"/>
    </row>
    <row r="150" spans="1:22" ht="16.5" thickBot="1">
      <c r="A150" s="22"/>
      <c r="B150" s="187"/>
      <c r="C150" s="1609"/>
      <c r="D150" s="1154"/>
      <c r="E150" s="455" t="s">
        <v>156</v>
      </c>
      <c r="F150" s="456">
        <f>COUNTIF(Q:Q,64)</f>
        <v>1</v>
      </c>
      <c r="G150" s="1154"/>
      <c r="H150" s="455" t="s">
        <v>157</v>
      </c>
      <c r="I150" s="456">
        <f>SUMIFS(T:T,Q:Q, 64)</f>
        <v>4</v>
      </c>
      <c r="J150" s="1155"/>
      <c r="K150" s="454"/>
      <c r="L150" s="446"/>
      <c r="M150" s="446"/>
      <c r="N150" s="539"/>
      <c r="O150" s="22"/>
      <c r="P150" s="22"/>
      <c r="Q150" s="22"/>
      <c r="R150" s="22"/>
      <c r="S150" s="22"/>
      <c r="T150" s="22"/>
      <c r="U150" s="22"/>
      <c r="V150" s="22"/>
    </row>
    <row r="151" spans="1:22" ht="16.5" thickBot="1">
      <c r="A151" s="22"/>
      <c r="B151" s="186"/>
      <c r="C151" s="1610"/>
      <c r="D151" s="1156"/>
      <c r="E151" s="1156"/>
      <c r="F151" s="1156"/>
      <c r="G151" s="1156"/>
      <c r="H151" s="1156"/>
      <c r="I151" s="1156"/>
      <c r="J151" s="1157"/>
      <c r="K151" s="458"/>
      <c r="L151" s="446"/>
      <c r="M151" s="446"/>
      <c r="N151" s="488"/>
      <c r="O151" s="22"/>
      <c r="P151" s="22"/>
      <c r="Q151" s="22"/>
      <c r="R151" s="22"/>
      <c r="S151" s="22"/>
      <c r="T151" s="22"/>
      <c r="U151" s="22"/>
      <c r="V151" s="22"/>
    </row>
    <row r="152" spans="1:22" ht="16.5" thickBot="1">
      <c r="A152" s="22"/>
      <c r="B152" s="22"/>
      <c r="C152" s="459"/>
      <c r="D152" s="460"/>
      <c r="E152" s="446"/>
      <c r="F152" s="461"/>
      <c r="G152" s="458"/>
      <c r="H152" s="462"/>
      <c r="I152" s="463"/>
      <c r="J152" s="463"/>
      <c r="K152" s="454"/>
      <c r="L152" s="446"/>
      <c r="M152" s="446"/>
      <c r="N152" s="446"/>
      <c r="O152" s="22"/>
      <c r="P152" s="22"/>
      <c r="Q152" s="22"/>
      <c r="R152" s="22"/>
      <c r="S152" s="22"/>
      <c r="T152" s="22"/>
      <c r="U152" s="22"/>
      <c r="V152" s="22"/>
    </row>
    <row r="153" spans="1:22" ht="16.5" customHeight="1" thickBot="1">
      <c r="A153" s="22"/>
      <c r="B153" s="187"/>
      <c r="C153" s="1608" t="s">
        <v>138</v>
      </c>
      <c r="D153" s="1158"/>
      <c r="E153" s="1158"/>
      <c r="F153" s="1158"/>
      <c r="G153" s="1158"/>
      <c r="H153" s="1158"/>
      <c r="I153" s="1158"/>
      <c r="J153" s="1159"/>
      <c r="K153" s="446"/>
      <c r="L153" s="446"/>
      <c r="M153" s="446"/>
      <c r="N153" s="539"/>
      <c r="O153" s="22"/>
      <c r="P153" s="22"/>
      <c r="Q153" s="22"/>
      <c r="R153" s="22"/>
      <c r="S153" s="22"/>
      <c r="T153" s="22"/>
      <c r="U153" s="22"/>
      <c r="V153" s="22"/>
    </row>
    <row r="154" spans="1:22">
      <c r="A154" s="22"/>
      <c r="B154" s="186"/>
      <c r="C154" s="1609"/>
      <c r="D154" s="1154"/>
      <c r="E154" s="1617" t="s">
        <v>237</v>
      </c>
      <c r="F154" s="1618"/>
      <c r="G154" s="1618"/>
      <c r="H154" s="1618"/>
      <c r="I154" s="1619"/>
      <c r="J154" s="1155"/>
      <c r="K154" s="446"/>
      <c r="L154" s="446"/>
      <c r="M154" s="446"/>
      <c r="N154" s="488"/>
      <c r="O154" s="22"/>
      <c r="P154" s="22"/>
      <c r="Q154" s="22"/>
      <c r="R154" s="22"/>
      <c r="S154" s="22"/>
      <c r="T154" s="22"/>
      <c r="U154" s="22"/>
      <c r="V154" s="22"/>
    </row>
    <row r="155" spans="1:22">
      <c r="A155" s="22"/>
      <c r="B155" s="186"/>
      <c r="C155" s="1609"/>
      <c r="D155" s="1154"/>
      <c r="E155" s="464" t="s">
        <v>72</v>
      </c>
      <c r="F155" s="465" t="s">
        <v>159</v>
      </c>
      <c r="G155" s="466" t="s">
        <v>143</v>
      </c>
      <c r="H155" s="466" t="s">
        <v>132</v>
      </c>
      <c r="I155" s="467" t="s">
        <v>134</v>
      </c>
      <c r="J155" s="1155"/>
      <c r="K155" s="446"/>
      <c r="L155" s="446"/>
      <c r="M155" s="446"/>
      <c r="N155" s="488"/>
      <c r="O155" s="22"/>
      <c r="P155" s="22"/>
      <c r="Q155" s="22"/>
      <c r="R155" s="22"/>
      <c r="S155" s="22"/>
      <c r="T155" s="22"/>
      <c r="U155" s="22"/>
      <c r="V155" s="22"/>
    </row>
    <row r="156" spans="1:22">
      <c r="A156" s="22"/>
      <c r="B156" s="22"/>
      <c r="C156" s="1609"/>
      <c r="D156" s="1154"/>
      <c r="E156" s="468" t="s">
        <v>47</v>
      </c>
      <c r="F156" s="1160">
        <f t="shared" ref="F156:F163" si="0">COUNTIFS(I$11:I$134, E156)</f>
        <v>0</v>
      </c>
      <c r="G156" s="1161">
        <f t="shared" ref="G156:G163" si="1">COUNTIFS(G$11:G$134,40,I$11:I$134, E156)</f>
        <v>0</v>
      </c>
      <c r="H156" s="1162">
        <f t="shared" ref="H156:H163" si="2">COUNTIFS(G$11:G$134,65,I$11:I$134, E156)</f>
        <v>0</v>
      </c>
      <c r="I156" s="1163">
        <f t="shared" ref="I156:I163" si="3">COUNTIFS(G$11:G$134,64,I$11:I$134, E156)</f>
        <v>0</v>
      </c>
      <c r="J156" s="1155"/>
      <c r="K156" s="446"/>
      <c r="L156" s="446"/>
      <c r="M156" s="446"/>
      <c r="N156" s="446"/>
      <c r="O156" s="22"/>
      <c r="P156" s="22"/>
      <c r="Q156" s="22"/>
      <c r="R156" s="22"/>
      <c r="S156" s="22"/>
      <c r="T156" s="22"/>
      <c r="U156" s="22"/>
      <c r="V156" s="22"/>
    </row>
    <row r="157" spans="1:22">
      <c r="A157" s="22"/>
      <c r="B157" s="22"/>
      <c r="C157" s="1609"/>
      <c r="D157" s="1154"/>
      <c r="E157" s="469" t="s">
        <v>48</v>
      </c>
      <c r="F157" s="1160">
        <f t="shared" si="0"/>
        <v>1</v>
      </c>
      <c r="G157" s="1161">
        <f t="shared" si="1"/>
        <v>1</v>
      </c>
      <c r="H157" s="1162">
        <f t="shared" si="2"/>
        <v>0</v>
      </c>
      <c r="I157" s="1163">
        <f t="shared" si="3"/>
        <v>0</v>
      </c>
      <c r="J157" s="1155"/>
      <c r="K157" s="446"/>
      <c r="L157" s="446"/>
      <c r="M157" s="446"/>
      <c r="N157" s="446"/>
      <c r="O157" s="22"/>
      <c r="P157" s="22"/>
      <c r="Q157" s="22"/>
      <c r="R157" s="22"/>
      <c r="S157" s="22"/>
      <c r="T157" s="22"/>
      <c r="U157" s="22"/>
      <c r="V157" s="22"/>
    </row>
    <row r="158" spans="1:22">
      <c r="A158" s="22"/>
      <c r="B158" s="22"/>
      <c r="C158" s="1609"/>
      <c r="D158" s="1154"/>
      <c r="E158" s="469" t="s">
        <v>49</v>
      </c>
      <c r="F158" s="1160">
        <f t="shared" si="0"/>
        <v>0</v>
      </c>
      <c r="G158" s="1161">
        <f t="shared" si="1"/>
        <v>0</v>
      </c>
      <c r="H158" s="1162">
        <f t="shared" si="2"/>
        <v>0</v>
      </c>
      <c r="I158" s="1163">
        <f t="shared" si="3"/>
        <v>0</v>
      </c>
      <c r="J158" s="1155"/>
      <c r="K158" s="446"/>
      <c r="L158" s="446"/>
      <c r="M158" s="446"/>
      <c r="N158" s="446"/>
      <c r="O158" s="22"/>
      <c r="P158" s="22"/>
      <c r="Q158" s="22"/>
      <c r="R158" s="22"/>
      <c r="S158" s="22"/>
      <c r="T158" s="22"/>
      <c r="U158" s="22"/>
      <c r="V158" s="22"/>
    </row>
    <row r="159" spans="1:22">
      <c r="A159" s="22"/>
      <c r="B159" s="186"/>
      <c r="C159" s="1609"/>
      <c r="D159" s="1154"/>
      <c r="E159" s="469" t="s">
        <v>50</v>
      </c>
      <c r="F159" s="1160">
        <f t="shared" si="0"/>
        <v>3</v>
      </c>
      <c r="G159" s="1161">
        <f t="shared" si="1"/>
        <v>0</v>
      </c>
      <c r="H159" s="1162">
        <f t="shared" si="2"/>
        <v>0</v>
      </c>
      <c r="I159" s="1163">
        <f t="shared" si="3"/>
        <v>3</v>
      </c>
      <c r="J159" s="1155"/>
      <c r="K159" s="446"/>
      <c r="L159" s="446"/>
      <c r="M159" s="446"/>
      <c r="N159" s="488"/>
      <c r="O159" s="22"/>
      <c r="P159" s="22"/>
      <c r="Q159" s="22"/>
      <c r="R159" s="22"/>
      <c r="S159" s="22"/>
      <c r="T159" s="22"/>
      <c r="U159" s="22"/>
      <c r="V159" s="22"/>
    </row>
    <row r="160" spans="1:22">
      <c r="A160" s="22"/>
      <c r="B160" s="186"/>
      <c r="C160" s="1609"/>
      <c r="D160" s="1154"/>
      <c r="E160" s="469" t="s">
        <v>51</v>
      </c>
      <c r="F160" s="1160">
        <f t="shared" si="0"/>
        <v>0</v>
      </c>
      <c r="G160" s="1161">
        <f t="shared" si="1"/>
        <v>0</v>
      </c>
      <c r="H160" s="1162">
        <f t="shared" si="2"/>
        <v>0</v>
      </c>
      <c r="I160" s="1163">
        <f t="shared" si="3"/>
        <v>0</v>
      </c>
      <c r="J160" s="1155"/>
      <c r="K160" s="446"/>
      <c r="L160" s="446"/>
      <c r="M160" s="446"/>
      <c r="N160" s="488"/>
      <c r="O160" s="22"/>
      <c r="P160" s="22"/>
      <c r="Q160" s="22"/>
      <c r="R160" s="22"/>
      <c r="S160" s="22"/>
      <c r="T160" s="22"/>
      <c r="U160" s="22"/>
      <c r="V160" s="22"/>
    </row>
    <row r="161" spans="1:22">
      <c r="A161" s="22"/>
      <c r="B161" s="186"/>
      <c r="C161" s="1609"/>
      <c r="D161" s="1154"/>
      <c r="E161" s="469" t="s">
        <v>52</v>
      </c>
      <c r="F161" s="1160">
        <f t="shared" si="0"/>
        <v>24</v>
      </c>
      <c r="G161" s="1161">
        <f t="shared" si="1"/>
        <v>4</v>
      </c>
      <c r="H161" s="1162">
        <f t="shared" si="2"/>
        <v>10</v>
      </c>
      <c r="I161" s="1163">
        <f t="shared" si="3"/>
        <v>10</v>
      </c>
      <c r="J161" s="1155"/>
      <c r="K161" s="446"/>
      <c r="L161" s="446"/>
      <c r="M161" s="446"/>
      <c r="N161" s="488"/>
      <c r="O161" s="22"/>
      <c r="P161" s="22"/>
      <c r="Q161" s="22"/>
      <c r="R161" s="22"/>
      <c r="S161" s="22"/>
      <c r="T161" s="22"/>
      <c r="U161" s="22"/>
      <c r="V161" s="22"/>
    </row>
    <row r="162" spans="1:22">
      <c r="A162" s="22"/>
      <c r="B162" s="22"/>
      <c r="C162" s="1609"/>
      <c r="D162" s="1154"/>
      <c r="E162" s="469" t="s">
        <v>53</v>
      </c>
      <c r="F162" s="1160">
        <f t="shared" si="0"/>
        <v>1</v>
      </c>
      <c r="G162" s="1161">
        <f t="shared" si="1"/>
        <v>0</v>
      </c>
      <c r="H162" s="1162">
        <f t="shared" si="2"/>
        <v>0</v>
      </c>
      <c r="I162" s="1163">
        <f t="shared" si="3"/>
        <v>1</v>
      </c>
      <c r="J162" s="1155"/>
      <c r="K162" s="446"/>
      <c r="L162" s="446"/>
      <c r="M162" s="446"/>
      <c r="N162" s="446"/>
      <c r="O162" s="22"/>
      <c r="P162" s="22"/>
      <c r="Q162" s="22"/>
      <c r="R162" s="22"/>
      <c r="S162" s="22"/>
      <c r="T162" s="22"/>
      <c r="U162" s="22"/>
      <c r="V162" s="22"/>
    </row>
    <row r="163" spans="1:22" ht="16.5" thickBot="1">
      <c r="A163" s="22"/>
      <c r="B163" s="186"/>
      <c r="C163" s="1609"/>
      <c r="D163" s="1154"/>
      <c r="E163" s="470" t="s">
        <v>54</v>
      </c>
      <c r="F163" s="1164">
        <f t="shared" si="0"/>
        <v>0</v>
      </c>
      <c r="G163" s="1165">
        <f t="shared" si="1"/>
        <v>0</v>
      </c>
      <c r="H163" s="1166">
        <f t="shared" si="2"/>
        <v>0</v>
      </c>
      <c r="I163" s="1167">
        <f t="shared" si="3"/>
        <v>0</v>
      </c>
      <c r="J163" s="1155"/>
      <c r="K163" s="446"/>
      <c r="L163" s="446"/>
      <c r="M163" s="446"/>
      <c r="N163" s="488"/>
      <c r="O163" s="22"/>
      <c r="P163" s="22"/>
      <c r="Q163" s="22"/>
      <c r="R163" s="22"/>
      <c r="S163" s="22"/>
      <c r="T163" s="22"/>
      <c r="U163" s="22"/>
      <c r="V163" s="22"/>
    </row>
    <row r="164" spans="1:22">
      <c r="A164" s="22"/>
      <c r="B164" s="22"/>
      <c r="C164" s="1609"/>
      <c r="D164" s="1154"/>
      <c r="E164" s="1154"/>
      <c r="F164" s="1154"/>
      <c r="G164" s="1154"/>
      <c r="H164" s="1154"/>
      <c r="I164" s="1154"/>
      <c r="J164" s="1155"/>
      <c r="K164" s="446"/>
      <c r="L164" s="446"/>
      <c r="M164" s="446"/>
      <c r="N164" s="446"/>
      <c r="O164" s="22"/>
      <c r="P164" s="22"/>
      <c r="Q164" s="22"/>
      <c r="R164" s="22"/>
      <c r="S164" s="22"/>
      <c r="T164" s="22"/>
      <c r="U164" s="22"/>
      <c r="V164" s="22"/>
    </row>
    <row r="165" spans="1:22" ht="16.5" thickBot="1">
      <c r="A165" s="22"/>
      <c r="B165" s="186"/>
      <c r="C165" s="1610"/>
      <c r="D165" s="1156"/>
      <c r="E165" s="1156"/>
      <c r="F165" s="1156"/>
      <c r="G165" s="1156"/>
      <c r="H165" s="1156"/>
      <c r="I165" s="1156"/>
      <c r="J165" s="1157"/>
      <c r="K165" s="446"/>
      <c r="L165" s="446"/>
      <c r="M165" s="446"/>
      <c r="N165" s="488"/>
      <c r="O165" s="22"/>
      <c r="P165" s="22"/>
      <c r="Q165" s="22"/>
      <c r="R165" s="22"/>
      <c r="S165" s="22"/>
      <c r="T165" s="22"/>
      <c r="U165" s="22"/>
      <c r="V165" s="22"/>
    </row>
    <row r="166" spans="1:22">
      <c r="A166" s="22"/>
      <c r="B166" s="186"/>
      <c r="C166" s="446"/>
      <c r="D166" s="446"/>
      <c r="E166" s="446"/>
      <c r="F166" s="446"/>
      <c r="G166" s="446"/>
      <c r="H166" s="446"/>
      <c r="I166" s="446"/>
      <c r="J166" s="446"/>
      <c r="K166" s="446"/>
      <c r="L166" s="446"/>
      <c r="M166" s="446"/>
      <c r="N166" s="488"/>
      <c r="O166" s="22"/>
      <c r="P166" s="22"/>
      <c r="Q166" s="22"/>
      <c r="R166" s="22"/>
      <c r="S166" s="22"/>
      <c r="T166" s="22"/>
      <c r="U166" s="22"/>
      <c r="V166" s="22"/>
    </row>
    <row r="167" spans="1:22" ht="16.5" thickBot="1">
      <c r="A167" s="22"/>
      <c r="B167" s="186"/>
      <c r="C167" s="446"/>
      <c r="D167" s="446"/>
      <c r="E167" s="446"/>
      <c r="F167" s="446"/>
      <c r="G167" s="446"/>
      <c r="H167" s="446"/>
      <c r="I167" s="446"/>
      <c r="J167" s="446"/>
      <c r="K167" s="446"/>
      <c r="L167" s="446"/>
      <c r="M167" s="446"/>
      <c r="N167" s="488"/>
      <c r="O167" s="22"/>
      <c r="P167" s="22"/>
      <c r="Q167" s="22"/>
      <c r="R167" s="22"/>
      <c r="S167" s="22"/>
      <c r="T167" s="22"/>
      <c r="U167" s="22"/>
      <c r="V167" s="22"/>
    </row>
    <row r="168" spans="1:22" ht="16.5" customHeight="1" thickBot="1">
      <c r="A168" s="22"/>
      <c r="B168" s="186"/>
      <c r="C168" s="1600" t="s">
        <v>138</v>
      </c>
      <c r="D168" s="471"/>
      <c r="E168" s="472"/>
      <c r="F168" s="472"/>
      <c r="G168" s="472"/>
      <c r="H168" s="472"/>
      <c r="I168" s="472"/>
      <c r="J168" s="472"/>
      <c r="K168" s="472"/>
      <c r="L168" s="472"/>
      <c r="M168" s="472"/>
      <c r="N168" s="473"/>
      <c r="O168" s="22"/>
      <c r="P168" s="22"/>
      <c r="Q168" s="22"/>
      <c r="R168" s="22"/>
      <c r="S168" s="22"/>
      <c r="T168" s="22"/>
      <c r="U168" s="22"/>
      <c r="V168" s="22"/>
    </row>
    <row r="169" spans="1:22">
      <c r="A169" s="22"/>
      <c r="B169" s="186"/>
      <c r="C169" s="1601"/>
      <c r="D169" s="474"/>
      <c r="E169" s="1634" t="s">
        <v>160</v>
      </c>
      <c r="F169" s="1635"/>
      <c r="G169" s="1635"/>
      <c r="H169" s="1635"/>
      <c r="I169" s="1635"/>
      <c r="J169" s="1635"/>
      <c r="K169" s="1635"/>
      <c r="L169" s="1635"/>
      <c r="M169" s="1636"/>
      <c r="N169" s="1168"/>
      <c r="O169" s="22"/>
      <c r="P169" s="22"/>
      <c r="Q169" s="22"/>
      <c r="R169" s="22"/>
      <c r="S169" s="22"/>
      <c r="T169" s="22"/>
      <c r="U169" s="22"/>
      <c r="V169" s="22"/>
    </row>
    <row r="170" spans="1:22">
      <c r="A170" s="22"/>
      <c r="B170" s="186"/>
      <c r="C170" s="1601"/>
      <c r="D170" s="474"/>
      <c r="E170" s="1637"/>
      <c r="F170" s="1638"/>
      <c r="G170" s="1638"/>
      <c r="H170" s="1638"/>
      <c r="I170" s="1638"/>
      <c r="J170" s="1638"/>
      <c r="K170" s="1638"/>
      <c r="L170" s="1638"/>
      <c r="M170" s="1639"/>
      <c r="N170" s="475"/>
      <c r="O170" s="22"/>
      <c r="P170" s="22"/>
      <c r="Q170" s="22"/>
      <c r="R170" s="22"/>
      <c r="S170" s="22"/>
      <c r="T170" s="22"/>
      <c r="U170" s="22"/>
      <c r="V170" s="22"/>
    </row>
    <row r="171" spans="1:22">
      <c r="A171" s="22"/>
      <c r="B171" s="186"/>
      <c r="C171" s="1601"/>
      <c r="D171" s="474"/>
      <c r="E171" s="464" t="s">
        <v>161</v>
      </c>
      <c r="F171" s="1603" t="s">
        <v>159</v>
      </c>
      <c r="G171" s="1604"/>
      <c r="H171" s="1605" t="s">
        <v>143</v>
      </c>
      <c r="I171" s="1606"/>
      <c r="J171" s="1605" t="s">
        <v>162</v>
      </c>
      <c r="K171" s="1606"/>
      <c r="L171" s="1605" t="s">
        <v>163</v>
      </c>
      <c r="M171" s="1607"/>
      <c r="N171" s="475"/>
      <c r="O171" s="22"/>
      <c r="P171" s="22"/>
      <c r="Q171" s="22"/>
      <c r="R171" s="22"/>
      <c r="S171" s="22"/>
      <c r="T171" s="22"/>
      <c r="U171" s="22"/>
      <c r="V171" s="22"/>
    </row>
    <row r="172" spans="1:22">
      <c r="A172" s="22"/>
      <c r="B172" s="22"/>
      <c r="C172" s="1601"/>
      <c r="D172" s="474"/>
      <c r="E172" s="476" t="s">
        <v>47</v>
      </c>
      <c r="F172" s="1169">
        <f t="shared" ref="F172:G179" si="4">SUM(H172,J172,L172)</f>
        <v>0</v>
      </c>
      <c r="G172" s="1170">
        <f t="shared" si="4"/>
        <v>0</v>
      </c>
      <c r="H172" s="1169">
        <f t="shared" ref="H172:H179" si="5">COUNTIFS(I$1:I$134, E172,J$1:J$134, "Positif",G$1:G$134, 40)</f>
        <v>0</v>
      </c>
      <c r="I172" s="1170">
        <f t="shared" ref="I172:I179" si="6">COUNTIFS(I$1:I$134,E172,J$1:J$134,"Negatif",G$1:G$134,40)+COUNTIFS(I$1:I$134,E172,J$1:J$134,"Négatif",G$1:G$134,40)</f>
        <v>0</v>
      </c>
      <c r="J172" s="1169">
        <f t="shared" ref="J172:J179" si="7">COUNTIFS(I$1:I$134, E172,J$1:J$134, "Positif",G$1:G$134, 65)</f>
        <v>0</v>
      </c>
      <c r="K172" s="1170">
        <f t="shared" ref="K172:K179" si="8">COUNTIFS(I$1:I$134,E172,J$1:J$134,"Negatif",G$1:G$134,65)+COUNTIFS(I$1:I$134,E172,J$1:J$134,"Négatif",G$1:G$134,65)</f>
        <v>0</v>
      </c>
      <c r="L172" s="1169">
        <f t="shared" ref="L172:L179" si="9">COUNTIFS(I$1:I$134, E172,J$1:J$134, "Positif",G$1:G$134,64)</f>
        <v>0</v>
      </c>
      <c r="M172" s="1171">
        <f t="shared" ref="M172:M179" si="10">COUNTIFS(I$1:I$134,E172,J$1:J$134,"Negatif",G$1:G$134,64)+COUNTIFS(I$1:I$134,E172,J$1:J$134,"Négatif",G$1:G$134,64)</f>
        <v>0</v>
      </c>
      <c r="N172" s="475"/>
      <c r="O172" s="22"/>
      <c r="P172" s="22"/>
      <c r="Q172" s="22"/>
      <c r="R172" s="22"/>
      <c r="S172" s="22"/>
      <c r="T172" s="22"/>
      <c r="U172" s="22"/>
      <c r="V172" s="22"/>
    </row>
    <row r="173" spans="1:22">
      <c r="A173" s="22"/>
      <c r="B173" s="22"/>
      <c r="C173" s="1601"/>
      <c r="D173" s="474"/>
      <c r="E173" s="476" t="s">
        <v>48</v>
      </c>
      <c r="F173" s="1169">
        <f t="shared" si="4"/>
        <v>1</v>
      </c>
      <c r="G173" s="1170">
        <f t="shared" si="4"/>
        <v>0</v>
      </c>
      <c r="H173" s="1169">
        <f t="shared" si="5"/>
        <v>1</v>
      </c>
      <c r="I173" s="1170">
        <f t="shared" si="6"/>
        <v>0</v>
      </c>
      <c r="J173" s="1169">
        <f t="shared" si="7"/>
        <v>0</v>
      </c>
      <c r="K173" s="1170">
        <f t="shared" si="8"/>
        <v>0</v>
      </c>
      <c r="L173" s="1169">
        <f t="shared" si="9"/>
        <v>0</v>
      </c>
      <c r="M173" s="1171">
        <f t="shared" si="10"/>
        <v>0</v>
      </c>
      <c r="N173" s="475"/>
      <c r="O173" s="22"/>
      <c r="P173" s="22"/>
      <c r="Q173" s="22"/>
      <c r="R173" s="22"/>
      <c r="S173" s="22"/>
      <c r="T173" s="22"/>
      <c r="U173" s="22"/>
      <c r="V173" s="22"/>
    </row>
    <row r="174" spans="1:22">
      <c r="A174" s="22"/>
      <c r="B174" s="22"/>
      <c r="C174" s="1601"/>
      <c r="D174" s="474"/>
      <c r="E174" s="476" t="s">
        <v>49</v>
      </c>
      <c r="F174" s="1169">
        <f t="shared" si="4"/>
        <v>0</v>
      </c>
      <c r="G174" s="1170">
        <f t="shared" si="4"/>
        <v>0</v>
      </c>
      <c r="H174" s="1169">
        <f t="shared" si="5"/>
        <v>0</v>
      </c>
      <c r="I174" s="1170">
        <f t="shared" si="6"/>
        <v>0</v>
      </c>
      <c r="J174" s="1169">
        <f t="shared" si="7"/>
        <v>0</v>
      </c>
      <c r="K174" s="1170">
        <f t="shared" si="8"/>
        <v>0</v>
      </c>
      <c r="L174" s="1169">
        <f t="shared" si="9"/>
        <v>0</v>
      </c>
      <c r="M174" s="1171">
        <f t="shared" si="10"/>
        <v>0</v>
      </c>
      <c r="N174" s="475"/>
      <c r="O174" s="22"/>
      <c r="P174" s="22"/>
      <c r="Q174" s="22"/>
      <c r="R174" s="22"/>
      <c r="S174" s="22"/>
      <c r="T174" s="22"/>
      <c r="U174" s="22"/>
      <c r="V174" s="22"/>
    </row>
    <row r="175" spans="1:22">
      <c r="A175" s="22"/>
      <c r="B175" s="22"/>
      <c r="C175" s="1601"/>
      <c r="D175" s="474"/>
      <c r="E175" s="476" t="s">
        <v>50</v>
      </c>
      <c r="F175" s="1169">
        <f t="shared" si="4"/>
        <v>3</v>
      </c>
      <c r="G175" s="1170">
        <f t="shared" si="4"/>
        <v>0</v>
      </c>
      <c r="H175" s="1169">
        <f t="shared" si="5"/>
        <v>0</v>
      </c>
      <c r="I175" s="1170">
        <f t="shared" si="6"/>
        <v>0</v>
      </c>
      <c r="J175" s="1169">
        <f t="shared" si="7"/>
        <v>0</v>
      </c>
      <c r="K175" s="1170">
        <f t="shared" si="8"/>
        <v>0</v>
      </c>
      <c r="L175" s="1169">
        <f t="shared" si="9"/>
        <v>3</v>
      </c>
      <c r="M175" s="1171">
        <f t="shared" si="10"/>
        <v>0</v>
      </c>
      <c r="N175" s="475"/>
      <c r="O175" s="22"/>
      <c r="P175" s="22"/>
      <c r="Q175" s="22"/>
      <c r="R175" s="22"/>
      <c r="S175" s="22"/>
      <c r="T175" s="22"/>
      <c r="U175" s="22"/>
      <c r="V175" s="22"/>
    </row>
    <row r="176" spans="1:22">
      <c r="A176" s="22"/>
      <c r="B176" s="186"/>
      <c r="C176" s="1601"/>
      <c r="D176" s="474"/>
      <c r="E176" s="476" t="s">
        <v>51</v>
      </c>
      <c r="F176" s="1169">
        <f t="shared" si="4"/>
        <v>0</v>
      </c>
      <c r="G176" s="1170">
        <f t="shared" si="4"/>
        <v>0</v>
      </c>
      <c r="H176" s="1169">
        <f t="shared" si="5"/>
        <v>0</v>
      </c>
      <c r="I176" s="1170">
        <f t="shared" si="6"/>
        <v>0</v>
      </c>
      <c r="J176" s="1169">
        <f t="shared" si="7"/>
        <v>0</v>
      </c>
      <c r="K176" s="1170">
        <f t="shared" si="8"/>
        <v>0</v>
      </c>
      <c r="L176" s="1169">
        <f t="shared" si="9"/>
        <v>0</v>
      </c>
      <c r="M176" s="1171">
        <f t="shared" si="10"/>
        <v>0</v>
      </c>
      <c r="N176" s="475"/>
      <c r="O176" s="22"/>
      <c r="P176" s="22"/>
      <c r="Q176" s="22"/>
      <c r="R176" s="22"/>
      <c r="S176" s="22"/>
      <c r="T176" s="22"/>
      <c r="U176" s="22"/>
      <c r="V176" s="22"/>
    </row>
    <row r="177" spans="1:22">
      <c r="A177" s="22"/>
      <c r="B177" s="186"/>
      <c r="C177" s="1601"/>
      <c r="D177" s="474"/>
      <c r="E177" s="476" t="s">
        <v>52</v>
      </c>
      <c r="F177" s="1169">
        <f t="shared" si="4"/>
        <v>22</v>
      </c>
      <c r="G177" s="1170">
        <f t="shared" si="4"/>
        <v>0</v>
      </c>
      <c r="H177" s="1169">
        <f t="shared" si="5"/>
        <v>3</v>
      </c>
      <c r="I177" s="1170">
        <f t="shared" si="6"/>
        <v>0</v>
      </c>
      <c r="J177" s="1169">
        <f t="shared" si="7"/>
        <v>9</v>
      </c>
      <c r="K177" s="1170">
        <f t="shared" si="8"/>
        <v>0</v>
      </c>
      <c r="L177" s="1169">
        <f t="shared" si="9"/>
        <v>10</v>
      </c>
      <c r="M177" s="1171">
        <f t="shared" si="10"/>
        <v>0</v>
      </c>
      <c r="N177" s="475"/>
      <c r="O177" s="22"/>
      <c r="P177" s="22"/>
      <c r="Q177" s="22"/>
      <c r="R177" s="22"/>
      <c r="S177" s="22"/>
      <c r="T177" s="22"/>
      <c r="U177" s="22"/>
      <c r="V177" s="22"/>
    </row>
    <row r="178" spans="1:22">
      <c r="A178" s="22"/>
      <c r="B178" s="186"/>
      <c r="C178" s="1601"/>
      <c r="D178" s="474"/>
      <c r="E178" s="476" t="s">
        <v>53</v>
      </c>
      <c r="F178" s="1169">
        <f t="shared" si="4"/>
        <v>0</v>
      </c>
      <c r="G178" s="1170">
        <f t="shared" si="4"/>
        <v>0</v>
      </c>
      <c r="H178" s="1169">
        <f t="shared" si="5"/>
        <v>0</v>
      </c>
      <c r="I178" s="1170">
        <f t="shared" si="6"/>
        <v>0</v>
      </c>
      <c r="J178" s="1169">
        <f t="shared" si="7"/>
        <v>0</v>
      </c>
      <c r="K178" s="1170">
        <f t="shared" si="8"/>
        <v>0</v>
      </c>
      <c r="L178" s="1169">
        <f t="shared" si="9"/>
        <v>0</v>
      </c>
      <c r="M178" s="1171">
        <f t="shared" si="10"/>
        <v>0</v>
      </c>
      <c r="N178" s="475"/>
      <c r="O178" s="22"/>
      <c r="P178" s="22"/>
      <c r="Q178" s="22"/>
      <c r="R178" s="22"/>
      <c r="S178" s="22"/>
      <c r="T178" s="22"/>
      <c r="U178" s="22"/>
      <c r="V178" s="22"/>
    </row>
    <row r="179" spans="1:22" ht="16.5" thickBot="1">
      <c r="A179" s="22"/>
      <c r="B179" s="186"/>
      <c r="C179" s="1601"/>
      <c r="D179" s="474"/>
      <c r="E179" s="477" t="s">
        <v>54</v>
      </c>
      <c r="F179" s="1172">
        <f t="shared" si="4"/>
        <v>0</v>
      </c>
      <c r="G179" s="1173">
        <f t="shared" si="4"/>
        <v>0</v>
      </c>
      <c r="H179" s="1172">
        <f t="shared" si="5"/>
        <v>0</v>
      </c>
      <c r="I179" s="1173">
        <f t="shared" si="6"/>
        <v>0</v>
      </c>
      <c r="J179" s="1172">
        <f t="shared" si="7"/>
        <v>0</v>
      </c>
      <c r="K179" s="1173">
        <f t="shared" si="8"/>
        <v>0</v>
      </c>
      <c r="L179" s="1172">
        <f t="shared" si="9"/>
        <v>0</v>
      </c>
      <c r="M179" s="1174">
        <f t="shared" si="10"/>
        <v>0</v>
      </c>
      <c r="N179" s="475"/>
      <c r="O179" s="22"/>
      <c r="P179" s="22"/>
      <c r="Q179" s="22"/>
      <c r="R179" s="22"/>
      <c r="S179" s="22"/>
      <c r="T179" s="22"/>
      <c r="U179" s="22"/>
      <c r="V179" s="22"/>
    </row>
    <row r="180" spans="1:22">
      <c r="A180" s="22"/>
      <c r="B180" s="186"/>
      <c r="C180" s="1601"/>
      <c r="D180" s="474"/>
      <c r="E180" s="478"/>
      <c r="F180" s="479"/>
      <c r="G180" s="479"/>
      <c r="H180" s="479"/>
      <c r="I180" s="479"/>
      <c r="J180" s="480"/>
      <c r="K180" s="480"/>
      <c r="L180" s="480"/>
      <c r="M180" s="480"/>
      <c r="N180" s="475"/>
      <c r="O180" s="22"/>
      <c r="P180" s="22"/>
      <c r="Q180" s="22"/>
      <c r="R180" s="22"/>
      <c r="S180" s="22"/>
      <c r="T180" s="22"/>
      <c r="U180" s="22"/>
      <c r="V180" s="22"/>
    </row>
    <row r="181" spans="1:22" ht="16.5" thickBot="1">
      <c r="A181" s="22"/>
      <c r="B181" s="186"/>
      <c r="C181" s="1602"/>
      <c r="D181" s="481"/>
      <c r="E181" s="482"/>
      <c r="F181" s="482"/>
      <c r="G181" s="482"/>
      <c r="H181" s="482"/>
      <c r="I181" s="482"/>
      <c r="J181" s="482"/>
      <c r="K181" s="482"/>
      <c r="L181" s="482"/>
      <c r="M181" s="482"/>
      <c r="N181" s="483"/>
      <c r="O181" s="22"/>
      <c r="P181" s="22"/>
      <c r="Q181" s="22"/>
      <c r="R181" s="22"/>
      <c r="S181" s="22"/>
      <c r="T181" s="22"/>
      <c r="U181" s="22"/>
      <c r="V181" s="22"/>
    </row>
    <row r="182" spans="1:22">
      <c r="A182" s="22"/>
      <c r="B182" s="22"/>
      <c r="C182" s="182"/>
      <c r="D182" s="227"/>
      <c r="E182" s="183"/>
      <c r="F182" s="22"/>
      <c r="G182" s="184"/>
      <c r="H182" s="22"/>
      <c r="I182" s="22"/>
      <c r="J182" s="182"/>
      <c r="K182" s="22"/>
      <c r="L182" s="186"/>
      <c r="M182" s="189"/>
      <c r="N182" s="22"/>
      <c r="O182" s="22"/>
      <c r="P182" s="22"/>
      <c r="Q182" s="22"/>
      <c r="R182" s="22"/>
      <c r="S182" s="22"/>
      <c r="T182" s="22"/>
      <c r="U182" s="22"/>
      <c r="V182" s="22"/>
    </row>
    <row r="183" spans="1:22">
      <c r="A183" s="22"/>
      <c r="B183" s="22"/>
      <c r="C183" s="182"/>
      <c r="D183" s="227"/>
      <c r="E183" s="183"/>
      <c r="F183" s="22"/>
      <c r="G183" s="184"/>
      <c r="H183" s="22"/>
      <c r="I183" s="22"/>
      <c r="J183" s="182"/>
      <c r="K183" s="22"/>
      <c r="L183" s="186"/>
      <c r="M183" s="189"/>
      <c r="N183" s="22"/>
      <c r="O183" s="22"/>
      <c r="P183" s="22"/>
      <c r="Q183" s="22"/>
      <c r="R183" s="22"/>
      <c r="S183" s="22"/>
      <c r="T183" s="22"/>
      <c r="U183" s="22"/>
      <c r="V183" s="22"/>
    </row>
    <row r="184" spans="1:22">
      <c r="A184" s="22"/>
      <c r="B184" s="22"/>
      <c r="C184" s="182"/>
      <c r="D184" s="227"/>
      <c r="E184" s="183"/>
      <c r="F184" s="22"/>
      <c r="G184" s="184"/>
      <c r="H184" s="22"/>
      <c r="I184" s="22"/>
      <c r="J184" s="182"/>
      <c r="K184" s="22"/>
      <c r="L184" s="186"/>
      <c r="M184" s="189"/>
      <c r="N184" s="22"/>
      <c r="O184" s="22"/>
      <c r="P184" s="22"/>
      <c r="Q184" s="22"/>
      <c r="R184" s="22"/>
      <c r="S184" s="22"/>
      <c r="T184" s="22"/>
      <c r="U184" s="22"/>
      <c r="V184" s="22"/>
    </row>
    <row r="185" spans="1:22">
      <c r="A185" s="22"/>
      <c r="B185" s="22"/>
      <c r="C185" s="182"/>
      <c r="D185" s="227"/>
      <c r="E185" s="183"/>
      <c r="F185" s="22"/>
      <c r="G185" s="184"/>
      <c r="H185" s="22"/>
      <c r="I185" s="22"/>
      <c r="J185" s="182"/>
      <c r="K185" s="22"/>
      <c r="L185" s="186"/>
      <c r="M185" s="189"/>
      <c r="N185" s="22"/>
      <c r="O185" s="22"/>
      <c r="P185" s="22"/>
      <c r="Q185" s="22"/>
      <c r="R185" s="22"/>
      <c r="S185" s="22"/>
      <c r="T185" s="22"/>
      <c r="U185" s="22"/>
      <c r="V185" s="22"/>
    </row>
    <row r="186" spans="1:22">
      <c r="A186" s="22"/>
      <c r="B186" s="22"/>
      <c r="C186" s="182"/>
      <c r="D186" s="227"/>
      <c r="E186" s="183"/>
      <c r="F186" s="22"/>
      <c r="G186" s="184"/>
      <c r="H186" s="22"/>
      <c r="I186" s="22"/>
      <c r="J186" s="182"/>
      <c r="K186" s="22"/>
      <c r="L186" s="186"/>
      <c r="M186" s="189"/>
      <c r="N186" s="22"/>
      <c r="O186" s="22"/>
      <c r="P186" s="22"/>
      <c r="Q186" s="22"/>
      <c r="R186" s="22"/>
      <c r="S186" s="22"/>
      <c r="T186" s="22"/>
      <c r="U186" s="22"/>
      <c r="V186" s="22"/>
    </row>
    <row r="187" spans="1:22">
      <c r="A187" s="22"/>
      <c r="B187" s="22"/>
      <c r="C187" s="182"/>
      <c r="D187" s="227"/>
      <c r="E187" s="183"/>
      <c r="F187" s="22"/>
      <c r="G187" s="184"/>
      <c r="H187" s="22"/>
      <c r="I187" s="22"/>
      <c r="J187" s="182"/>
      <c r="K187" s="22"/>
      <c r="L187" s="186"/>
      <c r="M187" s="189"/>
      <c r="N187" s="22"/>
      <c r="O187" s="22"/>
      <c r="P187" s="22"/>
      <c r="Q187" s="22"/>
      <c r="R187" s="22"/>
      <c r="S187" s="22"/>
      <c r="T187" s="22"/>
      <c r="U187" s="22"/>
      <c r="V187" s="22"/>
    </row>
    <row r="188" spans="1:22">
      <c r="A188" s="22"/>
      <c r="B188" s="22"/>
      <c r="C188" s="182"/>
      <c r="D188" s="227"/>
      <c r="E188" s="183"/>
      <c r="F188" s="22"/>
      <c r="G188" s="184"/>
      <c r="H188" s="22"/>
      <c r="I188" s="22"/>
      <c r="J188" s="182"/>
      <c r="K188" s="22"/>
      <c r="L188" s="186"/>
      <c r="M188" s="189"/>
      <c r="N188" s="22"/>
      <c r="O188" s="22"/>
      <c r="P188" s="22"/>
      <c r="Q188" s="22"/>
      <c r="R188" s="22"/>
      <c r="S188" s="22"/>
      <c r="T188" s="22"/>
      <c r="U188" s="22"/>
      <c r="V188" s="22"/>
    </row>
    <row r="189" spans="1:22">
      <c r="A189" s="22"/>
      <c r="B189" s="22"/>
      <c r="C189" s="182"/>
      <c r="D189" s="227"/>
      <c r="E189" s="183"/>
      <c r="F189" s="22"/>
      <c r="G189" s="184"/>
      <c r="H189" s="22"/>
      <c r="I189" s="22"/>
      <c r="J189" s="182"/>
      <c r="K189" s="22"/>
      <c r="L189" s="186"/>
      <c r="M189" s="189"/>
      <c r="N189" s="22"/>
      <c r="O189" s="22"/>
      <c r="P189" s="22"/>
      <c r="Q189" s="22"/>
      <c r="R189" s="22"/>
      <c r="S189" s="22"/>
      <c r="T189" s="22"/>
      <c r="U189" s="22"/>
      <c r="V189" s="22"/>
    </row>
    <row r="190" spans="1:22">
      <c r="A190" s="22"/>
      <c r="B190" s="22"/>
      <c r="C190" s="182"/>
      <c r="D190" s="227"/>
      <c r="E190" s="183"/>
      <c r="F190" s="22"/>
      <c r="G190" s="184"/>
      <c r="H190" s="22"/>
      <c r="I190" s="22"/>
      <c r="J190" s="182"/>
      <c r="K190" s="22"/>
      <c r="L190" s="186"/>
      <c r="M190" s="189"/>
      <c r="N190" s="22"/>
      <c r="O190" s="22"/>
      <c r="P190" s="22"/>
      <c r="Q190" s="22"/>
      <c r="R190" s="22"/>
      <c r="S190" s="22"/>
      <c r="T190" s="22"/>
      <c r="U190" s="22"/>
      <c r="V190" s="22"/>
    </row>
    <row r="191" spans="1:22">
      <c r="A191" s="22"/>
      <c r="B191" s="22"/>
      <c r="C191" s="182"/>
      <c r="D191" s="227"/>
      <c r="E191" s="183"/>
      <c r="F191" s="22"/>
      <c r="G191" s="184"/>
      <c r="H191" s="22"/>
      <c r="I191" s="22"/>
      <c r="J191" s="182"/>
      <c r="K191" s="22"/>
      <c r="L191" s="186"/>
      <c r="M191" s="189"/>
      <c r="N191" s="22"/>
      <c r="O191" s="22"/>
      <c r="P191" s="22"/>
      <c r="Q191" s="22"/>
      <c r="R191" s="22"/>
      <c r="S191" s="22"/>
      <c r="T191" s="22"/>
      <c r="U191" s="22"/>
      <c r="V191" s="22"/>
    </row>
    <row r="192" spans="1:22">
      <c r="A192" s="22"/>
      <c r="B192" s="22"/>
      <c r="C192" s="182"/>
      <c r="D192" s="227"/>
      <c r="E192" s="183"/>
      <c r="F192" s="22"/>
      <c r="G192" s="184"/>
      <c r="H192" s="22"/>
      <c r="I192" s="22"/>
      <c r="J192" s="182"/>
      <c r="K192" s="22"/>
      <c r="L192" s="186"/>
      <c r="M192" s="189"/>
      <c r="N192" s="22"/>
      <c r="O192" s="22"/>
      <c r="P192" s="22"/>
      <c r="Q192" s="22"/>
      <c r="R192" s="22"/>
      <c r="S192" s="22"/>
      <c r="T192" s="22"/>
      <c r="U192" s="22"/>
      <c r="V192" s="22"/>
    </row>
    <row r="193" spans="1:22">
      <c r="A193" s="22"/>
      <c r="B193" s="22"/>
      <c r="C193" s="182"/>
      <c r="D193" s="227"/>
      <c r="E193" s="183"/>
      <c r="F193" s="22"/>
      <c r="G193" s="184"/>
      <c r="H193" s="22"/>
      <c r="I193" s="22"/>
      <c r="J193" s="182"/>
      <c r="K193" s="22"/>
      <c r="L193" s="186"/>
      <c r="M193" s="189"/>
      <c r="N193" s="22"/>
      <c r="O193" s="22"/>
      <c r="P193" s="22"/>
      <c r="Q193" s="22"/>
      <c r="R193" s="22"/>
      <c r="S193" s="22"/>
      <c r="T193" s="22"/>
      <c r="U193" s="22"/>
      <c r="V193" s="22"/>
    </row>
    <row r="194" spans="1:22">
      <c r="A194" s="22"/>
      <c r="B194" s="22"/>
      <c r="C194" s="182"/>
      <c r="D194" s="227"/>
      <c r="E194" s="183"/>
      <c r="F194" s="22"/>
      <c r="G194" s="184"/>
      <c r="H194" s="22"/>
      <c r="I194" s="22"/>
      <c r="J194" s="182"/>
      <c r="K194" s="22"/>
      <c r="L194" s="186"/>
      <c r="M194" s="189"/>
      <c r="N194" s="22"/>
      <c r="O194" s="22"/>
      <c r="P194" s="22"/>
      <c r="Q194" s="22"/>
      <c r="R194" s="22"/>
      <c r="S194" s="22"/>
      <c r="T194" s="22"/>
      <c r="U194" s="22"/>
      <c r="V194" s="22"/>
    </row>
    <row r="195" spans="1:22">
      <c r="A195" s="22"/>
      <c r="B195" s="22"/>
      <c r="C195" s="182"/>
      <c r="D195" s="227"/>
      <c r="E195" s="183"/>
      <c r="F195" s="22"/>
      <c r="G195" s="184"/>
      <c r="H195" s="22"/>
      <c r="I195" s="22"/>
      <c r="J195" s="182"/>
      <c r="K195" s="22"/>
      <c r="L195" s="186"/>
      <c r="M195" s="189"/>
      <c r="N195" s="22"/>
      <c r="O195" s="22"/>
      <c r="P195" s="22"/>
      <c r="Q195" s="22"/>
      <c r="R195" s="22"/>
      <c r="S195" s="22"/>
      <c r="T195" s="22"/>
      <c r="U195" s="22"/>
      <c r="V195" s="22"/>
    </row>
  </sheetData>
  <sheetProtection formatCells="0" insertHyperlinks="0"/>
  <autoFilter ref="C10:J66" xr:uid="{00000000-0009-0000-0000-000008000000}">
    <sortState xmlns:xlrd2="http://schemas.microsoft.com/office/spreadsheetml/2017/richdata2" ref="C11:J67">
      <sortCondition ref="C10:C67"/>
    </sortState>
  </autoFilter>
  <mergeCells count="17">
    <mergeCell ref="C144:C151"/>
    <mergeCell ref="E145:F147"/>
    <mergeCell ref="H145:I146"/>
    <mergeCell ref="C134:M134"/>
    <mergeCell ref="B2:L4"/>
    <mergeCell ref="C135:C142"/>
    <mergeCell ref="C8:K9"/>
    <mergeCell ref="M8:T9"/>
    <mergeCell ref="S16:S18"/>
    <mergeCell ref="C153:C165"/>
    <mergeCell ref="E154:I154"/>
    <mergeCell ref="C168:C181"/>
    <mergeCell ref="E169:M170"/>
    <mergeCell ref="F171:G171"/>
    <mergeCell ref="H171:I171"/>
    <mergeCell ref="J171:K171"/>
    <mergeCell ref="L171:M171"/>
  </mergeCells>
  <conditionalFormatting sqref="K135 J56 J58:J66 J49:J52 J54 J43:J47">
    <cfRule type="cellIs" dxfId="463" priority="275" operator="equal">
      <formula>"Positif"</formula>
    </cfRule>
    <cfRule type="cellIs" dxfId="462" priority="276" operator="equal">
      <formula>"Negatif"</formula>
    </cfRule>
  </conditionalFormatting>
  <conditionalFormatting sqref="J56 J58:J66 J49:J52 J54 J43:J47">
    <cfRule type="cellIs" dxfId="461" priority="274" operator="equal">
      <formula>"négatif"</formula>
    </cfRule>
  </conditionalFormatting>
  <conditionalFormatting sqref="J45">
    <cfRule type="cellIs" dxfId="460" priority="215" operator="equal">
      <formula>"Positif"</formula>
    </cfRule>
    <cfRule type="cellIs" dxfId="459" priority="216" operator="equal">
      <formula>"Negatif"</formula>
    </cfRule>
  </conditionalFormatting>
  <conditionalFormatting sqref="J45">
    <cfRule type="cellIs" dxfId="458" priority="214" operator="equal">
      <formula>"négatif"</formula>
    </cfRule>
  </conditionalFormatting>
  <conditionalFormatting sqref="J4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7" priority="212" operator="equal">
      <formula>"Negatif"</formula>
    </cfRule>
    <cfRule type="colorScale" priority="213">
      <colorScale>
        <cfvo type="min"/>
        <cfvo type="max"/>
        <color rgb="FFFF7128"/>
        <color rgb="FFFFEF9C"/>
      </colorScale>
    </cfRule>
  </conditionalFormatting>
  <conditionalFormatting sqref="J4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6" priority="209" operator="equal">
      <formula>"Negatif"</formula>
    </cfRule>
    <cfRule type="colorScale" priority="210">
      <colorScale>
        <cfvo type="min"/>
        <cfvo type="max"/>
        <color rgb="FFFF7128"/>
        <color rgb="FFFFEF9C"/>
      </colorScale>
    </cfRule>
  </conditionalFormatting>
  <conditionalFormatting sqref="J4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5" priority="206" operator="equal">
      <formula>"Negatif"</formula>
    </cfRule>
    <cfRule type="colorScale" priority="207">
      <colorScale>
        <cfvo type="min"/>
        <cfvo type="max"/>
        <color rgb="FFFF7128"/>
        <color rgb="FFFFEF9C"/>
      </colorScale>
    </cfRule>
  </conditionalFormatting>
  <conditionalFormatting sqref="J48">
    <cfRule type="cellIs" dxfId="454" priority="203" operator="equal">
      <formula>"Positif"</formula>
    </cfRule>
    <cfRule type="cellIs" dxfId="453" priority="204" operator="equal">
      <formula>"Negatif"</formula>
    </cfRule>
  </conditionalFormatting>
  <conditionalFormatting sqref="J48">
    <cfRule type="cellIs" dxfId="452" priority="202" operator="equal">
      <formula>"négatif"</formula>
    </cfRule>
  </conditionalFormatting>
  <conditionalFormatting sqref="J4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1" priority="200" operator="equal">
      <formula>"Negatif"</formula>
    </cfRule>
    <cfRule type="colorScale" priority="201">
      <colorScale>
        <cfvo type="min"/>
        <cfvo type="max"/>
        <color rgb="FFFF7128"/>
        <color rgb="FFFFEF9C"/>
      </colorScale>
    </cfRule>
  </conditionalFormatting>
  <conditionalFormatting sqref="J48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0" priority="197" operator="equal">
      <formula>"Negatif"</formula>
    </cfRule>
    <cfRule type="colorScale" priority="198">
      <colorScale>
        <cfvo type="min"/>
        <cfvo type="max"/>
        <color rgb="FFFF7128"/>
        <color rgb="FFFFEF9C"/>
      </colorScale>
    </cfRule>
  </conditionalFormatting>
  <conditionalFormatting sqref="J4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9" priority="194" operator="equal">
      <formula>"Negatif"</formula>
    </cfRule>
    <cfRule type="colorScale" priority="195">
      <colorScale>
        <cfvo type="min"/>
        <cfvo type="max"/>
        <color rgb="FFFF7128"/>
        <color rgb="FFFFEF9C"/>
      </colorScale>
    </cfRule>
  </conditionalFormatting>
  <conditionalFormatting sqref="J58:J66 J56 J49:J52 J54 J43:J47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8" priority="2450" operator="equal">
      <formula>"Negatif"</formula>
    </cfRule>
    <cfRule type="colorScale" priority="2451">
      <colorScale>
        <cfvo type="min"/>
        <cfvo type="max"/>
        <color rgb="FFFF7128"/>
        <color rgb="FFFFEF9C"/>
      </colorScale>
    </cfRule>
  </conditionalFormatting>
  <conditionalFormatting sqref="J58:J62 J56 J49:J52 J54 J43:J47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7" priority="2465" operator="equal">
      <formula>"Negatif"</formula>
    </cfRule>
    <cfRule type="colorScale" priority="2466">
      <colorScale>
        <cfvo type="min"/>
        <cfvo type="max"/>
        <color rgb="FFFF7128"/>
        <color rgb="FFFFEF9C"/>
      </colorScale>
    </cfRule>
  </conditionalFormatting>
  <conditionalFormatting sqref="J58:J61 J56 J49:J52 J54 J43:J47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6" priority="2480" operator="equal">
      <formula>"Negatif"</formula>
    </cfRule>
    <cfRule type="colorScale" priority="2481">
      <colorScale>
        <cfvo type="min"/>
        <cfvo type="max"/>
        <color rgb="FFFF7128"/>
        <color rgb="FFFFEF9C"/>
      </colorScale>
    </cfRule>
  </conditionalFormatting>
  <conditionalFormatting sqref="J52:J53">
    <cfRule type="cellIs" dxfId="445" priority="182" operator="equal">
      <formula>"Positif"</formula>
    </cfRule>
    <cfRule type="cellIs" dxfId="444" priority="183" operator="equal">
      <formula>"Negatif"</formula>
    </cfRule>
  </conditionalFormatting>
  <conditionalFormatting sqref="J52:J53">
    <cfRule type="cellIs" dxfId="443" priority="181" operator="equal">
      <formula>"négatif"</formula>
    </cfRule>
  </conditionalFormatting>
  <conditionalFormatting sqref="J52:J5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2" priority="185" operator="equal">
      <formula>"Negatif"</formula>
    </cfRule>
    <cfRule type="colorScale" priority="186">
      <colorScale>
        <cfvo type="min"/>
        <cfvo type="max"/>
        <color rgb="FFFF7128"/>
        <color rgb="FFFFEF9C"/>
      </colorScale>
    </cfRule>
  </conditionalFormatting>
  <conditionalFormatting sqref="J52:J53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1" priority="188" operator="equal">
      <formula>"Negatif"</formula>
    </cfRule>
    <cfRule type="colorScale" priority="189">
      <colorScale>
        <cfvo type="min"/>
        <cfvo type="max"/>
        <color rgb="FFFF7128"/>
        <color rgb="FFFFEF9C"/>
      </colorScale>
    </cfRule>
  </conditionalFormatting>
  <conditionalFormatting sqref="J52:J53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0" priority="191" operator="equal">
      <formula>"Negatif"</formula>
    </cfRule>
    <cfRule type="colorScale" priority="192">
      <colorScale>
        <cfvo type="min"/>
        <cfvo type="max"/>
        <color rgb="FFFF7128"/>
        <color rgb="FFFFEF9C"/>
      </colorScale>
    </cfRule>
  </conditionalFormatting>
  <conditionalFormatting sqref="J57">
    <cfRule type="cellIs" dxfId="439" priority="170" operator="equal">
      <formula>"Positif"</formula>
    </cfRule>
    <cfRule type="cellIs" dxfId="438" priority="171" operator="equal">
      <formula>"Negatif"</formula>
    </cfRule>
  </conditionalFormatting>
  <conditionalFormatting sqref="J57">
    <cfRule type="cellIs" dxfId="437" priority="169" operator="equal">
      <formula>"négatif"</formula>
    </cfRule>
  </conditionalFormatting>
  <conditionalFormatting sqref="J57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6" priority="173" operator="equal">
      <formula>"Negatif"</formula>
    </cfRule>
    <cfRule type="colorScale" priority="174">
      <colorScale>
        <cfvo type="min"/>
        <cfvo type="max"/>
        <color rgb="FFFF7128"/>
        <color rgb="FFFFEF9C"/>
      </colorScale>
    </cfRule>
  </conditionalFormatting>
  <conditionalFormatting sqref="J5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5" priority="176" operator="equal">
      <formula>"Negatif"</formula>
    </cfRule>
    <cfRule type="colorScale" priority="177">
      <colorScale>
        <cfvo type="min"/>
        <cfvo type="max"/>
        <color rgb="FFFF7128"/>
        <color rgb="FFFFEF9C"/>
      </colorScale>
    </cfRule>
  </conditionalFormatting>
  <conditionalFormatting sqref="J5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4" priority="179" operator="equal">
      <formula>"Negatif"</formula>
    </cfRule>
    <cfRule type="colorScale" priority="180">
      <colorScale>
        <cfvo type="min"/>
        <cfvo type="max"/>
        <color rgb="FFFF7128"/>
        <color rgb="FFFFEF9C"/>
      </colorScale>
    </cfRule>
  </conditionalFormatting>
  <conditionalFormatting sqref="J54">
    <cfRule type="cellIs" dxfId="433" priority="158" operator="equal">
      <formula>"Positif"</formula>
    </cfRule>
    <cfRule type="cellIs" dxfId="432" priority="159" operator="equal">
      <formula>"Negatif"</formula>
    </cfRule>
  </conditionalFormatting>
  <conditionalFormatting sqref="J54">
    <cfRule type="cellIs" dxfId="431" priority="157" operator="equal">
      <formula>"négatif"</formula>
    </cfRule>
  </conditionalFormatting>
  <conditionalFormatting sqref="J5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0" priority="161" operator="equal">
      <formula>"Negatif"</formula>
    </cfRule>
    <cfRule type="colorScale" priority="162">
      <colorScale>
        <cfvo type="min"/>
        <cfvo type="max"/>
        <color rgb="FFFF7128"/>
        <color rgb="FFFFEF9C"/>
      </colorScale>
    </cfRule>
  </conditionalFormatting>
  <conditionalFormatting sqref="J5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29" priority="164" operator="equal">
      <formula>"Negatif"</formula>
    </cfRule>
    <cfRule type="colorScale" priority="165">
      <colorScale>
        <cfvo type="min"/>
        <cfvo type="max"/>
        <color rgb="FFFF7128"/>
        <color rgb="FFFFEF9C"/>
      </colorScale>
    </cfRule>
  </conditionalFormatting>
  <conditionalFormatting sqref="J54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28" priority="167" operator="equal">
      <formula>"Negatif"</formula>
    </cfRule>
    <cfRule type="colorScale" priority="168">
      <colorScale>
        <cfvo type="min"/>
        <cfvo type="max"/>
        <color rgb="FFFF7128"/>
        <color rgb="FFFFEF9C"/>
      </colorScale>
    </cfRule>
  </conditionalFormatting>
  <conditionalFormatting sqref="J55">
    <cfRule type="cellIs" dxfId="427" priority="146" operator="equal">
      <formula>"Positif"</formula>
    </cfRule>
    <cfRule type="cellIs" dxfId="426" priority="147" operator="equal">
      <formula>"Negatif"</formula>
    </cfRule>
  </conditionalFormatting>
  <conditionalFormatting sqref="J55">
    <cfRule type="cellIs" dxfId="425" priority="145" operator="equal">
      <formula>"négatif"</formula>
    </cfRule>
  </conditionalFormatting>
  <conditionalFormatting sqref="J5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24" priority="149" operator="equal">
      <formula>"Negatif"</formula>
    </cfRule>
    <cfRule type="colorScale" priority="150">
      <colorScale>
        <cfvo type="min"/>
        <cfvo type="max"/>
        <color rgb="FFFF7128"/>
        <color rgb="FFFFEF9C"/>
      </colorScale>
    </cfRule>
  </conditionalFormatting>
  <conditionalFormatting sqref="J5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23" priority="152" operator="equal">
      <formula>"Negatif"</formula>
    </cfRule>
    <cfRule type="colorScale" priority="153">
      <colorScale>
        <cfvo type="min"/>
        <cfvo type="max"/>
        <color rgb="FFFF7128"/>
        <color rgb="FFFFEF9C"/>
      </colorScale>
    </cfRule>
  </conditionalFormatting>
  <conditionalFormatting sqref="J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22" priority="155" operator="equal">
      <formula>"Negatif"</formula>
    </cfRule>
    <cfRule type="colorScale" priority="156">
      <colorScale>
        <cfvo type="min"/>
        <cfvo type="max"/>
        <color rgb="FFFF7128"/>
        <color rgb="FFFFEF9C"/>
      </colorScale>
    </cfRule>
  </conditionalFormatting>
  <conditionalFormatting sqref="J47">
    <cfRule type="cellIs" dxfId="421" priority="134" operator="equal">
      <formula>"Positif"</formula>
    </cfRule>
    <cfRule type="cellIs" dxfId="420" priority="135" operator="equal">
      <formula>"Negatif"</formula>
    </cfRule>
  </conditionalFormatting>
  <conditionalFormatting sqref="J47">
    <cfRule type="cellIs" dxfId="419" priority="133" operator="equal">
      <formula>"négatif"</formula>
    </cfRule>
  </conditionalFormatting>
  <conditionalFormatting sqref="J4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8" priority="137" operator="equal">
      <formula>"Negatif"</formula>
    </cfRule>
    <cfRule type="colorScale" priority="138">
      <colorScale>
        <cfvo type="min"/>
        <cfvo type="max"/>
        <color rgb="FFFF7128"/>
        <color rgb="FFFFEF9C"/>
      </colorScale>
    </cfRule>
  </conditionalFormatting>
  <conditionalFormatting sqref="J4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7" priority="140" operator="equal">
      <formula>"Negatif"</formula>
    </cfRule>
    <cfRule type="colorScale" priority="141">
      <colorScale>
        <cfvo type="min"/>
        <cfvo type="max"/>
        <color rgb="FFFF7128"/>
        <color rgb="FFFFEF9C"/>
      </colorScale>
    </cfRule>
  </conditionalFormatting>
  <conditionalFormatting sqref="J4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6" priority="143" operator="equal">
      <formula>"Negatif"</formula>
    </cfRule>
    <cfRule type="colorScale" priority="144">
      <colorScale>
        <cfvo type="min"/>
        <cfvo type="max"/>
        <color rgb="FFFF7128"/>
        <color rgb="FFFFEF9C"/>
      </colorScale>
    </cfRule>
  </conditionalFormatting>
  <conditionalFormatting sqref="J44">
    <cfRule type="cellIs" dxfId="415" priority="71" operator="equal">
      <formula>"Positif"</formula>
    </cfRule>
    <cfRule type="cellIs" dxfId="414" priority="72" operator="equal">
      <formula>"Negatif"</formula>
    </cfRule>
  </conditionalFormatting>
  <conditionalFormatting sqref="J44">
    <cfRule type="cellIs" dxfId="413" priority="70" operator="equal">
      <formula>"négatif"</formula>
    </cfRule>
  </conditionalFormatting>
  <conditionalFormatting sqref="J4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2" priority="68" operator="equal">
      <formula>"Negatif"</formula>
    </cfRule>
    <cfRule type="colorScale" priority="69">
      <colorScale>
        <cfvo type="min"/>
        <cfvo type="max"/>
        <color rgb="FFFF7128"/>
        <color rgb="FFFFEF9C"/>
      </colorScale>
    </cfRule>
  </conditionalFormatting>
  <conditionalFormatting sqref="J4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1" priority="65" operator="equal">
      <formula>"Negatif"</formula>
    </cfRule>
    <cfRule type="colorScale" priority="66">
      <colorScale>
        <cfvo type="min"/>
        <cfvo type="max"/>
        <color rgb="FFFF7128"/>
        <color rgb="FFFFEF9C"/>
      </colorScale>
    </cfRule>
  </conditionalFormatting>
  <conditionalFormatting sqref="J4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0" priority="62" operator="equal">
      <formula>"Negatif"</formula>
    </cfRule>
    <cfRule type="colorScale" priority="63">
      <colorScale>
        <cfvo type="min"/>
        <cfvo type="max"/>
        <color rgb="FFFF7128"/>
        <color rgb="FFFFEF9C"/>
      </colorScale>
    </cfRule>
  </conditionalFormatting>
  <conditionalFormatting sqref="J48:J49">
    <cfRule type="cellIs" dxfId="409" priority="50" operator="equal">
      <formula>"Positif"</formula>
    </cfRule>
    <cfRule type="cellIs" dxfId="408" priority="51" operator="equal">
      <formula>"Negatif"</formula>
    </cfRule>
  </conditionalFormatting>
  <conditionalFormatting sqref="J48:J49">
    <cfRule type="cellIs" dxfId="407" priority="49" operator="equal">
      <formula>"négatif"</formula>
    </cfRule>
  </conditionalFormatting>
  <conditionalFormatting sqref="J48:J4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06" priority="53" operator="equal">
      <formula>"Negatif"</formula>
    </cfRule>
    <cfRule type="colorScale" priority="54">
      <colorScale>
        <cfvo type="min"/>
        <cfvo type="max"/>
        <color rgb="FFFF7128"/>
        <color rgb="FFFFEF9C"/>
      </colorScale>
    </cfRule>
  </conditionalFormatting>
  <conditionalFormatting sqref="J48:J4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05" priority="56" operator="equal">
      <formula>"Negatif"</formula>
    </cfRule>
    <cfRule type="colorScale" priority="57">
      <colorScale>
        <cfvo type="min"/>
        <cfvo type="max"/>
        <color rgb="FFFF7128"/>
        <color rgb="FFFFEF9C"/>
      </colorScale>
    </cfRule>
  </conditionalFormatting>
  <conditionalFormatting sqref="J48:J4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04" priority="59" operator="equal">
      <formula>"Negatif"</formula>
    </cfRule>
    <cfRule type="colorScale" priority="60">
      <colorScale>
        <cfvo type="min"/>
        <cfvo type="max"/>
        <color rgb="FFFF7128"/>
        <color rgb="FFFFEF9C"/>
      </colorScale>
    </cfRule>
  </conditionalFormatting>
  <conditionalFormatting sqref="J53">
    <cfRule type="cellIs" dxfId="403" priority="38" operator="equal">
      <formula>"Positif"</formula>
    </cfRule>
    <cfRule type="cellIs" dxfId="402" priority="39" operator="equal">
      <formula>"Negatif"</formula>
    </cfRule>
  </conditionalFormatting>
  <conditionalFormatting sqref="J53">
    <cfRule type="cellIs" dxfId="401" priority="37" operator="equal">
      <formula>"négatif"</formula>
    </cfRule>
  </conditionalFormatting>
  <conditionalFormatting sqref="J5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00" priority="41" operator="equal">
      <formula>"Negatif"</formula>
    </cfRule>
    <cfRule type="colorScale" priority="42">
      <colorScale>
        <cfvo type="min"/>
        <cfvo type="max"/>
        <color rgb="FFFF7128"/>
        <color rgb="FFFFEF9C"/>
      </colorScale>
    </cfRule>
  </conditionalFormatting>
  <conditionalFormatting sqref="J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9" priority="44" operator="equal">
      <formula>"Negatif"</formula>
    </cfRule>
    <cfRule type="colorScale" priority="45">
      <colorScale>
        <cfvo type="min"/>
        <cfvo type="max"/>
        <color rgb="FFFF7128"/>
        <color rgb="FFFFEF9C"/>
      </colorScale>
    </cfRule>
  </conditionalFormatting>
  <conditionalFormatting sqref="J5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8" priority="47" operator="equal">
      <formula>"Negatif"</formula>
    </cfRule>
    <cfRule type="colorScale" priority="48">
      <colorScale>
        <cfvo type="min"/>
        <cfvo type="max"/>
        <color rgb="FFFF7128"/>
        <color rgb="FFFFEF9C"/>
      </colorScale>
    </cfRule>
  </conditionalFormatting>
  <conditionalFormatting sqref="J50">
    <cfRule type="cellIs" dxfId="397" priority="26" operator="equal">
      <formula>"Positif"</formula>
    </cfRule>
    <cfRule type="cellIs" dxfId="396" priority="27" operator="equal">
      <formula>"Negatif"</formula>
    </cfRule>
  </conditionalFormatting>
  <conditionalFormatting sqref="J50">
    <cfRule type="cellIs" dxfId="395" priority="25" operator="equal">
      <formula>"négatif"</formula>
    </cfRule>
  </conditionalFormatting>
  <conditionalFormatting sqref="J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4" priority="29" operator="equal">
      <formula>"Negatif"</formula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J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3" priority="32" operator="equal">
      <formula>"Negatif"</formula>
    </cfRule>
    <cfRule type="colorScale" priority="33">
      <colorScale>
        <cfvo type="min"/>
        <cfvo type="max"/>
        <color rgb="FFFF7128"/>
        <color rgb="FFFFEF9C"/>
      </colorScale>
    </cfRule>
  </conditionalFormatting>
  <conditionalFormatting sqref="J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2" priority="35" operator="equal">
      <formula>"Negatif"</formula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J51">
    <cfRule type="cellIs" dxfId="391" priority="14" operator="equal">
      <formula>"Positif"</formula>
    </cfRule>
    <cfRule type="cellIs" dxfId="390" priority="15" operator="equal">
      <formula>"Negatif"</formula>
    </cfRule>
  </conditionalFormatting>
  <conditionalFormatting sqref="J51">
    <cfRule type="cellIs" dxfId="389" priority="13" operator="equal">
      <formula>"négatif"</formula>
    </cfRule>
  </conditionalFormatting>
  <conditionalFormatting sqref="J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8" priority="17" operator="equal">
      <formula>"Negatif"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J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7" priority="20" operator="equal">
      <formula>"Negatif"</formula>
    </cfRule>
    <cfRule type="colorScale" priority="21">
      <colorScale>
        <cfvo type="min"/>
        <cfvo type="max"/>
        <color rgb="FFFF7128"/>
        <color rgb="FFFFEF9C"/>
      </colorScale>
    </cfRule>
  </conditionalFormatting>
  <conditionalFormatting sqref="J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6" priority="23" operator="equal">
      <formula>"Negatif"</formula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J43">
    <cfRule type="cellIs" dxfId="385" priority="2" operator="equal">
      <formula>"Positif"</formula>
    </cfRule>
    <cfRule type="cellIs" dxfId="384" priority="3" operator="equal">
      <formula>"Negatif"</formula>
    </cfRule>
  </conditionalFormatting>
  <conditionalFormatting sqref="J43">
    <cfRule type="cellIs" dxfId="383" priority="1" operator="equal">
      <formula>"négatif"</formula>
    </cfRule>
  </conditionalFormatting>
  <conditionalFormatting sqref="J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2" priority="5" operator="equal">
      <formula>"Negatif"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1" priority="8" operator="equal">
      <formula>"Negatif"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J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0" priority="11" operator="equal">
      <formula>"Negatif"</formula>
    </cfRule>
    <cfRule type="colorScale" priority="12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I11:I66" xr:uid="{00000000-0002-0000-0800-000000000000}">
      <formula1>$E$156:$E$163</formula1>
    </dataValidation>
  </dataValidations>
  <hyperlinks>
    <hyperlink ref="S13" r:id="rId1" xr:uid="{00000000-0004-0000-0800-000000000000}"/>
    <hyperlink ref="S14" r:id="rId2" xr:uid="{00000000-0004-0000-0800-000001000000}"/>
    <hyperlink ref="K28" r:id="rId3" xr:uid="{00000000-0004-0000-0800-000002000000}"/>
    <hyperlink ref="K26" r:id="rId4" xr:uid="{00000000-0004-0000-0800-000003000000}"/>
    <hyperlink ref="K29" r:id="rId5" xr:uid="{00000000-0004-0000-0800-000004000000}"/>
    <hyperlink ref="K21" r:id="rId6" xr:uid="{00000000-0004-0000-0800-000005000000}"/>
    <hyperlink ref="K20" r:id="rId7" xr:uid="{00000000-0004-0000-0800-000006000000}"/>
    <hyperlink ref="K22" r:id="rId8" xr:uid="{00000000-0004-0000-0800-000007000000}"/>
    <hyperlink ref="K23" r:id="rId9" xr:uid="{00000000-0004-0000-0800-000008000000}"/>
    <hyperlink ref="K24" r:id="rId10" xr:uid="{00000000-0004-0000-0800-000009000000}"/>
    <hyperlink ref="K32" r:id="rId11" xr:uid="{00000000-0004-0000-0800-00000A000000}"/>
    <hyperlink ref="K35" r:id="rId12" xr:uid="{00000000-0004-0000-0800-00000B000000}"/>
    <hyperlink ref="K36" r:id="rId13" xr:uid="{00000000-0004-0000-0800-00000C000000}"/>
    <hyperlink ref="K15" r:id="rId14" xr:uid="{00000000-0004-0000-0800-00000D000000}"/>
    <hyperlink ref="K18" r:id="rId15" xr:uid="{00000000-0004-0000-0800-00000E000000}"/>
    <hyperlink ref="K17" r:id="rId16" xr:uid="{00000000-0004-0000-0800-00000F000000}"/>
    <hyperlink ref="K16" r:id="rId17" xr:uid="{00000000-0004-0000-0800-000010000000}"/>
    <hyperlink ref="K25" r:id="rId18" xr:uid="{00000000-0004-0000-0800-000011000000}"/>
    <hyperlink ref="K19" r:id="rId19" xr:uid="{00000000-0004-0000-0800-000012000000}"/>
    <hyperlink ref="K14" r:id="rId20" xr:uid="{00000000-0004-0000-0800-000013000000}"/>
    <hyperlink ref="K34" r:id="rId21" xr:uid="{00000000-0004-0000-0800-000014000000}"/>
    <hyperlink ref="K30" r:id="rId22" xr:uid="{00000000-0004-0000-0800-000015000000}"/>
    <hyperlink ref="K31" r:id="rId23" xr:uid="{00000000-0004-0000-0800-000016000000}"/>
    <hyperlink ref="K27" r:id="rId24" display="\\Ntkd0\co\ZE0SF000\ENEDIS_COMMUNICATION_PYRENEES_LANDES\Relations presses\Mediascope - kantarmedia\Articles presse\2020\MAI\22-05-2020 -  Sud Ouest PB - Priorité aux chantiers.pdf" xr:uid="{00000000-0004-0000-0800-000017000000}"/>
    <hyperlink ref="K33" r:id="rId25" xr:uid="{00000000-0004-0000-0800-000018000000}"/>
    <hyperlink ref="K13" r:id="rId26" xr:uid="{00000000-0004-0000-0800-000019000000}"/>
    <hyperlink ref="K12" r:id="rId27" xr:uid="{00000000-0004-0000-0800-00001A000000}"/>
    <hyperlink ref="K37" r:id="rId28" xr:uid="{00000000-0004-0000-0800-00001B000000}"/>
  </hyperlinks>
  <pageMargins left="0.7" right="0.7" top="0.75" bottom="0.75" header="0.3" footer="0.3"/>
  <pageSetup paperSize="9" orientation="portrait" r:id="rId2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5E452D0F15D94595C7456E1C959A17" ma:contentTypeVersion="2" ma:contentTypeDescription="Crée un document." ma:contentTypeScope="" ma:versionID="892f17539593520c51f2f4506f87d552">
  <xsd:schema xmlns:xsd="http://www.w3.org/2001/XMLSchema" xmlns:xs="http://www.w3.org/2001/XMLSchema" xmlns:p="http://schemas.microsoft.com/office/2006/metadata/properties" xmlns:ns2="5fa02e16-0bf3-4437-8467-e62f545ef5ad" targetNamespace="http://schemas.microsoft.com/office/2006/metadata/properties" ma:root="true" ma:fieldsID="b5942ede456566f59f31e46abc9be196" ns2:_="">
    <xsd:import namespace="5fa02e16-0bf3-4437-8467-e62f545ef5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02e16-0bf3-4437-8467-e62f545ef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EF9FBB-843A-433D-A4EB-093F98DDA33B}"/>
</file>

<file path=customXml/itemProps2.xml><?xml version="1.0" encoding="utf-8"?>
<ds:datastoreItem xmlns:ds="http://schemas.openxmlformats.org/officeDocument/2006/customXml" ds:itemID="{E280CD6E-8719-49DF-B071-C210E4B02125}"/>
</file>

<file path=customXml/itemProps3.xml><?xml version="1.0" encoding="utf-8"?>
<ds:datastoreItem xmlns:ds="http://schemas.openxmlformats.org/officeDocument/2006/customXml" ds:itemID="{59A8EA12-F148-466B-802A-829DD407B3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</dc:creator>
  <cp:keywords/>
  <dc:description/>
  <cp:lastModifiedBy>Matthieu Cabrera</cp:lastModifiedBy>
  <cp:revision/>
  <dcterms:created xsi:type="dcterms:W3CDTF">2017-01-03T13:13:37Z</dcterms:created>
  <dcterms:modified xsi:type="dcterms:W3CDTF">2021-03-10T17:20:07Z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0x010100D05E452D0F15D94595C7456E1C959A17</vt:lpwstr>
  </property>
</Properties>
</file>